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phillips\Desktop\"/>
    </mc:Choice>
  </mc:AlternateContent>
  <bookViews>
    <workbookView xWindow="0" yWindow="0" windowWidth="16392" windowHeight="6048"/>
  </bookViews>
  <sheets>
    <sheet name="Knights Landing RST Catch" sheetId="1" r:id="rId1"/>
  </sheets>
  <calcPr calcId="162913"/>
</workbook>
</file>

<file path=xl/calcChain.xml><?xml version="1.0" encoding="utf-8"?>
<calcChain xmlns="http://schemas.openxmlformats.org/spreadsheetml/2006/main">
  <c r="AD302" i="1" l="1"/>
  <c r="AC302" i="1"/>
  <c r="AB302" i="1"/>
  <c r="AA302" i="1"/>
  <c r="Z302" i="1"/>
  <c r="J302" i="1"/>
  <c r="J303" i="1"/>
  <c r="AD301" i="1"/>
  <c r="AC301" i="1"/>
  <c r="AB301" i="1"/>
  <c r="AA301" i="1"/>
  <c r="Z301" i="1"/>
  <c r="J301" i="1"/>
  <c r="AD300" i="1" l="1"/>
  <c r="AC300" i="1"/>
  <c r="AB300" i="1"/>
  <c r="AA300" i="1"/>
  <c r="Z300" i="1"/>
  <c r="J300" i="1"/>
  <c r="AD299" i="1"/>
  <c r="AC299" i="1"/>
  <c r="AB299" i="1"/>
  <c r="AA299" i="1"/>
  <c r="Z299" i="1"/>
  <c r="J299" i="1"/>
  <c r="AA298" i="1" l="1"/>
  <c r="J298" i="1"/>
  <c r="AD298" i="1" s="1"/>
  <c r="J297" i="1"/>
  <c r="AD297" i="1" s="1"/>
  <c r="J296" i="1"/>
  <c r="AC295" i="1"/>
  <c r="Z295" i="1"/>
  <c r="J295" i="1"/>
  <c r="AD295" i="1" s="1"/>
  <c r="J294" i="1"/>
  <c r="AC293" i="1"/>
  <c r="J293" i="1"/>
  <c r="AD293" i="1" s="1"/>
  <c r="J292" i="1"/>
  <c r="AD292" i="1" s="1"/>
  <c r="J291" i="1"/>
  <c r="AB290" i="1"/>
  <c r="AA290" i="1"/>
  <c r="J290" i="1"/>
  <c r="AD290" i="1" s="1"/>
  <c r="J289" i="1"/>
  <c r="J288" i="1"/>
  <c r="AD288" i="1" s="1"/>
  <c r="AC287" i="1"/>
  <c r="Z287" i="1"/>
  <c r="J287" i="1"/>
  <c r="AD287" i="1" s="1"/>
  <c r="AB286" i="1"/>
  <c r="AA286" i="1"/>
  <c r="J286" i="1"/>
  <c r="AD286" i="1" s="1"/>
  <c r="J285" i="1"/>
  <c r="AB284" i="1"/>
  <c r="J284" i="1"/>
  <c r="AD284" i="1" s="1"/>
  <c r="Z283" i="1"/>
  <c r="J283" i="1"/>
  <c r="J282" i="1"/>
  <c r="J281" i="1"/>
  <c r="AA280" i="1"/>
  <c r="J280" i="1"/>
  <c r="AD280" i="1" s="1"/>
  <c r="J279" i="1"/>
  <c r="AB278" i="1"/>
  <c r="J278" i="1"/>
  <c r="AD278" i="1" s="1"/>
  <c r="J277" i="1"/>
  <c r="AD277" i="1" s="1"/>
  <c r="J276" i="1"/>
  <c r="J275" i="1"/>
  <c r="Z275" i="1" s="1"/>
  <c r="J274" i="1"/>
  <c r="AD274" i="1" s="1"/>
  <c r="J273" i="1"/>
  <c r="AD273" i="1" s="1"/>
  <c r="AB272" i="1"/>
  <c r="J272" i="1"/>
  <c r="AD272" i="1" s="1"/>
  <c r="AD271" i="1"/>
  <c r="Z271" i="1"/>
  <c r="J271" i="1"/>
  <c r="AC271" i="1" s="1"/>
  <c r="AB270" i="1"/>
  <c r="AA270" i="1"/>
  <c r="J270" i="1"/>
  <c r="AD270" i="1" s="1"/>
  <c r="AC269" i="1"/>
  <c r="Z269" i="1"/>
  <c r="J269" i="1"/>
  <c r="AD269" i="1" s="1"/>
  <c r="J268" i="1"/>
  <c r="Z267" i="1"/>
  <c r="J267" i="1"/>
  <c r="AB266" i="1"/>
  <c r="AA266" i="1"/>
  <c r="J266" i="1"/>
  <c r="AD266" i="1" s="1"/>
  <c r="AD265" i="1"/>
  <c r="J265" i="1"/>
  <c r="AB264" i="1"/>
  <c r="AA264" i="1"/>
  <c r="J264" i="1"/>
  <c r="AD264" i="1" s="1"/>
  <c r="J263" i="1"/>
  <c r="AD263" i="1" s="1"/>
  <c r="J262" i="1"/>
  <c r="Z261" i="1"/>
  <c r="J261" i="1"/>
  <c r="AD261" i="1" s="1"/>
  <c r="AA260" i="1"/>
  <c r="J260" i="1"/>
  <c r="AD260" i="1" s="1"/>
  <c r="J259" i="1"/>
  <c r="AB258" i="1"/>
  <c r="J258" i="1"/>
  <c r="AD258" i="1" s="1"/>
  <c r="P257" i="1"/>
  <c r="J257" i="1"/>
  <c r="AB256" i="1"/>
  <c r="P256" i="1"/>
  <c r="J256" i="1"/>
  <c r="AC256" i="1" s="1"/>
  <c r="J255" i="1"/>
  <c r="AD255" i="1" s="1"/>
  <c r="J254" i="1"/>
  <c r="AB253" i="1"/>
  <c r="AA253" i="1"/>
  <c r="J253" i="1"/>
  <c r="AD253" i="1" s="1"/>
  <c r="T252" i="1"/>
  <c r="P252" i="1"/>
  <c r="J252" i="1"/>
  <c r="AD251" i="1"/>
  <c r="P251" i="1"/>
  <c r="J251" i="1"/>
  <c r="AB251" i="1" s="1"/>
  <c r="P250" i="1"/>
  <c r="J250" i="1"/>
  <c r="AC250" i="1" s="1"/>
  <c r="AA249" i="1"/>
  <c r="J249" i="1"/>
  <c r="AD249" i="1" s="1"/>
  <c r="J248" i="1"/>
  <c r="AB247" i="1"/>
  <c r="J247" i="1"/>
  <c r="AD247" i="1" s="1"/>
  <c r="J246" i="1"/>
  <c r="AD246" i="1" s="1"/>
  <c r="AA245" i="1"/>
  <c r="J245" i="1"/>
  <c r="J244" i="1"/>
  <c r="Q243" i="1"/>
  <c r="P243" i="1"/>
  <c r="J243" i="1"/>
  <c r="AD243" i="1" s="1"/>
  <c r="Q242" i="1"/>
  <c r="P242" i="1"/>
  <c r="Z242" i="1" s="1"/>
  <c r="J242" i="1"/>
  <c r="AB242" i="1" s="1"/>
  <c r="AD241" i="1"/>
  <c r="AB241" i="1"/>
  <c r="Z241" i="1"/>
  <c r="J241" i="1"/>
  <c r="AC241" i="1" s="1"/>
  <c r="J240" i="1"/>
  <c r="AB239" i="1"/>
  <c r="Q239" i="1"/>
  <c r="P239" i="1"/>
  <c r="J239" i="1"/>
  <c r="Q238" i="1"/>
  <c r="P238" i="1"/>
  <c r="Z238" i="1" s="1"/>
  <c r="J238" i="1"/>
  <c r="AA238" i="1" s="1"/>
  <c r="AD237" i="1"/>
  <c r="AB237" i="1"/>
  <c r="Z237" i="1"/>
  <c r="J237" i="1"/>
  <c r="AC237" i="1" s="1"/>
  <c r="AC236" i="1"/>
  <c r="Z236" i="1"/>
  <c r="Q236" i="1"/>
  <c r="AA236" i="1" s="1"/>
  <c r="P236" i="1"/>
  <c r="J236" i="1"/>
  <c r="AD236" i="1" s="1"/>
  <c r="J235" i="1"/>
  <c r="AD235" i="1" s="1"/>
  <c r="Q234" i="1"/>
  <c r="AA234" i="1" s="1"/>
  <c r="P234" i="1"/>
  <c r="Z234" i="1" s="1"/>
  <c r="J234" i="1"/>
  <c r="P233" i="1"/>
  <c r="J233" i="1"/>
  <c r="AB233" i="1" s="1"/>
  <c r="AA232" i="1"/>
  <c r="Z232" i="1"/>
  <c r="J232" i="1"/>
  <c r="AC232" i="1" s="1"/>
  <c r="AC231" i="1"/>
  <c r="AB231" i="1"/>
  <c r="J231" i="1"/>
  <c r="J230" i="1"/>
  <c r="AB229" i="1"/>
  <c r="T229" i="1"/>
  <c r="Q229" i="1"/>
  <c r="P229" i="1"/>
  <c r="Z229" i="1" s="1"/>
  <c r="J229" i="1"/>
  <c r="AD229" i="1" s="1"/>
  <c r="AD228" i="1"/>
  <c r="AC228" i="1"/>
  <c r="Q228" i="1"/>
  <c r="P228" i="1"/>
  <c r="J228" i="1"/>
  <c r="AC227" i="1"/>
  <c r="AB227" i="1"/>
  <c r="Q227" i="1"/>
  <c r="AA227" i="1" s="1"/>
  <c r="P227" i="1"/>
  <c r="Z227" i="1" s="1"/>
  <c r="J227" i="1"/>
  <c r="AD227" i="1" s="1"/>
  <c r="AD226" i="1"/>
  <c r="Z226" i="1"/>
  <c r="Q226" i="1"/>
  <c r="AA226" i="1" s="1"/>
  <c r="J226" i="1"/>
  <c r="AB226" i="1" s="1"/>
  <c r="T225" i="1"/>
  <c r="Q225" i="1"/>
  <c r="P225" i="1"/>
  <c r="J225" i="1"/>
  <c r="U224" i="1"/>
  <c r="T224" i="1"/>
  <c r="Q224" i="1"/>
  <c r="P224" i="1"/>
  <c r="Z224" i="1" s="1"/>
  <c r="J224" i="1"/>
  <c r="AD223" i="1"/>
  <c r="AA223" i="1"/>
  <c r="U223" i="1"/>
  <c r="T223" i="1"/>
  <c r="Q223" i="1"/>
  <c r="P223" i="1"/>
  <c r="Z223" i="1" s="1"/>
  <c r="J223" i="1"/>
  <c r="AC223" i="1" s="1"/>
  <c r="U222" i="1"/>
  <c r="T222" i="1"/>
  <c r="Q222" i="1"/>
  <c r="P222" i="1"/>
  <c r="Z222" i="1" s="1"/>
  <c r="J222" i="1"/>
  <c r="T221" i="1"/>
  <c r="R221" i="1"/>
  <c r="Q221" i="1"/>
  <c r="P221" i="1"/>
  <c r="Z221" i="1" s="1"/>
  <c r="J221" i="1"/>
  <c r="AD220" i="1"/>
  <c r="AC220" i="1"/>
  <c r="AB220" i="1"/>
  <c r="AA220" i="1"/>
  <c r="Z220" i="1"/>
  <c r="U219" i="1"/>
  <c r="T219" i="1"/>
  <c r="Q219" i="1"/>
  <c r="P219" i="1"/>
  <c r="Z219" i="1" s="1"/>
  <c r="J219" i="1"/>
  <c r="AC219" i="1" s="1"/>
  <c r="H219" i="1"/>
  <c r="AD218" i="1"/>
  <c r="J218" i="1"/>
  <c r="AC218" i="1" s="1"/>
  <c r="J217" i="1"/>
  <c r="J216" i="1"/>
  <c r="AB215" i="1"/>
  <c r="P215" i="1"/>
  <c r="J215" i="1"/>
  <c r="Q214" i="1"/>
  <c r="P214" i="1"/>
  <c r="J214" i="1"/>
  <c r="AA213" i="1"/>
  <c r="Z213" i="1"/>
  <c r="J213" i="1"/>
  <c r="AB213" i="1" s="1"/>
  <c r="J212" i="1"/>
  <c r="J211" i="1"/>
  <c r="AD211" i="1" s="1"/>
  <c r="J210" i="1"/>
  <c r="AD209" i="1"/>
  <c r="AC209" i="1"/>
  <c r="P209" i="1"/>
  <c r="Z209" i="1" s="1"/>
  <c r="J209" i="1"/>
  <c r="AB209" i="1" s="1"/>
  <c r="AB208" i="1"/>
  <c r="P208" i="1"/>
  <c r="J208" i="1"/>
  <c r="AC208" i="1" s="1"/>
  <c r="Q207" i="1"/>
  <c r="J207" i="1"/>
  <c r="AC207" i="1" s="1"/>
  <c r="Y206" i="1"/>
  <c r="P206" i="1"/>
  <c r="J206" i="1"/>
  <c r="AD205" i="1"/>
  <c r="AB205" i="1"/>
  <c r="Z205" i="1"/>
  <c r="J205" i="1"/>
  <c r="AC205" i="1" s="1"/>
  <c r="AB204" i="1"/>
  <c r="P204" i="1"/>
  <c r="Z204" i="1" s="1"/>
  <c r="J204" i="1"/>
  <c r="AC203" i="1"/>
  <c r="AB203" i="1"/>
  <c r="Y203" i="1"/>
  <c r="Q203" i="1"/>
  <c r="P203" i="1"/>
  <c r="Z203" i="1" s="1"/>
  <c r="J203" i="1"/>
  <c r="AD203" i="1" s="1"/>
  <c r="AB202" i="1"/>
  <c r="P202" i="1"/>
  <c r="J202" i="1"/>
  <c r="AC202" i="1" s="1"/>
  <c r="P201" i="1"/>
  <c r="J201" i="1"/>
  <c r="Q200" i="1"/>
  <c r="P200" i="1"/>
  <c r="J200" i="1"/>
  <c r="AD199" i="1"/>
  <c r="AB199" i="1"/>
  <c r="Z199" i="1"/>
  <c r="J199" i="1"/>
  <c r="AC199" i="1" s="1"/>
  <c r="Z198" i="1"/>
  <c r="J198" i="1"/>
  <c r="AA198" i="1" s="1"/>
  <c r="AA197" i="1"/>
  <c r="P197" i="1"/>
  <c r="J197" i="1"/>
  <c r="AB197" i="1" s="1"/>
  <c r="J196" i="1"/>
  <c r="Y195" i="1"/>
  <c r="J195" i="1"/>
  <c r="Y194" i="1"/>
  <c r="P194" i="1"/>
  <c r="J194" i="1"/>
  <c r="P193" i="1"/>
  <c r="J193" i="1"/>
  <c r="J192" i="1"/>
  <c r="P191" i="1"/>
  <c r="J191" i="1"/>
  <c r="J190" i="1"/>
  <c r="P189" i="1"/>
  <c r="J189" i="1"/>
  <c r="AB189" i="1" s="1"/>
  <c r="AD188" i="1"/>
  <c r="P188" i="1"/>
  <c r="J188" i="1"/>
  <c r="AC187" i="1"/>
  <c r="Z187" i="1"/>
  <c r="P187" i="1"/>
  <c r="J187" i="1"/>
  <c r="AB187" i="1" s="1"/>
  <c r="P186" i="1"/>
  <c r="J186" i="1"/>
  <c r="AC186" i="1" s="1"/>
  <c r="P185" i="1"/>
  <c r="J185" i="1"/>
  <c r="AB185" i="1" s="1"/>
  <c r="AC184" i="1"/>
  <c r="AA184" i="1"/>
  <c r="P184" i="1"/>
  <c r="Z184" i="1" s="1"/>
  <c r="J184" i="1"/>
  <c r="AB184" i="1" s="1"/>
  <c r="AD183" i="1"/>
  <c r="AC183" i="1"/>
  <c r="P183" i="1"/>
  <c r="Z183" i="1" s="1"/>
  <c r="J183" i="1"/>
  <c r="AB183" i="1" s="1"/>
  <c r="P182" i="1"/>
  <c r="J182" i="1"/>
  <c r="AC182" i="1" s="1"/>
  <c r="AB181" i="1"/>
  <c r="P181" i="1"/>
  <c r="J181" i="1"/>
  <c r="AA181" i="1" s="1"/>
  <c r="AC180" i="1"/>
  <c r="P180" i="1"/>
  <c r="Z180" i="1" s="1"/>
  <c r="J180" i="1"/>
  <c r="AB180" i="1" s="1"/>
  <c r="P179" i="1"/>
  <c r="J179" i="1"/>
  <c r="P178" i="1"/>
  <c r="J178" i="1"/>
  <c r="P177" i="1"/>
  <c r="J177" i="1"/>
  <c r="AB177" i="1" s="1"/>
  <c r="Q176" i="1"/>
  <c r="P176" i="1"/>
  <c r="J176" i="1"/>
  <c r="AD175" i="1"/>
  <c r="P175" i="1"/>
  <c r="J175" i="1"/>
  <c r="P174" i="1"/>
  <c r="J174" i="1"/>
  <c r="AC173" i="1"/>
  <c r="P173" i="1"/>
  <c r="Z173" i="1" s="1"/>
  <c r="J173" i="1"/>
  <c r="AB173" i="1" s="1"/>
  <c r="AB172" i="1"/>
  <c r="P172" i="1"/>
  <c r="J172" i="1"/>
  <c r="AA172" i="1" s="1"/>
  <c r="AA171" i="1"/>
  <c r="P171" i="1"/>
  <c r="Z171" i="1" s="1"/>
  <c r="J171" i="1"/>
  <c r="AD170" i="1"/>
  <c r="AC170" i="1"/>
  <c r="P170" i="1"/>
  <c r="Z170" i="1" s="1"/>
  <c r="J170" i="1"/>
  <c r="AB170" i="1" s="1"/>
  <c r="P169" i="1"/>
  <c r="J169" i="1"/>
  <c r="AC169" i="1" s="1"/>
  <c r="P168" i="1"/>
  <c r="J168" i="1"/>
  <c r="AB168" i="1" s="1"/>
  <c r="P167" i="1"/>
  <c r="Z167" i="1" s="1"/>
  <c r="J167" i="1"/>
  <c r="AD166" i="1"/>
  <c r="AC166" i="1"/>
  <c r="P166" i="1"/>
  <c r="Z166" i="1" s="1"/>
  <c r="J166" i="1"/>
  <c r="AB166" i="1" s="1"/>
  <c r="P165" i="1"/>
  <c r="J165" i="1"/>
  <c r="P164" i="1"/>
  <c r="J164" i="1"/>
  <c r="AA164" i="1" s="1"/>
  <c r="AC163" i="1"/>
  <c r="AA163" i="1"/>
  <c r="P163" i="1"/>
  <c r="Z163" i="1" s="1"/>
  <c r="J163" i="1"/>
  <c r="AB163" i="1" s="1"/>
  <c r="AD162" i="1"/>
  <c r="AC162" i="1"/>
  <c r="P162" i="1"/>
  <c r="Z162" i="1" s="1"/>
  <c r="J162" i="1"/>
  <c r="AB162" i="1" s="1"/>
  <c r="AB161" i="1"/>
  <c r="J161" i="1"/>
  <c r="AC161" i="1" s="1"/>
  <c r="Q160" i="1"/>
  <c r="P160" i="1"/>
  <c r="J160" i="1"/>
  <c r="P159" i="1"/>
  <c r="J159" i="1"/>
  <c r="AD158" i="1"/>
  <c r="AC158" i="1"/>
  <c r="Z158" i="1"/>
  <c r="P158" i="1"/>
  <c r="J158" i="1"/>
  <c r="AB158" i="1" s="1"/>
  <c r="P157" i="1"/>
  <c r="J157" i="1"/>
  <c r="AC157" i="1" s="1"/>
  <c r="AB156" i="1"/>
  <c r="P156" i="1"/>
  <c r="J156" i="1"/>
  <c r="AA155" i="1"/>
  <c r="P155" i="1"/>
  <c r="J155" i="1"/>
  <c r="P154" i="1"/>
  <c r="J154" i="1"/>
  <c r="AC154" i="1" s="1"/>
  <c r="R153" i="1"/>
  <c r="AB153" i="1" s="1"/>
  <c r="Q153" i="1"/>
  <c r="P153" i="1"/>
  <c r="Z153" i="1" s="1"/>
  <c r="J153" i="1"/>
  <c r="AD153" i="1" s="1"/>
  <c r="P152" i="1"/>
  <c r="J152" i="1"/>
  <c r="AC152" i="1" s="1"/>
  <c r="P151" i="1"/>
  <c r="J151" i="1"/>
  <c r="AC151" i="1" s="1"/>
  <c r="AA150" i="1"/>
  <c r="Q150" i="1"/>
  <c r="P150" i="1"/>
  <c r="Z150" i="1" s="1"/>
  <c r="J150" i="1"/>
  <c r="AB149" i="1"/>
  <c r="R149" i="1"/>
  <c r="Q149" i="1"/>
  <c r="AA149" i="1" s="1"/>
  <c r="P149" i="1"/>
  <c r="Z149" i="1" s="1"/>
  <c r="J149" i="1"/>
  <c r="AD149" i="1" s="1"/>
  <c r="AC148" i="1"/>
  <c r="R148" i="1"/>
  <c r="AB148" i="1" s="1"/>
  <c r="Q148" i="1"/>
  <c r="AA148" i="1" s="1"/>
  <c r="P148" i="1"/>
  <c r="Z148" i="1" s="1"/>
  <c r="J148" i="1"/>
  <c r="AD148" i="1" s="1"/>
  <c r="AD147" i="1"/>
  <c r="Q147" i="1"/>
  <c r="P147" i="1"/>
  <c r="Z147" i="1" s="1"/>
  <c r="J147" i="1"/>
  <c r="AC146" i="1"/>
  <c r="P146" i="1"/>
  <c r="J146" i="1"/>
  <c r="AB145" i="1"/>
  <c r="Q145" i="1"/>
  <c r="P145" i="1"/>
  <c r="J145" i="1"/>
  <c r="P144" i="1"/>
  <c r="J144" i="1"/>
  <c r="AC144" i="1" s="1"/>
  <c r="P143" i="1"/>
  <c r="J143" i="1"/>
  <c r="AB143" i="1" s="1"/>
  <c r="Q142" i="1"/>
  <c r="P142" i="1"/>
  <c r="J142" i="1"/>
  <c r="AA141" i="1"/>
  <c r="Z141" i="1"/>
  <c r="P141" i="1"/>
  <c r="J141" i="1"/>
  <c r="AD141" i="1" s="1"/>
  <c r="AD140" i="1"/>
  <c r="AC140" i="1"/>
  <c r="AB140" i="1"/>
  <c r="Q140" i="1"/>
  <c r="AA140" i="1" s="1"/>
  <c r="P140" i="1"/>
  <c r="Z140" i="1" s="1"/>
  <c r="J140" i="1"/>
  <c r="AD139" i="1"/>
  <c r="AC139" i="1"/>
  <c r="P139" i="1"/>
  <c r="Z139" i="1" s="1"/>
  <c r="J139" i="1"/>
  <c r="AB139" i="1" s="1"/>
  <c r="AC138" i="1"/>
  <c r="P138" i="1"/>
  <c r="J138" i="1"/>
  <c r="AD137" i="1"/>
  <c r="AB137" i="1"/>
  <c r="AA137" i="1"/>
  <c r="Z137" i="1"/>
  <c r="J137" i="1"/>
  <c r="AC137" i="1" s="1"/>
  <c r="J136" i="1"/>
  <c r="AC136" i="1" s="1"/>
  <c r="P135" i="1"/>
  <c r="J135" i="1"/>
  <c r="AD134" i="1"/>
  <c r="P134" i="1"/>
  <c r="J134" i="1"/>
  <c r="AD133" i="1"/>
  <c r="Z133" i="1"/>
  <c r="J133" i="1"/>
  <c r="AC133" i="1" s="1"/>
  <c r="AA132" i="1"/>
  <c r="P132" i="1"/>
  <c r="J132" i="1"/>
  <c r="AB132" i="1" s="1"/>
  <c r="AD131" i="1"/>
  <c r="AA131" i="1"/>
  <c r="P131" i="1"/>
  <c r="J131" i="1"/>
  <c r="AC130" i="1"/>
  <c r="AB130" i="1"/>
  <c r="Q130" i="1"/>
  <c r="AA130" i="1" s="1"/>
  <c r="P130" i="1"/>
  <c r="Z130" i="1" s="1"/>
  <c r="J130" i="1"/>
  <c r="AD130" i="1" s="1"/>
  <c r="AD129" i="1"/>
  <c r="R129" i="1"/>
  <c r="Q129" i="1"/>
  <c r="P129" i="1"/>
  <c r="J129" i="1"/>
  <c r="Q128" i="1"/>
  <c r="P128" i="1"/>
  <c r="J128" i="1"/>
  <c r="AA128" i="1" s="1"/>
  <c r="AC127" i="1"/>
  <c r="AA127" i="1"/>
  <c r="P127" i="1"/>
  <c r="Z127" i="1" s="1"/>
  <c r="J127" i="1"/>
  <c r="AB127" i="1" s="1"/>
  <c r="Z126" i="1"/>
  <c r="Q126" i="1"/>
  <c r="P126" i="1"/>
  <c r="J126" i="1"/>
  <c r="AC126" i="1" s="1"/>
  <c r="AD125" i="1"/>
  <c r="AC125" i="1"/>
  <c r="AB125" i="1"/>
  <c r="Q125" i="1"/>
  <c r="AA125" i="1" s="1"/>
  <c r="P125" i="1"/>
  <c r="Z125" i="1" s="1"/>
  <c r="J125" i="1"/>
  <c r="AD124" i="1"/>
  <c r="Z124" i="1"/>
  <c r="Q124" i="1"/>
  <c r="P124" i="1"/>
  <c r="J124" i="1"/>
  <c r="AC123" i="1"/>
  <c r="R123" i="1"/>
  <c r="AB123" i="1" s="1"/>
  <c r="Q123" i="1"/>
  <c r="AA123" i="1" s="1"/>
  <c r="P123" i="1"/>
  <c r="J123" i="1"/>
  <c r="AD122" i="1"/>
  <c r="R122" i="1"/>
  <c r="Q122" i="1"/>
  <c r="AA122" i="1" s="1"/>
  <c r="P122" i="1"/>
  <c r="Z122" i="1" s="1"/>
  <c r="J122" i="1"/>
  <c r="AC122" i="1" s="1"/>
  <c r="AA121" i="1"/>
  <c r="Q121" i="1"/>
  <c r="P121" i="1"/>
  <c r="J121" i="1"/>
  <c r="Q120" i="1"/>
  <c r="AA120" i="1" s="1"/>
  <c r="P120" i="1"/>
  <c r="J120" i="1"/>
  <c r="AB120" i="1" s="1"/>
  <c r="Q119" i="1"/>
  <c r="P119" i="1"/>
  <c r="J119" i="1"/>
  <c r="AB119" i="1" s="1"/>
  <c r="AB118" i="1"/>
  <c r="R118" i="1"/>
  <c r="Q118" i="1"/>
  <c r="AA118" i="1" s="1"/>
  <c r="P118" i="1"/>
  <c r="Z118" i="1" s="1"/>
  <c r="J118" i="1"/>
  <c r="AD118" i="1" s="1"/>
  <c r="S117" i="1"/>
  <c r="AC117" i="1" s="1"/>
  <c r="R117" i="1"/>
  <c r="AB117" i="1" s="1"/>
  <c r="Q117" i="1"/>
  <c r="P117" i="1"/>
  <c r="Z117" i="1" s="1"/>
  <c r="J117" i="1"/>
  <c r="AD117" i="1" s="1"/>
  <c r="W116" i="1"/>
  <c r="U116" i="1"/>
  <c r="T116" i="1"/>
  <c r="S116" i="1"/>
  <c r="R116" i="1"/>
  <c r="Q116" i="1"/>
  <c r="P116" i="1"/>
  <c r="J116" i="1"/>
  <c r="W115" i="1"/>
  <c r="T115" i="1"/>
  <c r="S115" i="1"/>
  <c r="R115" i="1"/>
  <c r="Q115" i="1"/>
  <c r="P115" i="1"/>
  <c r="J115" i="1"/>
  <c r="AD115" i="1" s="1"/>
  <c r="W114" i="1"/>
  <c r="S114" i="1"/>
  <c r="R114" i="1"/>
  <c r="Q114" i="1"/>
  <c r="AA114" i="1" s="1"/>
  <c r="P114" i="1"/>
  <c r="J114" i="1"/>
  <c r="J113" i="1"/>
  <c r="J112" i="1"/>
  <c r="AD111" i="1"/>
  <c r="AA111" i="1"/>
  <c r="J111" i="1"/>
  <c r="J110" i="1"/>
  <c r="AA109" i="1"/>
  <c r="J109" i="1"/>
  <c r="AC108" i="1"/>
  <c r="J108" i="1"/>
  <c r="AB108" i="1" s="1"/>
  <c r="AD107" i="1"/>
  <c r="Z107" i="1"/>
  <c r="J107" i="1"/>
  <c r="AA107" i="1" s="1"/>
  <c r="AC106" i="1"/>
  <c r="AB106" i="1"/>
  <c r="J106" i="1"/>
  <c r="AA106" i="1" s="1"/>
  <c r="AC105" i="1"/>
  <c r="J105" i="1"/>
  <c r="AB105" i="1" s="1"/>
  <c r="AC104" i="1"/>
  <c r="J104" i="1"/>
  <c r="AA104" i="1" s="1"/>
  <c r="J103" i="1"/>
  <c r="AB103" i="1" s="1"/>
  <c r="J102" i="1"/>
  <c r="Z101" i="1"/>
  <c r="J101" i="1"/>
  <c r="AB101" i="1" s="1"/>
  <c r="AA100" i="1"/>
  <c r="J100" i="1"/>
  <c r="AC100" i="1" s="1"/>
  <c r="AC99" i="1"/>
  <c r="AA99" i="1"/>
  <c r="J99" i="1"/>
  <c r="AC98" i="1"/>
  <c r="AA98" i="1"/>
  <c r="J98" i="1"/>
  <c r="AB98" i="1" s="1"/>
  <c r="AC97" i="1"/>
  <c r="J97" i="1"/>
  <c r="AB97" i="1" s="1"/>
  <c r="J96" i="1"/>
  <c r="AC96" i="1" s="1"/>
  <c r="J95" i="1"/>
  <c r="AB95" i="1" s="1"/>
  <c r="J94" i="1"/>
  <c r="J93" i="1"/>
  <c r="J92" i="1"/>
  <c r="AC91" i="1"/>
  <c r="Z91" i="1"/>
  <c r="J91" i="1"/>
  <c r="AB91" i="1" s="1"/>
  <c r="J90" i="1"/>
  <c r="AA90" i="1" s="1"/>
  <c r="AC89" i="1"/>
  <c r="J89" i="1"/>
  <c r="AB89" i="1" s="1"/>
  <c r="AC88" i="1"/>
  <c r="J88" i="1"/>
  <c r="AA88" i="1" s="1"/>
  <c r="J87" i="1"/>
  <c r="AB87" i="1" s="1"/>
  <c r="J86" i="1"/>
  <c r="AB86" i="1" s="1"/>
  <c r="J85" i="1"/>
  <c r="J84" i="1"/>
  <c r="AB84" i="1" s="1"/>
  <c r="AD83" i="1"/>
  <c r="AB83" i="1"/>
  <c r="Z83" i="1"/>
  <c r="J83" i="1"/>
  <c r="AC83" i="1" s="1"/>
  <c r="J82" i="1"/>
  <c r="AB82" i="1" s="1"/>
  <c r="AD81" i="1"/>
  <c r="AB81" i="1"/>
  <c r="AA81" i="1"/>
  <c r="Z81" i="1"/>
  <c r="J81" i="1"/>
  <c r="AC81" i="1" s="1"/>
  <c r="J80" i="1"/>
  <c r="AB80" i="1" s="1"/>
  <c r="AA79" i="1"/>
  <c r="J79" i="1"/>
  <c r="J78" i="1"/>
  <c r="AB78" i="1" s="1"/>
  <c r="AB77" i="1"/>
  <c r="J77" i="1"/>
  <c r="R76" i="1"/>
  <c r="J76" i="1"/>
  <c r="AC76" i="1" s="1"/>
  <c r="R75" i="1"/>
  <c r="J75" i="1"/>
  <c r="AA75" i="1" s="1"/>
  <c r="AD74" i="1"/>
  <c r="AB74" i="1"/>
  <c r="AA74" i="1"/>
  <c r="Z74" i="1"/>
  <c r="J74" i="1"/>
  <c r="AC74" i="1" s="1"/>
  <c r="J73" i="1"/>
  <c r="AB73" i="1" s="1"/>
  <c r="J72" i="1"/>
  <c r="J71" i="1"/>
  <c r="AB71" i="1" s="1"/>
  <c r="J70" i="1"/>
  <c r="J69" i="1"/>
  <c r="AB69" i="1" s="1"/>
  <c r="AD68" i="1"/>
  <c r="AB68" i="1"/>
  <c r="Z68" i="1"/>
  <c r="J68" i="1"/>
  <c r="AC68" i="1" s="1"/>
  <c r="J67" i="1"/>
  <c r="AB67" i="1" s="1"/>
  <c r="AD66" i="1"/>
  <c r="AB66" i="1"/>
  <c r="AA66" i="1"/>
  <c r="Z66" i="1"/>
  <c r="J66" i="1"/>
  <c r="AC66" i="1" s="1"/>
  <c r="J65" i="1"/>
  <c r="AB65" i="1" s="1"/>
  <c r="AD64" i="1"/>
  <c r="AA64" i="1"/>
  <c r="J64" i="1"/>
  <c r="J63" i="1"/>
  <c r="AB63" i="1" s="1"/>
  <c r="J62" i="1"/>
  <c r="J61" i="1"/>
  <c r="AB61" i="1" s="1"/>
  <c r="AD60" i="1"/>
  <c r="AB60" i="1"/>
  <c r="J60" i="1"/>
  <c r="J59" i="1"/>
  <c r="AB59" i="1" s="1"/>
  <c r="AD58" i="1"/>
  <c r="AB58" i="1"/>
  <c r="AA58" i="1"/>
  <c r="Z58" i="1"/>
  <c r="J58" i="1"/>
  <c r="AC58" i="1" s="1"/>
  <c r="J57" i="1"/>
  <c r="AB57" i="1" s="1"/>
  <c r="J56" i="1"/>
  <c r="J55" i="1"/>
  <c r="AB55" i="1" s="1"/>
  <c r="J54" i="1"/>
  <c r="J53" i="1"/>
  <c r="AB53" i="1" s="1"/>
  <c r="J52" i="1"/>
  <c r="AD52" i="1" s="1"/>
  <c r="J51" i="1"/>
  <c r="AB51" i="1" s="1"/>
  <c r="AD50" i="1"/>
  <c r="AB50" i="1"/>
  <c r="AA50" i="1"/>
  <c r="Z50" i="1"/>
  <c r="J50" i="1"/>
  <c r="AC50" i="1" s="1"/>
  <c r="J49" i="1"/>
  <c r="AB49" i="1" s="1"/>
  <c r="AD48" i="1"/>
  <c r="J48" i="1"/>
  <c r="J47" i="1"/>
  <c r="AB47" i="1" s="1"/>
  <c r="AA46" i="1"/>
  <c r="J46" i="1"/>
  <c r="J45" i="1"/>
  <c r="AB45" i="1" s="1"/>
  <c r="H44" i="1"/>
  <c r="J44" i="1" s="1"/>
  <c r="J43" i="1"/>
  <c r="J42" i="1"/>
  <c r="AD41" i="1"/>
  <c r="AA41" i="1"/>
  <c r="Z41" i="1"/>
  <c r="J41" i="1"/>
  <c r="AC41" i="1" s="1"/>
  <c r="J40" i="1"/>
  <c r="AA40" i="1" s="1"/>
  <c r="AA39" i="1"/>
  <c r="J39" i="1"/>
  <c r="AB38" i="1"/>
  <c r="J38" i="1"/>
  <c r="AA38" i="1" s="1"/>
  <c r="AD37" i="1"/>
  <c r="AA37" i="1"/>
  <c r="J37" i="1"/>
  <c r="J36" i="1"/>
  <c r="AD35" i="1"/>
  <c r="J35" i="1"/>
  <c r="J34" i="1"/>
  <c r="AD33" i="1"/>
  <c r="AA33" i="1"/>
  <c r="Z33" i="1"/>
  <c r="J33" i="1"/>
  <c r="AC33" i="1" s="1"/>
  <c r="AB32" i="1"/>
  <c r="J32" i="1"/>
  <c r="AA32" i="1" s="1"/>
  <c r="AA31" i="1"/>
  <c r="J31" i="1"/>
  <c r="AB30" i="1"/>
  <c r="J30" i="1"/>
  <c r="AA30" i="1" s="1"/>
  <c r="J29" i="1"/>
  <c r="J28" i="1"/>
  <c r="J27" i="1"/>
  <c r="J26" i="1"/>
  <c r="AD25" i="1"/>
  <c r="AA25" i="1"/>
  <c r="Z25" i="1"/>
  <c r="J25" i="1"/>
  <c r="AC25" i="1" s="1"/>
  <c r="AB24" i="1"/>
  <c r="J24" i="1"/>
  <c r="AA24" i="1" s="1"/>
  <c r="J23" i="1"/>
  <c r="AB22" i="1"/>
  <c r="J22" i="1"/>
  <c r="AA22" i="1" s="1"/>
  <c r="AD21" i="1"/>
  <c r="J21" i="1"/>
  <c r="J20" i="1"/>
  <c r="AD19" i="1"/>
  <c r="Z19" i="1"/>
  <c r="J19" i="1"/>
  <c r="J18" i="1"/>
  <c r="AD17" i="1"/>
  <c r="AA17" i="1"/>
  <c r="Z17" i="1"/>
  <c r="J17" i="1"/>
  <c r="AC17" i="1" s="1"/>
  <c r="J16" i="1"/>
  <c r="AA16" i="1" s="1"/>
  <c r="J15" i="1"/>
  <c r="AB14" i="1"/>
  <c r="J14" i="1"/>
  <c r="AA14" i="1" s="1"/>
  <c r="J13" i="1"/>
  <c r="AA13" i="1" s="1"/>
  <c r="J12" i="1"/>
  <c r="J11" i="1"/>
  <c r="J10" i="1"/>
  <c r="AD9" i="1"/>
  <c r="AA9" i="1"/>
  <c r="Z9" i="1"/>
  <c r="J9" i="1"/>
  <c r="AC9" i="1" s="1"/>
  <c r="J8" i="1"/>
  <c r="AA8" i="1" s="1"/>
  <c r="AA12" i="1" l="1"/>
  <c r="AB12" i="1"/>
  <c r="AC23" i="1"/>
  <c r="AD23" i="1"/>
  <c r="Z23" i="1"/>
  <c r="AC62" i="1"/>
  <c r="AD62" i="1"/>
  <c r="Z62" i="1"/>
  <c r="AB16" i="1"/>
  <c r="AC27" i="1"/>
  <c r="AA27" i="1"/>
  <c r="Z52" i="1"/>
  <c r="AC56" i="1"/>
  <c r="AB56" i="1"/>
  <c r="Z56" i="1"/>
  <c r="AA62" i="1"/>
  <c r="Z129" i="1"/>
  <c r="AC129" i="1"/>
  <c r="AC147" i="1"/>
  <c r="AB147" i="1"/>
  <c r="AB159" i="1"/>
  <c r="AC159" i="1"/>
  <c r="AA159" i="1"/>
  <c r="AB174" i="1"/>
  <c r="AD174" i="1"/>
  <c r="AC190" i="1"/>
  <c r="AD190" i="1"/>
  <c r="AB190" i="1"/>
  <c r="AA190" i="1"/>
  <c r="Z190" i="1"/>
  <c r="AC211" i="1"/>
  <c r="AC230" i="1"/>
  <c r="AA230" i="1"/>
  <c r="AD248" i="1"/>
  <c r="AC248" i="1"/>
  <c r="Z248" i="1"/>
  <c r="AB252" i="1"/>
  <c r="AD252" i="1"/>
  <c r="AC252" i="1"/>
  <c r="AD276" i="1"/>
  <c r="AB276" i="1"/>
  <c r="AA20" i="1"/>
  <c r="AB20" i="1"/>
  <c r="Z27" i="1"/>
  <c r="AC31" i="1"/>
  <c r="AD31" i="1"/>
  <c r="Z31" i="1"/>
  <c r="AA34" i="1"/>
  <c r="AB34" i="1"/>
  <c r="AC46" i="1"/>
  <c r="AD46" i="1"/>
  <c r="Z46" i="1"/>
  <c r="AB52" i="1"/>
  <c r="AA56" i="1"/>
  <c r="AB62" i="1"/>
  <c r="Z76" i="1"/>
  <c r="AC124" i="1"/>
  <c r="AB124" i="1"/>
  <c r="AD145" i="1"/>
  <c r="AC145" i="1"/>
  <c r="AB167" i="1"/>
  <c r="AD167" i="1"/>
  <c r="AC167" i="1"/>
  <c r="AB169" i="1"/>
  <c r="Z176" i="1"/>
  <c r="AB195" i="1"/>
  <c r="AA195" i="1"/>
  <c r="AC212" i="1"/>
  <c r="AB212" i="1"/>
  <c r="AA212" i="1"/>
  <c r="AD225" i="1"/>
  <c r="AC225" i="1"/>
  <c r="AB225" i="1"/>
  <c r="Z230" i="1"/>
  <c r="Z252" i="1"/>
  <c r="AD268" i="1"/>
  <c r="AB268" i="1"/>
  <c r="AA268" i="1"/>
  <c r="AA276" i="1"/>
  <c r="AD282" i="1"/>
  <c r="AB282" i="1"/>
  <c r="AA282" i="1"/>
  <c r="AC13" i="1"/>
  <c r="Z13" i="1"/>
  <c r="AA23" i="1"/>
  <c r="AD13" i="1"/>
  <c r="AC21" i="1"/>
  <c r="Z21" i="1"/>
  <c r="AD27" i="1"/>
  <c r="AC35" i="1"/>
  <c r="AA35" i="1"/>
  <c r="AD56" i="1"/>
  <c r="AC60" i="1"/>
  <c r="AA60" i="1"/>
  <c r="AC70" i="1"/>
  <c r="AD70" i="1"/>
  <c r="AA70" i="1"/>
  <c r="Z70" i="1"/>
  <c r="AC92" i="1"/>
  <c r="AA92" i="1"/>
  <c r="AC113" i="1"/>
  <c r="AA113" i="1"/>
  <c r="Z113" i="1"/>
  <c r="AA129" i="1"/>
  <c r="AB131" i="1"/>
  <c r="AC131" i="1"/>
  <c r="Z131" i="1"/>
  <c r="AB155" i="1"/>
  <c r="AD155" i="1"/>
  <c r="AC155" i="1"/>
  <c r="Z159" i="1"/>
  <c r="Z174" i="1"/>
  <c r="AB182" i="1"/>
  <c r="AD230" i="1"/>
  <c r="AD296" i="1"/>
  <c r="AB296" i="1"/>
  <c r="AA10" i="1"/>
  <c r="AB10" i="1"/>
  <c r="AA21" i="1"/>
  <c r="AA28" i="1"/>
  <c r="AB28" i="1"/>
  <c r="Z35" i="1"/>
  <c r="AC39" i="1"/>
  <c r="AD39" i="1"/>
  <c r="Z39" i="1"/>
  <c r="AA42" i="1"/>
  <c r="AB42" i="1"/>
  <c r="AB46" i="1"/>
  <c r="Z60" i="1"/>
  <c r="AC64" i="1"/>
  <c r="AB64" i="1"/>
  <c r="Z64" i="1"/>
  <c r="AB70" i="1"/>
  <c r="AC77" i="1"/>
  <c r="AD77" i="1"/>
  <c r="AA77" i="1"/>
  <c r="Z77" i="1"/>
  <c r="AB92" i="1"/>
  <c r="AC109" i="1"/>
  <c r="AD109" i="1"/>
  <c r="Z109" i="1"/>
  <c r="AD113" i="1"/>
  <c r="Z121" i="1"/>
  <c r="AB129" i="1"/>
  <c r="AA145" i="1"/>
  <c r="Z155" i="1"/>
  <c r="AD159" i="1"/>
  <c r="AA167" i="1"/>
  <c r="AC174" i="1"/>
  <c r="AB188" i="1"/>
  <c r="AC188" i="1"/>
  <c r="AA188" i="1"/>
  <c r="Z188" i="1"/>
  <c r="AA204" i="1"/>
  <c r="AD204" i="1"/>
  <c r="AC221" i="1"/>
  <c r="AD221" i="1"/>
  <c r="AA221" i="1"/>
  <c r="AA225" i="1"/>
  <c r="AD245" i="1"/>
  <c r="AB245" i="1"/>
  <c r="AB257" i="1"/>
  <c r="AD257" i="1"/>
  <c r="AC257" i="1"/>
  <c r="AA257" i="1"/>
  <c r="AA296" i="1"/>
  <c r="AA26" i="1"/>
  <c r="AB26" i="1"/>
  <c r="AC52" i="1"/>
  <c r="AA52" i="1"/>
  <c r="AB154" i="1"/>
  <c r="AD154" i="1"/>
  <c r="Z154" i="1"/>
  <c r="AC29" i="1"/>
  <c r="Z29" i="1"/>
  <c r="AC54" i="1"/>
  <c r="AD54" i="1"/>
  <c r="Z54" i="1"/>
  <c r="AC85" i="1"/>
  <c r="AD85" i="1"/>
  <c r="AA85" i="1"/>
  <c r="Z85" i="1"/>
  <c r="AB93" i="1"/>
  <c r="Z93" i="1"/>
  <c r="AD126" i="1"/>
  <c r="AB126" i="1"/>
  <c r="AB134" i="1"/>
  <c r="AC134" i="1"/>
  <c r="AA134" i="1"/>
  <c r="AB175" i="1"/>
  <c r="AC175" i="1"/>
  <c r="Z175" i="1"/>
  <c r="AC193" i="1"/>
  <c r="AD193" i="1"/>
  <c r="AA193" i="1"/>
  <c r="Z193" i="1"/>
  <c r="AC217" i="1"/>
  <c r="AD217" i="1"/>
  <c r="AB217" i="1"/>
  <c r="AA217" i="1"/>
  <c r="Z217" i="1"/>
  <c r="AD262" i="1"/>
  <c r="AB262" i="1"/>
  <c r="AA76" i="1"/>
  <c r="AD76" i="1"/>
  <c r="AB152" i="1"/>
  <c r="AD152" i="1"/>
  <c r="AB179" i="1"/>
  <c r="AD179" i="1"/>
  <c r="AC179" i="1"/>
  <c r="AC11" i="1"/>
  <c r="AA11" i="1"/>
  <c r="AC43" i="1"/>
  <c r="AA43" i="1"/>
  <c r="Z11" i="1"/>
  <c r="AC15" i="1"/>
  <c r="AD15" i="1"/>
  <c r="Z15" i="1"/>
  <c r="AA18" i="1"/>
  <c r="AB18" i="1"/>
  <c r="AA29" i="1"/>
  <c r="AA36" i="1"/>
  <c r="AB36" i="1"/>
  <c r="Z43" i="1"/>
  <c r="AC48" i="1"/>
  <c r="AB48" i="1"/>
  <c r="Z48" i="1"/>
  <c r="AA54" i="1"/>
  <c r="AC72" i="1"/>
  <c r="AD72" i="1"/>
  <c r="AB72" i="1"/>
  <c r="Z72" i="1"/>
  <c r="AB85" i="1"/>
  <c r="AB90" i="1"/>
  <c r="AA93" i="1"/>
  <c r="AB141" i="1"/>
  <c r="AC141" i="1"/>
  <c r="AB146" i="1"/>
  <c r="AD146" i="1"/>
  <c r="Z146" i="1"/>
  <c r="AC178" i="1"/>
  <c r="AB178" i="1"/>
  <c r="Z214" i="1"/>
  <c r="AD214" i="1"/>
  <c r="AA262" i="1"/>
  <c r="AD279" i="1"/>
  <c r="AC279" i="1"/>
  <c r="Z279" i="1"/>
  <c r="AB8" i="1"/>
  <c r="AD11" i="1"/>
  <c r="AA15" i="1"/>
  <c r="AC19" i="1"/>
  <c r="AA19" i="1"/>
  <c r="AD29" i="1"/>
  <c r="AC37" i="1"/>
  <c r="Z37" i="1"/>
  <c r="AB40" i="1"/>
  <c r="AD43" i="1"/>
  <c r="AA48" i="1"/>
  <c r="AB54" i="1"/>
  <c r="AA72" i="1"/>
  <c r="AC79" i="1"/>
  <c r="AD79" i="1"/>
  <c r="AB79" i="1"/>
  <c r="Z79" i="1"/>
  <c r="AC90" i="1"/>
  <c r="AB99" i="1"/>
  <c r="Z99" i="1"/>
  <c r="AC111" i="1"/>
  <c r="Z111" i="1"/>
  <c r="AA126" i="1"/>
  <c r="Z134" i="1"/>
  <c r="AB151" i="1"/>
  <c r="AA168" i="1"/>
  <c r="AB171" i="1"/>
  <c r="AD171" i="1"/>
  <c r="AC171" i="1"/>
  <c r="AA175" i="1"/>
  <c r="Z178" i="1"/>
  <c r="Z218" i="1"/>
  <c r="AB221" i="1"/>
  <c r="AB228" i="1"/>
  <c r="Z228" i="1"/>
  <c r="AD285" i="1"/>
  <c r="AC285" i="1"/>
  <c r="Z285" i="1"/>
  <c r="AD294" i="1"/>
  <c r="AB294" i="1"/>
  <c r="AA294" i="1"/>
  <c r="AB114" i="1"/>
  <c r="Z123" i="1"/>
  <c r="AA124" i="1"/>
  <c r="AD127" i="1"/>
  <c r="AA147" i="1"/>
  <c r="Z152" i="1"/>
  <c r="AC153" i="1"/>
  <c r="Z169" i="1"/>
  <c r="AA180" i="1"/>
  <c r="Z182" i="1"/>
  <c r="AD187" i="1"/>
  <c r="Z200" i="1"/>
  <c r="Z206" i="1"/>
  <c r="AC213" i="1"/>
  <c r="AD219" i="1"/>
  <c r="AB223" i="1"/>
  <c r="Z225" i="1"/>
  <c r="AC226" i="1"/>
  <c r="AD232" i="1"/>
  <c r="AB236" i="1"/>
  <c r="Z257" i="1"/>
  <c r="AA91" i="1"/>
  <c r="AB100" i="1"/>
  <c r="Z142" i="1"/>
  <c r="Z179" i="1"/>
  <c r="AD180" i="1"/>
  <c r="AB198" i="1"/>
  <c r="AA203" i="1"/>
  <c r="AA209" i="1"/>
  <c r="AA229" i="1"/>
  <c r="Z235" i="1"/>
  <c r="AA241" i="1"/>
  <c r="Z243" i="1"/>
  <c r="Z246" i="1"/>
  <c r="AA255" i="1"/>
  <c r="AB260" i="1"/>
  <c r="Z263" i="1"/>
  <c r="AA274" i="1"/>
  <c r="Z277" i="1"/>
  <c r="AA288" i="1"/>
  <c r="AA292" i="1"/>
  <c r="Z116" i="1"/>
  <c r="AA214" i="1"/>
  <c r="AA228" i="1"/>
  <c r="AA233" i="1"/>
  <c r="AC235" i="1"/>
  <c r="AA243" i="1"/>
  <c r="AC246" i="1"/>
  <c r="Z251" i="1"/>
  <c r="AB255" i="1"/>
  <c r="AC263" i="1"/>
  <c r="AB274" i="1"/>
  <c r="AC277" i="1"/>
  <c r="AB288" i="1"/>
  <c r="AB292" i="1"/>
  <c r="AC243" i="1"/>
  <c r="AA251" i="1"/>
  <c r="AA68" i="1"/>
  <c r="AB76" i="1"/>
  <c r="AA83" i="1"/>
  <c r="AA101" i="1"/>
  <c r="Z115" i="1"/>
  <c r="AA117" i="1"/>
  <c r="AD123" i="1"/>
  <c r="AD142" i="1"/>
  <c r="Z145" i="1"/>
  <c r="Z151" i="1"/>
  <c r="AA153" i="1"/>
  <c r="AD163" i="1"/>
  <c r="AA177" i="1"/>
  <c r="AD184" i="1"/>
  <c r="AA199" i="1"/>
  <c r="AA205" i="1"/>
  <c r="AA219" i="1"/>
  <c r="AC229" i="1"/>
  <c r="AA237" i="1"/>
  <c r="AA247" i="1"/>
  <c r="AB249" i="1"/>
  <c r="AC251" i="1"/>
  <c r="Z256" i="1"/>
  <c r="AA258" i="1"/>
  <c r="AC261" i="1"/>
  <c r="AA272" i="1"/>
  <c r="AA278" i="1"/>
  <c r="AB280" i="1"/>
  <c r="AA284" i="1"/>
  <c r="Z293" i="1"/>
  <c r="AB298" i="1"/>
  <c r="AD44" i="1"/>
  <c r="Z44" i="1"/>
  <c r="AA44" i="1"/>
  <c r="AC44" i="1"/>
  <c r="AB44" i="1"/>
  <c r="AC69" i="1"/>
  <c r="AC78" i="1"/>
  <c r="AC82" i="1"/>
  <c r="AC84" i="1"/>
  <c r="AD94" i="1"/>
  <c r="Z94" i="1"/>
  <c r="AD95" i="1"/>
  <c r="AD102" i="1"/>
  <c r="Z102" i="1"/>
  <c r="AD103" i="1"/>
  <c r="AA112" i="1"/>
  <c r="AD112" i="1"/>
  <c r="Z112" i="1"/>
  <c r="AC116" i="1"/>
  <c r="AD135" i="1"/>
  <c r="Z135" i="1"/>
  <c r="AC135" i="1"/>
  <c r="AC160" i="1"/>
  <c r="AB160" i="1"/>
  <c r="AA165" i="1"/>
  <c r="AD165" i="1"/>
  <c r="AB192" i="1"/>
  <c r="AA192" i="1"/>
  <c r="Z192" i="1"/>
  <c r="AB196" i="1"/>
  <c r="AC196" i="1"/>
  <c r="AA196" i="1"/>
  <c r="AD201" i="1"/>
  <c r="AB201" i="1"/>
  <c r="AA201" i="1"/>
  <c r="AB244" i="1"/>
  <c r="AA244" i="1"/>
  <c r="AD244" i="1"/>
  <c r="AC244" i="1"/>
  <c r="AB254" i="1"/>
  <c r="AA254" i="1"/>
  <c r="AD254" i="1"/>
  <c r="AC254" i="1"/>
  <c r="AC22" i="1"/>
  <c r="AC24" i="1"/>
  <c r="AC28" i="1"/>
  <c r="AC30" i="1"/>
  <c r="AC32" i="1"/>
  <c r="AC34" i="1"/>
  <c r="AC36" i="1"/>
  <c r="AC38" i="1"/>
  <c r="AC40" i="1"/>
  <c r="AC42" i="1"/>
  <c r="AD45" i="1"/>
  <c r="Z47" i="1"/>
  <c r="AD47" i="1"/>
  <c r="Z49" i="1"/>
  <c r="AD51" i="1"/>
  <c r="Z53" i="1"/>
  <c r="AD55" i="1"/>
  <c r="Z57" i="1"/>
  <c r="AD57" i="1"/>
  <c r="Z59" i="1"/>
  <c r="AD61" i="1"/>
  <c r="Z63" i="1"/>
  <c r="AD63" i="1"/>
  <c r="Z65" i="1"/>
  <c r="AD67" i="1"/>
  <c r="Z69" i="1"/>
  <c r="AD71" i="1"/>
  <c r="Z73" i="1"/>
  <c r="AC75" i="1"/>
  <c r="Z78" i="1"/>
  <c r="AD78" i="1"/>
  <c r="Z80" i="1"/>
  <c r="AD82" i="1"/>
  <c r="Z84" i="1"/>
  <c r="AD84" i="1"/>
  <c r="AA86" i="1"/>
  <c r="AD89" i="1"/>
  <c r="Z95" i="1"/>
  <c r="AD96" i="1"/>
  <c r="Z96" i="1"/>
  <c r="AD97" i="1"/>
  <c r="Z103" i="1"/>
  <c r="AA110" i="1"/>
  <c r="AD110" i="1"/>
  <c r="Z110" i="1"/>
  <c r="AB112" i="1"/>
  <c r="AA116" i="1"/>
  <c r="Z119" i="1"/>
  <c r="AA138" i="1"/>
  <c r="AD138" i="1"/>
  <c r="AA144" i="1"/>
  <c r="AD144" i="1"/>
  <c r="AA157" i="1"/>
  <c r="AD157" i="1"/>
  <c r="AD160" i="1"/>
  <c r="Z165" i="1"/>
  <c r="AC176" i="1"/>
  <c r="AB176" i="1"/>
  <c r="AA186" i="1"/>
  <c r="AD186" i="1"/>
  <c r="AD191" i="1"/>
  <c r="AB191" i="1"/>
  <c r="AA191" i="1"/>
  <c r="Z194" i="1"/>
  <c r="Z196" i="1"/>
  <c r="AA207" i="1"/>
  <c r="AD210" i="1"/>
  <c r="Z210" i="1"/>
  <c r="AB210" i="1"/>
  <c r="AA210" i="1"/>
  <c r="AB216" i="1"/>
  <c r="AA216" i="1"/>
  <c r="AC216" i="1"/>
  <c r="Z216" i="1"/>
  <c r="AB222" i="1"/>
  <c r="AD222" i="1"/>
  <c r="AC222" i="1"/>
  <c r="AD239" i="1"/>
  <c r="AC239" i="1"/>
  <c r="AA239" i="1"/>
  <c r="AB240" i="1"/>
  <c r="AA240" i="1"/>
  <c r="AC240" i="1"/>
  <c r="Z240" i="1"/>
  <c r="Z244" i="1"/>
  <c r="Z254" i="1"/>
  <c r="AB289" i="1"/>
  <c r="AA289" i="1"/>
  <c r="AC289" i="1"/>
  <c r="Z289" i="1"/>
  <c r="Z8" i="1"/>
  <c r="AD8" i="1"/>
  <c r="AB9" i="1"/>
  <c r="Z10" i="1"/>
  <c r="AD10" i="1"/>
  <c r="AB11" i="1"/>
  <c r="Z12" i="1"/>
  <c r="AD12" i="1"/>
  <c r="AB13" i="1"/>
  <c r="Z14" i="1"/>
  <c r="AD14" i="1"/>
  <c r="AB15" i="1"/>
  <c r="Z16" i="1"/>
  <c r="AD16" i="1"/>
  <c r="AB17" i="1"/>
  <c r="Z18" i="1"/>
  <c r="AD18" i="1"/>
  <c r="AB19" i="1"/>
  <c r="Z20" i="1"/>
  <c r="AD20" i="1"/>
  <c r="AB21" i="1"/>
  <c r="Z22" i="1"/>
  <c r="AD22" i="1"/>
  <c r="AB23" i="1"/>
  <c r="Z24" i="1"/>
  <c r="AD24" i="1"/>
  <c r="AB25" i="1"/>
  <c r="Z26" i="1"/>
  <c r="AD26" i="1"/>
  <c r="AB27" i="1"/>
  <c r="Z28" i="1"/>
  <c r="AD28" i="1"/>
  <c r="AB29" i="1"/>
  <c r="Z30" i="1"/>
  <c r="AD30" i="1"/>
  <c r="AB31" i="1"/>
  <c r="Z32" i="1"/>
  <c r="AD32" i="1"/>
  <c r="AB33" i="1"/>
  <c r="Z34" i="1"/>
  <c r="AD34" i="1"/>
  <c r="AB35" i="1"/>
  <c r="Z36" i="1"/>
  <c r="AD36" i="1"/>
  <c r="AB37" i="1"/>
  <c r="Z38" i="1"/>
  <c r="AD38" i="1"/>
  <c r="AB39" i="1"/>
  <c r="Z40" i="1"/>
  <c r="AD40" i="1"/>
  <c r="AB41" i="1"/>
  <c r="Z42" i="1"/>
  <c r="AD42" i="1"/>
  <c r="AB43" i="1"/>
  <c r="AA45" i="1"/>
  <c r="AA47" i="1"/>
  <c r="AA49" i="1"/>
  <c r="AA51" i="1"/>
  <c r="AA53" i="1"/>
  <c r="AA55" i="1"/>
  <c r="AA57" i="1"/>
  <c r="AA59" i="1"/>
  <c r="AA61" i="1"/>
  <c r="AA63" i="1"/>
  <c r="AA65" i="1"/>
  <c r="AA67" i="1"/>
  <c r="AA69" i="1"/>
  <c r="AA71" i="1"/>
  <c r="AA73" i="1"/>
  <c r="Z75" i="1"/>
  <c r="AD75" i="1"/>
  <c r="AA78" i="1"/>
  <c r="AA80" i="1"/>
  <c r="AA82" i="1"/>
  <c r="AA84" i="1"/>
  <c r="AA87" i="1"/>
  <c r="Z89" i="1"/>
  <c r="AD90" i="1"/>
  <c r="Z90" i="1"/>
  <c r="AD91" i="1"/>
  <c r="AC93" i="1"/>
  <c r="AB94" i="1"/>
  <c r="AA95" i="1"/>
  <c r="AA96" i="1"/>
  <c r="Z97" i="1"/>
  <c r="AD98" i="1"/>
  <c r="Z98" i="1"/>
  <c r="AD99" i="1"/>
  <c r="AC101" i="1"/>
  <c r="AB102" i="1"/>
  <c r="AA103" i="1"/>
  <c r="Z105" i="1"/>
  <c r="AD106" i="1"/>
  <c r="Z106" i="1"/>
  <c r="AC107" i="1"/>
  <c r="AB107" i="1"/>
  <c r="AA108" i="1"/>
  <c r="AD108" i="1"/>
  <c r="Z108" i="1"/>
  <c r="AB110" i="1"/>
  <c r="AC112" i="1"/>
  <c r="AA115" i="1"/>
  <c r="AD116" i="1"/>
  <c r="Z120" i="1"/>
  <c r="AD121" i="1"/>
  <c r="AC121" i="1"/>
  <c r="AB121" i="1"/>
  <c r="AB122" i="1"/>
  <c r="AD132" i="1"/>
  <c r="Z132" i="1"/>
  <c r="AC132" i="1"/>
  <c r="AB133" i="1"/>
  <c r="AA133" i="1"/>
  <c r="AA135" i="1"/>
  <c r="Z138" i="1"/>
  <c r="Z144" i="1"/>
  <c r="AD150" i="1"/>
  <c r="AC150" i="1"/>
  <c r="AB150" i="1"/>
  <c r="Z157" i="1"/>
  <c r="AA161" i="1"/>
  <c r="AD161" i="1"/>
  <c r="Z161" i="1"/>
  <c r="AB165" i="1"/>
  <c r="AD172" i="1"/>
  <c r="Z172" i="1"/>
  <c r="AC172" i="1"/>
  <c r="AA173" i="1"/>
  <c r="AD173" i="1"/>
  <c r="AD176" i="1"/>
  <c r="AD181" i="1"/>
  <c r="Z181" i="1"/>
  <c r="AC181" i="1"/>
  <c r="AA182" i="1"/>
  <c r="AD182" i="1"/>
  <c r="Z186" i="1"/>
  <c r="Z191" i="1"/>
  <c r="AD192" i="1"/>
  <c r="AD196" i="1"/>
  <c r="AC201" i="1"/>
  <c r="AC210" i="1"/>
  <c r="AD215" i="1"/>
  <c r="Z215" i="1"/>
  <c r="AC215" i="1"/>
  <c r="AA215" i="1"/>
  <c r="AD216" i="1"/>
  <c r="Z239" i="1"/>
  <c r="AD240" i="1"/>
  <c r="AB267" i="1"/>
  <c r="AA267" i="1"/>
  <c r="AD267" i="1"/>
  <c r="AC267" i="1"/>
  <c r="AD289" i="1"/>
  <c r="AB291" i="1"/>
  <c r="AA291" i="1"/>
  <c r="AD291" i="1"/>
  <c r="AC291" i="1"/>
  <c r="Z291" i="1"/>
  <c r="AC45" i="1"/>
  <c r="AC47" i="1"/>
  <c r="AC49" i="1"/>
  <c r="AC51" i="1"/>
  <c r="AC53" i="1"/>
  <c r="AC55" i="1"/>
  <c r="AC57" i="1"/>
  <c r="AC59" i="1"/>
  <c r="AC61" i="1"/>
  <c r="AC63" i="1"/>
  <c r="AC65" i="1"/>
  <c r="AC67" i="1"/>
  <c r="AC71" i="1"/>
  <c r="AC73" i="1"/>
  <c r="AB75" i="1"/>
  <c r="AC80" i="1"/>
  <c r="AD86" i="1"/>
  <c r="Z86" i="1"/>
  <c r="AD87" i="1"/>
  <c r="AD119" i="1"/>
  <c r="AC119" i="1"/>
  <c r="AC128" i="1"/>
  <c r="AB128" i="1"/>
  <c r="AB136" i="1"/>
  <c r="AA136" i="1"/>
  <c r="AA160" i="1"/>
  <c r="AD164" i="1"/>
  <c r="Z164" i="1"/>
  <c r="AC164" i="1"/>
  <c r="AA189" i="1"/>
  <c r="Z189" i="1"/>
  <c r="AD189" i="1"/>
  <c r="AC194" i="1"/>
  <c r="AD194" i="1"/>
  <c r="AB194" i="1"/>
  <c r="AD207" i="1"/>
  <c r="Z207" i="1"/>
  <c r="AB207" i="1"/>
  <c r="AB259" i="1"/>
  <c r="AA259" i="1"/>
  <c r="AD259" i="1"/>
  <c r="AC259" i="1"/>
  <c r="Z259" i="1"/>
  <c r="AC8" i="1"/>
  <c r="AC10" i="1"/>
  <c r="AC12" i="1"/>
  <c r="AC14" i="1"/>
  <c r="AC16" i="1"/>
  <c r="AC18" i="1"/>
  <c r="AC20" i="1"/>
  <c r="AC26" i="1"/>
  <c r="Z45" i="1"/>
  <c r="AD49" i="1"/>
  <c r="Z51" i="1"/>
  <c r="AD53" i="1"/>
  <c r="Z55" i="1"/>
  <c r="AD59" i="1"/>
  <c r="Z61" i="1"/>
  <c r="AD65" i="1"/>
  <c r="Z67" i="1"/>
  <c r="AD69" i="1"/>
  <c r="Z71" i="1"/>
  <c r="AD73" i="1"/>
  <c r="AD80" i="1"/>
  <c r="Z82" i="1"/>
  <c r="Z87" i="1"/>
  <c r="AD88" i="1"/>
  <c r="Z88" i="1"/>
  <c r="AA94" i="1"/>
  <c r="AA102" i="1"/>
  <c r="AD104" i="1"/>
  <c r="Z104" i="1"/>
  <c r="AD105" i="1"/>
  <c r="AD120" i="1"/>
  <c r="AC120" i="1"/>
  <c r="AD128" i="1"/>
  <c r="Z136" i="1"/>
  <c r="AD143" i="1"/>
  <c r="Z143" i="1"/>
  <c r="AC143" i="1"/>
  <c r="AD156" i="1"/>
  <c r="Z156" i="1"/>
  <c r="AC156" i="1"/>
  <c r="AA176" i="1"/>
  <c r="AD185" i="1"/>
  <c r="Z185" i="1"/>
  <c r="AC185" i="1"/>
  <c r="AC192" i="1"/>
  <c r="Z201" i="1"/>
  <c r="AC86" i="1"/>
  <c r="AC87" i="1"/>
  <c r="AB88" i="1"/>
  <c r="AA89" i="1"/>
  <c r="AD92" i="1"/>
  <c r="Z92" i="1"/>
  <c r="AD93" i="1"/>
  <c r="AC94" i="1"/>
  <c r="AC95" i="1"/>
  <c r="AB96" i="1"/>
  <c r="AA97" i="1"/>
  <c r="AD100" i="1"/>
  <c r="Z100" i="1"/>
  <c r="AD101" i="1"/>
  <c r="AC102" i="1"/>
  <c r="AC103" i="1"/>
  <c r="AB104" i="1"/>
  <c r="AA105" i="1"/>
  <c r="AC110" i="1"/>
  <c r="AD114" i="1"/>
  <c r="Z114" i="1"/>
  <c r="AC114" i="1"/>
  <c r="AC115" i="1"/>
  <c r="AB115" i="1"/>
  <c r="AB116" i="1"/>
  <c r="AA119" i="1"/>
  <c r="Z128" i="1"/>
  <c r="AB135" i="1"/>
  <c r="AD136" i="1"/>
  <c r="AB138" i="1"/>
  <c r="AC142" i="1"/>
  <c r="AB142" i="1"/>
  <c r="AA142" i="1"/>
  <c r="AA143" i="1"/>
  <c r="AB144" i="1"/>
  <c r="AA151" i="1"/>
  <c r="AD151" i="1"/>
  <c r="AA156" i="1"/>
  <c r="AB157" i="1"/>
  <c r="Z160" i="1"/>
  <c r="AB164" i="1"/>
  <c r="AC165" i="1"/>
  <c r="AD168" i="1"/>
  <c r="Z168" i="1"/>
  <c r="AC168" i="1"/>
  <c r="AA169" i="1"/>
  <c r="AD169" i="1"/>
  <c r="AD177" i="1"/>
  <c r="Z177" i="1"/>
  <c r="AC177" i="1"/>
  <c r="AA178" i="1"/>
  <c r="AD178" i="1"/>
  <c r="AA185" i="1"/>
  <c r="AB186" i="1"/>
  <c r="AC189" i="1"/>
  <c r="AC191" i="1"/>
  <c r="AA194" i="1"/>
  <c r="AC197" i="1"/>
  <c r="Z197" i="1"/>
  <c r="AD197" i="1"/>
  <c r="AC200" i="1"/>
  <c r="AD200" i="1"/>
  <c r="AB200" i="1"/>
  <c r="AA200" i="1"/>
  <c r="AA202" i="1"/>
  <c r="Z202" i="1"/>
  <c r="AD202" i="1"/>
  <c r="AC206" i="1"/>
  <c r="AD206" i="1"/>
  <c r="AB206" i="1"/>
  <c r="AA206" i="1"/>
  <c r="AA208" i="1"/>
  <c r="Z208" i="1"/>
  <c r="AD208" i="1"/>
  <c r="AB211" i="1"/>
  <c r="AA211" i="1"/>
  <c r="Z211" i="1"/>
  <c r="AB224" i="1"/>
  <c r="AD224" i="1"/>
  <c r="AC224" i="1"/>
  <c r="AB281" i="1"/>
  <c r="AA281" i="1"/>
  <c r="AC281" i="1"/>
  <c r="Z281" i="1"/>
  <c r="AD281" i="1"/>
  <c r="AB109" i="1"/>
  <c r="AB111" i="1"/>
  <c r="AB113" i="1"/>
  <c r="AC118" i="1"/>
  <c r="AA139" i="1"/>
  <c r="AA146" i="1"/>
  <c r="AC149" i="1"/>
  <c r="AA152" i="1"/>
  <c r="AA154" i="1"/>
  <c r="AA158" i="1"/>
  <c r="AA162" i="1"/>
  <c r="AA166" i="1"/>
  <c r="AA170" i="1"/>
  <c r="AA174" i="1"/>
  <c r="AA179" i="1"/>
  <c r="AA183" i="1"/>
  <c r="AA187" i="1"/>
  <c r="AB193" i="1"/>
  <c r="AC198" i="1"/>
  <c r="AC204" i="1"/>
  <c r="AD212" i="1"/>
  <c r="Z212" i="1"/>
  <c r="AD213" i="1"/>
  <c r="AB218" i="1"/>
  <c r="AA218" i="1"/>
  <c r="AA222" i="1"/>
  <c r="AA224" i="1"/>
  <c r="AD233" i="1"/>
  <c r="Z233" i="1"/>
  <c r="AC233" i="1"/>
  <c r="AD234" i="1"/>
  <c r="AC234" i="1"/>
  <c r="AB234" i="1"/>
  <c r="AD242" i="1"/>
  <c r="AA242" i="1"/>
  <c r="AC242" i="1"/>
  <c r="AA250" i="1"/>
  <c r="AD250" i="1"/>
  <c r="AB250" i="1"/>
  <c r="AB273" i="1"/>
  <c r="AA273" i="1"/>
  <c r="AC273" i="1"/>
  <c r="Z273" i="1"/>
  <c r="AB283" i="1"/>
  <c r="AA283" i="1"/>
  <c r="AD283" i="1"/>
  <c r="AC283" i="1"/>
  <c r="AD195" i="1"/>
  <c r="Z195" i="1"/>
  <c r="AC195" i="1"/>
  <c r="AD198" i="1"/>
  <c r="AC214" i="1"/>
  <c r="AB214" i="1"/>
  <c r="AA231" i="1"/>
  <c r="AD231" i="1"/>
  <c r="Z231" i="1"/>
  <c r="AB235" i="1"/>
  <c r="AA235" i="1"/>
  <c r="AD238" i="1"/>
  <c r="AC238" i="1"/>
  <c r="AB238" i="1"/>
  <c r="AB265" i="1"/>
  <c r="AA265" i="1"/>
  <c r="AC265" i="1"/>
  <c r="Z265" i="1"/>
  <c r="AB275" i="1"/>
  <c r="AA275" i="1"/>
  <c r="AD275" i="1"/>
  <c r="AC275" i="1"/>
  <c r="AB297" i="1"/>
  <c r="AA297" i="1"/>
  <c r="AC297" i="1"/>
  <c r="Z297" i="1"/>
  <c r="AB219" i="1"/>
  <c r="AB230" i="1"/>
  <c r="AB232" i="1"/>
  <c r="AB243" i="1"/>
  <c r="AB248" i="1"/>
  <c r="AA248" i="1"/>
  <c r="Z250" i="1"/>
  <c r="AB263" i="1"/>
  <c r="AA263" i="1"/>
  <c r="AB271" i="1"/>
  <c r="AA271" i="1"/>
  <c r="AB279" i="1"/>
  <c r="AA279" i="1"/>
  <c r="AB287" i="1"/>
  <c r="AA287" i="1"/>
  <c r="AB295" i="1"/>
  <c r="AA295" i="1"/>
  <c r="AB246" i="1"/>
  <c r="AA246" i="1"/>
  <c r="AA256" i="1"/>
  <c r="AD256" i="1"/>
  <c r="AB261" i="1"/>
  <c r="AA261" i="1"/>
  <c r="AB269" i="1"/>
  <c r="AA269" i="1"/>
  <c r="AB277" i="1"/>
  <c r="AA277" i="1"/>
  <c r="AB285" i="1"/>
  <c r="AA285" i="1"/>
  <c r="AB293" i="1"/>
  <c r="AA293" i="1"/>
  <c r="AC245" i="1"/>
  <c r="AC247" i="1"/>
  <c r="AC249" i="1"/>
  <c r="AA252" i="1"/>
  <c r="AC253" i="1"/>
  <c r="AC255" i="1"/>
  <c r="AC258" i="1"/>
  <c r="AC260" i="1"/>
  <c r="AC262" i="1"/>
  <c r="AC264" i="1"/>
  <c r="AC266" i="1"/>
  <c r="AC268" i="1"/>
  <c r="AC270" i="1"/>
  <c r="AC272" i="1"/>
  <c r="AC274" i="1"/>
  <c r="AC276" i="1"/>
  <c r="AC278" i="1"/>
  <c r="AC280" i="1"/>
  <c r="AC282" i="1"/>
  <c r="AC284" i="1"/>
  <c r="AC286" i="1"/>
  <c r="AC288" i="1"/>
  <c r="AC290" i="1"/>
  <c r="AC292" i="1"/>
  <c r="AC294" i="1"/>
  <c r="AC296" i="1"/>
  <c r="AC298" i="1"/>
  <c r="Z245" i="1"/>
  <c r="Z247" i="1"/>
  <c r="Z249" i="1"/>
  <c r="Z253" i="1"/>
  <c r="Z255" i="1"/>
  <c r="Z258" i="1"/>
  <c r="Z260" i="1"/>
  <c r="Z262" i="1"/>
  <c r="Z264" i="1"/>
  <c r="Z266" i="1"/>
  <c r="Z268" i="1"/>
  <c r="Z270" i="1"/>
  <c r="Z272" i="1"/>
  <c r="Z274" i="1"/>
  <c r="Z276" i="1"/>
  <c r="Z278" i="1"/>
  <c r="Z280" i="1"/>
  <c r="Z282" i="1"/>
  <c r="Z284" i="1"/>
  <c r="Z286" i="1"/>
  <c r="Z288" i="1"/>
  <c r="Z290" i="1"/>
  <c r="Z292" i="1"/>
  <c r="Z294" i="1"/>
  <c r="Z296" i="1"/>
  <c r="Z298" i="1"/>
</calcChain>
</file>

<file path=xl/comments1.xml><?xml version="1.0" encoding="utf-8"?>
<comments xmlns="http://schemas.openxmlformats.org/spreadsheetml/2006/main">
  <authors>
    <author>McKibbin, Chris@DFG</author>
    <author>Julienne, Jason@Wildlife</author>
  </authors>
  <commentList>
    <comment ref="A5" authorId="0" shapeId="0">
      <text>
        <r>
          <rPr>
            <sz val="9"/>
            <color indexed="81"/>
            <rFont val="Tahoma"/>
            <family val="2"/>
          </rPr>
          <t xml:space="preserve">Date sampling effort began.
</t>
        </r>
      </text>
    </comment>
    <comment ref="B5" authorId="0" shapeId="0">
      <text>
        <r>
          <rPr>
            <sz val="9"/>
            <color indexed="81"/>
            <rFont val="Tahoma"/>
            <family val="2"/>
          </rPr>
          <t xml:space="preserve">Time of day when sampling effort began, recorded in military hours and rounded to the nearest quarter hour.
</t>
        </r>
      </text>
    </comment>
    <comment ref="C5" authorId="0" shapeId="0">
      <text>
        <r>
          <rPr>
            <sz val="9"/>
            <color indexed="81"/>
            <rFont val="Tahoma"/>
            <family val="2"/>
          </rPr>
          <t xml:space="preserve">Date when sampling effort stopped.
</t>
        </r>
      </text>
    </comment>
    <comment ref="D5" authorId="0" shapeId="0">
      <text>
        <r>
          <rPr>
            <sz val="9"/>
            <color indexed="81"/>
            <rFont val="Tahoma"/>
            <family val="2"/>
          </rPr>
          <t>Time of day when sampling effort stopped, recorded in military hours and rounded to the nearest quarter hour.</t>
        </r>
      </text>
    </comment>
    <comment ref="E5" authorId="0" shapeId="0">
      <text>
        <r>
          <rPr>
            <sz val="9"/>
            <color indexed="81"/>
            <rFont val="Tahoma"/>
            <family val="2"/>
          </rPr>
          <t xml:space="preserve">Number of hours since last RST maintenance event. </t>
        </r>
      </text>
    </comment>
    <comment ref="F5" authorId="0" shapeId="0">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and 8.4 are trap designations.</t>
        </r>
      </text>
    </comment>
    <comment ref="H5" authorId="0" shapeId="0">
      <text>
        <r>
          <rPr>
            <sz val="9"/>
            <color indexed="81"/>
            <rFont val="Tahoma"/>
            <family val="2"/>
          </rPr>
          <t xml:space="preserve">Total cone revolutions upon arrival to service the trap. </t>
        </r>
      </text>
    </comment>
    <comment ref="J5" authorId="0" shapeId="0">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X5" authorId="0" shapeId="0">
      <text>
        <r>
          <rPr>
            <sz val="9"/>
            <color indexed="81"/>
            <rFont val="Tahoma"/>
            <family val="2"/>
          </rPr>
          <t xml:space="preserve">Number of unmarked steelhead captured.
</t>
        </r>
      </text>
    </comment>
    <comment ref="Y5" authorId="0" shapeId="0">
      <text>
        <r>
          <rPr>
            <sz val="9"/>
            <color indexed="81"/>
            <rFont val="Tahoma"/>
            <family val="2"/>
          </rPr>
          <t xml:space="preserve">Number of marked (adipose fin-clipped) steelhead captured.
</t>
        </r>
      </text>
    </comment>
    <comment ref="Z5" authorId="0" shapeId="0">
      <text>
        <r>
          <rPr>
            <sz val="9"/>
            <color indexed="81"/>
            <rFont val="Tahoma"/>
            <family val="2"/>
          </rPr>
          <t>Catch per unit effort (CPUE) does not include marked salmonids (adipose fin clipped fish).</t>
        </r>
      </text>
    </comment>
    <comment ref="K6" authorId="0" shapeId="0">
      <text>
        <r>
          <rPr>
            <sz val="9"/>
            <color indexed="81"/>
            <rFont val="Tahoma"/>
            <family val="2"/>
          </rPr>
          <t>Flow data provided by California Department of Water Resources, California Data Exchange Center, Wilkins Slough gauge (WLK).  http://cdec.water.ca.gov/cgi-progs/queryF?s=WLK</t>
        </r>
      </text>
    </comment>
    <comment ref="L6" authorId="0" shapeId="0">
      <text>
        <r>
          <rPr>
            <sz val="9"/>
            <color indexed="81"/>
            <rFont val="Tahoma"/>
            <family val="2"/>
          </rPr>
          <t>Instantaneous water temperature measurements are taken once per trap maintenance event and recorded in Fahrenheit units.</t>
        </r>
      </text>
    </comment>
    <comment ref="M6" authorId="0" shapeId="0">
      <text>
        <r>
          <rPr>
            <sz val="9"/>
            <color indexed="81"/>
            <rFont val="Tahoma"/>
            <family val="2"/>
          </rPr>
          <t>NephelometricTurbidity Unit</t>
        </r>
      </text>
    </comment>
    <comment ref="N6" authorId="0" shapeId="0">
      <text>
        <r>
          <rPr>
            <sz val="9"/>
            <color indexed="81"/>
            <rFont val="Tahoma"/>
            <family val="2"/>
          </rPr>
          <t>Size of smallest unmarked Chinook salmon captured, measured in millimeters to the nearest fork length.</t>
        </r>
      </text>
    </comment>
    <comment ref="O6" authorId="0" shapeId="0">
      <text>
        <r>
          <rPr>
            <sz val="9"/>
            <color indexed="81"/>
            <rFont val="Tahoma"/>
            <family val="2"/>
          </rPr>
          <t>Size of largest unmarked Chinook salmon captured, measured in millimeters to the nearest fork length.</t>
        </r>
      </text>
    </comment>
    <comment ref="P6" authorId="0" shapeId="0">
      <text>
        <r>
          <rPr>
            <sz val="9"/>
            <color indexed="81"/>
            <rFont val="Tahoma"/>
            <family val="2"/>
          </rPr>
          <t>Number of unmarked fall-run sized Chinook salmon captured.</t>
        </r>
      </text>
    </comment>
    <comment ref="Q6" authorId="0" shapeId="0">
      <text>
        <r>
          <rPr>
            <sz val="9"/>
            <color indexed="81"/>
            <rFont val="Tahoma"/>
            <family val="2"/>
          </rPr>
          <t>Number of unmarked spring-run sized Chinook salmon captured.</t>
        </r>
      </text>
    </comment>
    <comment ref="R6" authorId="0" shapeId="0">
      <text>
        <r>
          <rPr>
            <sz val="9"/>
            <color indexed="81"/>
            <rFont val="Tahoma"/>
            <family val="2"/>
          </rPr>
          <t>Number of unmarked winter-run sized Chinook salmon captured.</t>
        </r>
      </text>
    </comment>
    <comment ref="S6" authorId="0" shapeId="0">
      <text>
        <r>
          <rPr>
            <sz val="9"/>
            <color indexed="81"/>
            <rFont val="Tahoma"/>
            <family val="2"/>
          </rPr>
          <t>Number of unmarked late fall-run sized Chinook salmon captured.</t>
        </r>
      </text>
    </comment>
    <comment ref="T6" authorId="0" shapeId="0">
      <text>
        <r>
          <rPr>
            <sz val="9"/>
            <color indexed="81"/>
            <rFont val="Tahoma"/>
            <family val="2"/>
          </rPr>
          <t>Number of unmarked fall-run sized Chinook salmon captured.</t>
        </r>
      </text>
    </comment>
    <comment ref="U6" authorId="0" shapeId="0">
      <text>
        <r>
          <rPr>
            <sz val="9"/>
            <color indexed="81"/>
            <rFont val="Tahoma"/>
            <family val="2"/>
          </rPr>
          <t>Number of unmarked spring-run sized Chinook salmon captured.</t>
        </r>
      </text>
    </comment>
    <comment ref="V6" authorId="0" shapeId="0">
      <text>
        <r>
          <rPr>
            <sz val="9"/>
            <color indexed="81"/>
            <rFont val="Tahoma"/>
            <family val="2"/>
          </rPr>
          <t>Number of unmarked winter-run sized Chinook salmon captured.</t>
        </r>
      </text>
    </comment>
    <comment ref="W6" authorId="0" shapeId="0">
      <text>
        <r>
          <rPr>
            <sz val="9"/>
            <color indexed="81"/>
            <rFont val="Tahoma"/>
            <family val="2"/>
          </rPr>
          <t>Number of unmarked late fall-run sized Chinook salmon captured.</t>
        </r>
      </text>
    </comment>
    <comment ref="M33" authorId="1" shapeId="0">
      <text>
        <r>
          <rPr>
            <b/>
            <sz val="9"/>
            <color indexed="81"/>
            <rFont val="Tahoma"/>
            <family val="2"/>
          </rPr>
          <t>Julienne, Jason@Wildlife:</t>
        </r>
        <r>
          <rPr>
            <sz val="9"/>
            <color indexed="81"/>
            <rFont val="Tahoma"/>
            <family val="2"/>
          </rPr>
          <t xml:space="preserve">
Turbidimeter was not working properly. No Turbodidty measurement for this day</t>
        </r>
      </text>
    </comment>
    <comment ref="L43" authorId="1" shapeId="0">
      <text>
        <r>
          <rPr>
            <b/>
            <sz val="9"/>
            <color indexed="81"/>
            <rFont val="Tahoma"/>
            <family val="2"/>
          </rPr>
          <t>Julienne, Jason@Wildlife:</t>
        </r>
        <r>
          <rPr>
            <sz val="9"/>
            <color indexed="81"/>
            <rFont val="Tahoma"/>
            <family val="2"/>
          </rPr>
          <t xml:space="preserve">
Temperature reading not taken</t>
        </r>
      </text>
    </comment>
    <comment ref="M171" authorId="1" shapeId="0">
      <text>
        <r>
          <rPr>
            <b/>
            <sz val="9"/>
            <color indexed="81"/>
            <rFont val="Tahoma"/>
            <family val="2"/>
          </rPr>
          <t>Julienne, Jason@Wildlife:</t>
        </r>
        <r>
          <rPr>
            <sz val="9"/>
            <color indexed="81"/>
            <rFont val="Tahoma"/>
            <family val="2"/>
          </rPr>
          <t xml:space="preserve">
Field staff did not have turbidity meter</t>
        </r>
      </text>
    </comment>
    <comment ref="M196" authorId="1" shapeId="0">
      <text>
        <r>
          <rPr>
            <b/>
            <sz val="9"/>
            <color indexed="81"/>
            <rFont val="Tahoma"/>
            <family val="2"/>
          </rPr>
          <t>Julienne, Jason@Wildlife:</t>
        </r>
        <r>
          <rPr>
            <sz val="9"/>
            <color indexed="81"/>
            <rFont val="Tahoma"/>
            <family val="2"/>
          </rPr>
          <t xml:space="preserve">
Field staff did not have turbidity meter</t>
        </r>
      </text>
    </comment>
    <comment ref="F210" authorId="1" shapeId="0">
      <text>
        <r>
          <rPr>
            <b/>
            <sz val="9"/>
            <color indexed="81"/>
            <rFont val="Tahoma"/>
            <family val="2"/>
          </rPr>
          <t>Julienne, Jason@Wildlife:</t>
        </r>
        <r>
          <rPr>
            <sz val="9"/>
            <color indexed="81"/>
            <rFont val="Tahoma"/>
            <family val="2"/>
          </rPr>
          <t xml:space="preserve">
Due to equipment damage, only fishing one cone</t>
        </r>
      </text>
    </comment>
    <comment ref="H210" authorId="1" shapeId="0">
      <text>
        <r>
          <rPr>
            <b/>
            <sz val="9"/>
            <color indexed="81"/>
            <rFont val="Tahoma"/>
            <family val="2"/>
          </rPr>
          <t>Julienne, Jason@Wildlife:</t>
        </r>
        <r>
          <rPr>
            <sz val="9"/>
            <color indexed="81"/>
            <rFont val="Tahoma"/>
            <family val="2"/>
          </rPr>
          <t xml:space="preserve">
Due to equipment damage, only fishing one cone</t>
        </r>
      </text>
    </comment>
    <comment ref="F211" authorId="1" shapeId="0">
      <text>
        <r>
          <rPr>
            <b/>
            <sz val="9"/>
            <color indexed="81"/>
            <rFont val="Tahoma"/>
            <family val="2"/>
          </rPr>
          <t>Julienne, Jason@Wildlife:</t>
        </r>
        <r>
          <rPr>
            <sz val="9"/>
            <color indexed="81"/>
            <rFont val="Tahoma"/>
            <family val="2"/>
          </rPr>
          <t xml:space="preserve">
Due to equipment damage, only fishing one cone</t>
        </r>
      </text>
    </comment>
    <comment ref="H211" authorId="1" shapeId="0">
      <text>
        <r>
          <rPr>
            <b/>
            <sz val="9"/>
            <color indexed="81"/>
            <rFont val="Tahoma"/>
            <family val="2"/>
          </rPr>
          <t>Julienne, Jason@Wildlife:</t>
        </r>
        <r>
          <rPr>
            <sz val="9"/>
            <color indexed="81"/>
            <rFont val="Tahoma"/>
            <family val="2"/>
          </rPr>
          <t xml:space="preserve">
Due to equipment damage, only fishing one cone</t>
        </r>
      </text>
    </comment>
    <comment ref="F212" authorId="1" shapeId="0">
      <text>
        <r>
          <rPr>
            <b/>
            <sz val="9"/>
            <color indexed="81"/>
            <rFont val="Tahoma"/>
            <family val="2"/>
          </rPr>
          <t>Julienne, Jason@Wildlife:</t>
        </r>
        <r>
          <rPr>
            <sz val="9"/>
            <color indexed="81"/>
            <rFont val="Tahoma"/>
            <family val="2"/>
          </rPr>
          <t xml:space="preserve">
Due to equipment damage, only fishing one cone</t>
        </r>
      </text>
    </comment>
    <comment ref="H212" authorId="1" shapeId="0">
      <text>
        <r>
          <rPr>
            <b/>
            <sz val="9"/>
            <color indexed="81"/>
            <rFont val="Tahoma"/>
            <family val="2"/>
          </rPr>
          <t>Julienne, Jason@Wildlife:</t>
        </r>
        <r>
          <rPr>
            <sz val="9"/>
            <color indexed="81"/>
            <rFont val="Tahoma"/>
            <family val="2"/>
          </rPr>
          <t xml:space="preserve">
Due to equipment damage, only fishing one cone</t>
        </r>
      </text>
    </comment>
    <comment ref="H216" authorId="1" shapeId="0">
      <text>
        <r>
          <rPr>
            <b/>
            <sz val="9"/>
            <color indexed="81"/>
            <rFont val="Tahoma"/>
            <family val="2"/>
          </rPr>
          <t>Julienne, Jason@Wildlife:</t>
        </r>
        <r>
          <rPr>
            <sz val="9"/>
            <color indexed="81"/>
            <rFont val="Tahoma"/>
            <family val="2"/>
          </rPr>
          <t xml:space="preserve">
No revolution data</t>
        </r>
      </text>
    </comment>
    <comment ref="J216" authorId="1" shapeId="0">
      <text>
        <r>
          <rPr>
            <b/>
            <sz val="9"/>
            <color indexed="81"/>
            <rFont val="Tahoma"/>
            <family val="2"/>
          </rPr>
          <t>Julienne, Jason@Wildlife:</t>
        </r>
        <r>
          <rPr>
            <sz val="9"/>
            <color indexed="81"/>
            <rFont val="Tahoma"/>
            <family val="2"/>
          </rPr>
          <t xml:space="preserve">
Hours for 8.4 only, not revolution data to estimate hours fished for trap 8.3</t>
        </r>
      </text>
    </comment>
    <comment ref="H217" authorId="1" shapeId="0">
      <text>
        <r>
          <rPr>
            <b/>
            <sz val="9"/>
            <color indexed="81"/>
            <rFont val="Tahoma"/>
            <family val="2"/>
          </rPr>
          <t>Julienne, Jason@Wildlife:</t>
        </r>
        <r>
          <rPr>
            <sz val="9"/>
            <color indexed="81"/>
            <rFont val="Tahoma"/>
            <family val="2"/>
          </rPr>
          <t xml:space="preserve">
No revolution data</t>
        </r>
      </text>
    </comment>
    <comment ref="J217" authorId="1" shapeId="0">
      <text>
        <r>
          <rPr>
            <b/>
            <sz val="9"/>
            <color indexed="81"/>
            <rFont val="Tahoma"/>
            <family val="2"/>
          </rPr>
          <t>Julienne, Jason@Wildlife:</t>
        </r>
        <r>
          <rPr>
            <sz val="9"/>
            <color indexed="81"/>
            <rFont val="Tahoma"/>
            <family val="2"/>
          </rPr>
          <t xml:space="preserve">
Hours for 8.4 only, not revolution data to estimate hours fished for trap 8.3</t>
        </r>
      </text>
    </comment>
    <comment ref="F220" authorId="1" shapeId="0">
      <text>
        <r>
          <rPr>
            <b/>
            <sz val="9"/>
            <color indexed="81"/>
            <rFont val="Tahoma"/>
            <family val="2"/>
          </rPr>
          <t>Julienne, Jason@Wildlife:</t>
        </r>
        <r>
          <rPr>
            <sz val="9"/>
            <color indexed="81"/>
            <rFont val="Tahoma"/>
            <family val="2"/>
          </rPr>
          <t xml:space="preserve">
8.3 not fishing due heavy to debris fouling. Cones raised for equipment maintenance</t>
        </r>
      </text>
    </comment>
    <comment ref="G220" authorId="1" shapeId="0">
      <text>
        <r>
          <rPr>
            <b/>
            <sz val="9"/>
            <color indexed="81"/>
            <rFont val="Tahoma"/>
            <family val="2"/>
          </rPr>
          <t>Julienne, Jason@Wildlife:</t>
        </r>
        <r>
          <rPr>
            <sz val="9"/>
            <color indexed="81"/>
            <rFont val="Tahoma"/>
            <family val="2"/>
          </rPr>
          <t xml:space="preserve">
No Revs taken; heavy debris fouling on 8.3; cones raised for equipment maintenance</t>
        </r>
      </text>
    </comment>
    <comment ref="H220" authorId="1" shapeId="0">
      <text>
        <r>
          <rPr>
            <b/>
            <sz val="9"/>
            <color indexed="81"/>
            <rFont val="Tahoma"/>
            <family val="2"/>
          </rPr>
          <t>Julienne, Jason@Wildlife:</t>
        </r>
        <r>
          <rPr>
            <sz val="9"/>
            <color indexed="81"/>
            <rFont val="Tahoma"/>
            <family val="2"/>
          </rPr>
          <t xml:space="preserve">
8.3 not fishing due heavy to debris fouling. Cones raised for equipment maintenance</t>
        </r>
      </text>
    </comment>
    <comment ref="J220" authorId="1" shapeId="0">
      <text>
        <r>
          <rPr>
            <b/>
            <sz val="9"/>
            <color indexed="81"/>
            <rFont val="Tahoma"/>
            <family val="2"/>
          </rPr>
          <t>Julienne, Jason@Wildlife:</t>
        </r>
        <r>
          <rPr>
            <sz val="9"/>
            <color indexed="81"/>
            <rFont val="Tahoma"/>
            <family val="2"/>
          </rPr>
          <t xml:space="preserve">
Totale fishing time used for CPUE estimate as traps were activily fishing during the sample period. </t>
        </r>
      </text>
    </comment>
    <comment ref="F222"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H222"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F223"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H223"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F224"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H224" authorId="1" shapeId="0">
      <text>
        <r>
          <rPr>
            <b/>
            <sz val="9"/>
            <color indexed="81"/>
            <rFont val="Tahoma"/>
            <family val="2"/>
          </rPr>
          <t>Julienne, Jason@Wildlife:</t>
        </r>
        <r>
          <rPr>
            <sz val="9"/>
            <color indexed="81"/>
            <rFont val="Tahoma"/>
            <family val="2"/>
          </rPr>
          <t xml:space="preserve">
Trap 8.3 switched to half cone due to cone damage. Will fish 8.3 in half cone status until repairs can be made. </t>
        </r>
      </text>
    </comment>
    <comment ref="J254" authorId="1" shapeId="0">
      <text>
        <r>
          <rPr>
            <b/>
            <sz val="9"/>
            <color indexed="81"/>
            <rFont val="Tahoma"/>
            <family val="2"/>
          </rPr>
          <t>Julienne, Jason@Wildlife:</t>
        </r>
        <r>
          <rPr>
            <sz val="9"/>
            <color indexed="81"/>
            <rFont val="Tahoma"/>
            <family val="2"/>
          </rPr>
          <t xml:space="preserve">
Rev data not collected by field crew; Estimated at revs taken after cleaning out traps at 2.5 rpm for both 8.3 and 8.4</t>
        </r>
      </text>
    </comment>
  </commentList>
</comments>
</file>

<file path=xl/sharedStrings.xml><?xml version="1.0" encoding="utf-8"?>
<sst xmlns="http://schemas.openxmlformats.org/spreadsheetml/2006/main" count="76" uniqueCount="55">
  <si>
    <t>California Department of Fish and Wildlife - Knights Landing Rotary Screw Trap Daily Catch and Effort Summaries - 2016/2017 Emigration Season</t>
  </si>
  <si>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</si>
  <si>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Please Direct Inquiries to Jason Julienne, (916)496-4985, jason.julienne@wildlife.ca.gov</t>
  </si>
  <si>
    <t>Start Date</t>
  </si>
  <si>
    <t>Start Time</t>
  </si>
  <si>
    <t>Stop Date</t>
  </si>
  <si>
    <t>Stop Time</t>
  </si>
  <si>
    <t>Num. of Hours During Sampling Period</t>
  </si>
  <si>
    <t xml:space="preserve">Cone RPM </t>
  </si>
  <si>
    <t>Total Cone Rev.</t>
  </si>
  <si>
    <t xml:space="preserve">Total Hours Fished </t>
  </si>
  <si>
    <t>Environmental Information</t>
  </si>
  <si>
    <t>Unmarked Chinook Catch</t>
  </si>
  <si>
    <t>Marked Chinook Catch</t>
  </si>
  <si>
    <t>Unmarked Steelhead Catch</t>
  </si>
  <si>
    <t>Marked Steelhead Catch</t>
  </si>
  <si>
    <t>Catch Per Unit Effort (catch per hour)</t>
  </si>
  <si>
    <t xml:space="preserve">Comments </t>
  </si>
  <si>
    <t>River Flow (cfs) @ WLK</t>
  </si>
  <si>
    <t>Water T (F)</t>
  </si>
  <si>
    <t>Turbidity (NTU)</t>
  </si>
  <si>
    <t>Min FL</t>
  </si>
  <si>
    <t>Max FL</t>
  </si>
  <si>
    <t># Fall</t>
  </si>
  <si>
    <t># Spring</t>
  </si>
  <si>
    <t># Winter</t>
  </si>
  <si>
    <t># Late fall</t>
  </si>
  <si>
    <t>Fall-run Chinook</t>
  </si>
  <si>
    <t>Spring-run Chinook</t>
  </si>
  <si>
    <t>Winter-run Chinook</t>
  </si>
  <si>
    <t>Late fall-run Chinook</t>
  </si>
  <si>
    <t>Steelhead</t>
  </si>
  <si>
    <t>N/A</t>
  </si>
  <si>
    <t>NA</t>
  </si>
  <si>
    <t xml:space="preserve">Temp. and Turb, not collected. Traps raised @ 3:45PM in anticipation of heavey debris loading and increased flow. </t>
  </si>
  <si>
    <t>Trapping resumed at 11:30 on 12/12</t>
  </si>
  <si>
    <t>unmarked Fall-run CS catch included two yearlings both measuring 181mm</t>
  </si>
  <si>
    <t>unmarked Winter-run CS catch included one smolt measuring 91mm</t>
  </si>
  <si>
    <t>unmarked Winter-run CS catch included one smolt</t>
  </si>
  <si>
    <t xml:space="preserve">Traps raised @ 2:30 PM due to heavey debris loading and increased flow. </t>
  </si>
  <si>
    <t>Trapping resumed at 09:00 on 12/18</t>
  </si>
  <si>
    <t>Traps raised @ 8:00AM on 12/24 due to holiday</t>
  </si>
  <si>
    <t>Trapping resumed 12/26 at 9:15AM</t>
  </si>
  <si>
    <t>Traps raised @ 8:45AM on 12/31 due to holiday</t>
  </si>
  <si>
    <t>Trapping resumed 1/2 at 9:00AM</t>
  </si>
  <si>
    <t>Damage to trap 8.3 occurred during debris removal on 3/17. Trap cone raised and only 8.4 will be fishing until repairs can be made.</t>
  </si>
  <si>
    <t>Heavy debris build up on trap 8.3 causing malfunction. Trap 8.3 cone raised at 11:45 for maintenance</t>
  </si>
  <si>
    <t>Both cones raised and fishing suspended due to heavy debris fouling and mainteneance of anchor system</t>
  </si>
  <si>
    <t xml:space="preserve">Trap 8.3 switched to half cone due to cone damage. Will fish 8.3 in half cone status until repairs can be made. </t>
  </si>
  <si>
    <t>Both cone fishing in full cone configuration</t>
  </si>
  <si>
    <t xml:space="preserve">Half cone sampling in anticipation of increased catch of marked and unmarked CNFH Fall Run </t>
  </si>
  <si>
    <t>5/29/2017:</t>
  </si>
  <si>
    <t>Discharge at CDEC Wilkins Slough Gauge unavaliable for time at end of trapping period</t>
  </si>
  <si>
    <t>Discharge at CDEC Wilkins Slough Gauge unavaliable for time at end of trapping period; Damage to livewell of trap number 8.3 (river right), cone raised for repairs</t>
  </si>
  <si>
    <t>Trapping suspended due to elevated water temperatures.  Cones raised until further notice.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</si>
</sst>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
    <numFmt numFmtId="165" formatCode="mm/dd/yy;@"/>
    <numFmt numFmtId="166" formatCode="0.0"/>
  </numFmts>
  <fonts count="11" x14ac:knownFonts="1">
    <font>
      <sz val="11"/>
      <color theme="1"/>
      <name val="Calibri"/>
      <family val="2"/>
      <scheme val="minor"/>
    </font>
    <font>
      <sz val="10"/>
      <name val="Arial"/>
      <family val="2"/>
    </font>
    <font>
      <b/>
      <sz val="12"/>
      <name val="Arial"/>
      <family val="2"/>
    </font>
    <font>
      <sz val="12"/>
      <name val="Arial"/>
      <family val="2"/>
    </font>
    <font>
      <sz val="11"/>
      <name val="Arial"/>
      <family val="2"/>
    </font>
    <font>
      <b/>
      <sz val="10"/>
      <name val="Arial"/>
      <family val="2"/>
    </font>
    <font>
      <b/>
      <sz val="11"/>
      <name val="Arial"/>
      <family val="2"/>
    </font>
    <font>
      <sz val="11"/>
      <name val="Calibri"/>
      <family val="2"/>
      <scheme val="minor"/>
    </font>
    <font>
      <sz val="9"/>
      <color indexed="81"/>
      <name val="Tahoma"/>
      <family val="2"/>
    </font>
    <font>
      <b/>
      <sz val="9"/>
      <color indexed="81"/>
      <name val="Tahoma"/>
      <family val="2"/>
    </font>
    <font>
      <b/>
      <sz val="11"/>
      <color rgb="FFFF0000"/>
      <name val="Arial"/>
      <family val="2"/>
    </font>
  </fonts>
  <fills count="6">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0070C0"/>
        <bgColor indexed="64"/>
      </patternFill>
    </fill>
    <fill>
      <patternFill patternType="solid">
        <fgColor rgb="FFFFC000"/>
        <bgColor indexed="64"/>
      </patternFill>
    </fill>
  </fills>
  <borders count="15">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0" borderId="0"/>
    <xf numFmtId="3" fontId="1" fillId="0" borderId="0"/>
    <xf numFmtId="3" fontId="1" fillId="0" borderId="0"/>
  </cellStyleXfs>
  <cellXfs count="94">
    <xf numFmtId="0" fontId="0" fillId="0" borderId="0" xfId="0"/>
    <xf numFmtId="164" fontId="2" fillId="2" borderId="1" xfId="1" applyNumberFormat="1" applyFont="1" applyFill="1" applyBorder="1" applyAlignment="1">
      <alignment horizontal="center"/>
    </xf>
    <xf numFmtId="0" fontId="3" fillId="2" borderId="1" xfId="1" applyFont="1" applyFill="1" applyBorder="1" applyAlignment="1">
      <alignment horizontal="center"/>
    </xf>
    <xf numFmtId="0" fontId="1" fillId="2" borderId="2" xfId="1" applyFont="1" applyFill="1" applyBorder="1"/>
    <xf numFmtId="0" fontId="4" fillId="0" borderId="0" xfId="0" applyFont="1"/>
    <xf numFmtId="0" fontId="5" fillId="2" borderId="0" xfId="1" applyFont="1" applyFill="1" applyBorder="1" applyAlignment="1">
      <alignment horizontal="center"/>
    </xf>
    <xf numFmtId="0" fontId="1" fillId="2" borderId="0" xfId="1" applyFont="1" applyFill="1" applyBorder="1" applyAlignment="1">
      <alignment horizontal="center"/>
    </xf>
    <xf numFmtId="0" fontId="1" fillId="2" borderId="3" xfId="1" applyFont="1" applyFill="1" applyBorder="1"/>
    <xf numFmtId="0" fontId="5" fillId="2" borderId="0" xfId="1" applyFont="1" applyFill="1" applyBorder="1" applyAlignment="1"/>
    <xf numFmtId="0" fontId="5" fillId="2" borderId="3" xfId="1" applyFont="1" applyFill="1" applyBorder="1" applyAlignment="1"/>
    <xf numFmtId="0" fontId="5" fillId="3" borderId="4" xfId="1" applyFont="1" applyFill="1" applyBorder="1" applyAlignment="1"/>
    <xf numFmtId="0" fontId="5" fillId="3" borderId="4" xfId="1" applyFont="1" applyFill="1" applyBorder="1" applyAlignment="1">
      <alignment horizontal="right"/>
    </xf>
    <xf numFmtId="166" fontId="1" fillId="2" borderId="9" xfId="1" applyNumberFormat="1" applyFont="1" applyFill="1" applyBorder="1" applyAlignment="1">
      <alignment horizontal="center" vertical="center" wrapText="1"/>
    </xf>
    <xf numFmtId="166" fontId="1" fillId="2" borderId="10" xfId="1" applyNumberFormat="1" applyFont="1" applyFill="1" applyBorder="1" applyAlignment="1">
      <alignment horizontal="center" vertical="center" wrapText="1"/>
    </xf>
    <xf numFmtId="2" fontId="1" fillId="2" borderId="9" xfId="1" applyNumberFormat="1" applyFont="1" applyFill="1" applyBorder="1" applyAlignment="1">
      <alignment horizontal="center" vertical="center" wrapText="1"/>
    </xf>
    <xf numFmtId="0" fontId="1" fillId="2" borderId="4" xfId="1" applyFont="1" applyFill="1" applyBorder="1" applyAlignment="1">
      <alignment horizontal="center" vertical="center" wrapText="1"/>
    </xf>
    <xf numFmtId="4" fontId="1" fillId="2" borderId="10" xfId="1" applyNumberFormat="1" applyFont="1" applyFill="1" applyBorder="1" applyAlignment="1">
      <alignment horizontal="center" vertical="center" wrapText="1"/>
    </xf>
    <xf numFmtId="0" fontId="1" fillId="2" borderId="9" xfId="1" applyFont="1" applyFill="1" applyBorder="1" applyAlignment="1">
      <alignment horizontal="center" vertical="center"/>
    </xf>
    <xf numFmtId="0" fontId="1" fillId="2" borderId="4" xfId="1" applyFont="1" applyFill="1" applyBorder="1" applyAlignment="1">
      <alignment horizontal="center" vertical="center"/>
    </xf>
    <xf numFmtId="0" fontId="1" fillId="2" borderId="4" xfId="2" applyNumberFormat="1" applyFont="1" applyFill="1" applyBorder="1" applyAlignment="1">
      <alignment horizontal="center" vertical="center"/>
    </xf>
    <xf numFmtId="0" fontId="1" fillId="2" borderId="10" xfId="2" applyNumberFormat="1" applyFont="1" applyFill="1" applyBorder="1" applyAlignment="1">
      <alignment horizontal="center" vertical="center"/>
    </xf>
    <xf numFmtId="0" fontId="1" fillId="2" borderId="9" xfId="2" applyNumberFormat="1" applyFont="1" applyFill="1" applyBorder="1" applyAlignment="1">
      <alignment horizontal="center" vertical="center" wrapText="1"/>
    </xf>
    <xf numFmtId="0" fontId="1" fillId="2" borderId="4" xfId="2" applyNumberFormat="1" applyFont="1" applyFill="1" applyBorder="1" applyAlignment="1">
      <alignment horizontal="center" vertical="center" wrapText="1"/>
    </xf>
    <xf numFmtId="0" fontId="1" fillId="2" borderId="10" xfId="1" applyFont="1" applyFill="1" applyBorder="1" applyAlignment="1">
      <alignment horizontal="center" vertical="center" wrapText="1"/>
    </xf>
    <xf numFmtId="164" fontId="1" fillId="4" borderId="12" xfId="1" applyNumberFormat="1" applyFont="1" applyFill="1" applyBorder="1" applyAlignment="1">
      <alignment horizontal="center" vertical="center"/>
    </xf>
    <xf numFmtId="0" fontId="1" fillId="4" borderId="13" xfId="1" applyNumberFormat="1" applyFont="1" applyFill="1" applyBorder="1" applyAlignment="1">
      <alignment horizontal="center" vertical="center"/>
    </xf>
    <xf numFmtId="165" fontId="1" fillId="4" borderId="13" xfId="1" applyNumberFormat="1" applyFont="1" applyFill="1" applyBorder="1" applyAlignment="1">
      <alignment horizontal="right" vertical="center"/>
    </xf>
    <xf numFmtId="0" fontId="1" fillId="4" borderId="13" xfId="1" applyNumberFormat="1" applyFont="1" applyFill="1" applyBorder="1" applyAlignment="1">
      <alignment horizontal="center" vertical="center" wrapText="1"/>
    </xf>
    <xf numFmtId="2" fontId="1" fillId="4" borderId="13" xfId="1" applyNumberFormat="1" applyFont="1" applyFill="1" applyBorder="1" applyAlignment="1">
      <alignment horizontal="center" vertical="center" wrapText="1"/>
    </xf>
    <xf numFmtId="166" fontId="1" fillId="4" borderId="13" xfId="1" applyNumberFormat="1" applyFont="1" applyFill="1" applyBorder="1" applyAlignment="1">
      <alignment horizontal="center" vertical="center" wrapText="1"/>
    </xf>
    <xf numFmtId="0" fontId="1" fillId="4" borderId="13" xfId="1" applyFont="1" applyFill="1" applyBorder="1" applyAlignment="1">
      <alignment horizontal="center" vertical="center" wrapText="1"/>
    </xf>
    <xf numFmtId="4" fontId="1" fillId="4" borderId="13" xfId="1" applyNumberFormat="1" applyFont="1" applyFill="1" applyBorder="1" applyAlignment="1">
      <alignment horizontal="center" vertical="center" wrapText="1"/>
    </xf>
    <xf numFmtId="0" fontId="1" fillId="4" borderId="13" xfId="1" applyFont="1" applyFill="1" applyBorder="1" applyAlignment="1">
      <alignment horizontal="center" vertical="center"/>
    </xf>
    <xf numFmtId="0" fontId="1" fillId="4" borderId="13" xfId="2" applyNumberFormat="1" applyFont="1" applyFill="1" applyBorder="1" applyAlignment="1">
      <alignment horizontal="center" vertical="center"/>
    </xf>
    <xf numFmtId="0" fontId="1" fillId="4" borderId="13" xfId="2" applyNumberFormat="1" applyFont="1" applyFill="1" applyBorder="1" applyAlignment="1">
      <alignment horizontal="right" vertical="center"/>
    </xf>
    <xf numFmtId="0" fontId="1" fillId="4" borderId="13" xfId="2" applyNumberFormat="1" applyFont="1" applyFill="1" applyBorder="1" applyAlignment="1">
      <alignment horizontal="center" vertical="center" wrapText="1"/>
    </xf>
    <xf numFmtId="0" fontId="1" fillId="4" borderId="14" xfId="1" applyFont="1" applyFill="1" applyBorder="1" applyAlignment="1">
      <alignment horizontal="center"/>
    </xf>
    <xf numFmtId="0" fontId="4" fillId="0" borderId="0" xfId="0" applyFont="1" applyBorder="1"/>
    <xf numFmtId="14" fontId="4" fillId="0" borderId="0" xfId="0" applyNumberFormat="1" applyFont="1"/>
    <xf numFmtId="20" fontId="4" fillId="0" borderId="0" xfId="0" applyNumberFormat="1" applyFont="1"/>
    <xf numFmtId="14" fontId="4" fillId="0" borderId="0" xfId="0" applyNumberFormat="1" applyFont="1" applyAlignment="1">
      <alignment horizontal="right"/>
    </xf>
    <xf numFmtId="2" fontId="4" fillId="0" borderId="0" xfId="0" applyNumberFormat="1" applyFont="1"/>
    <xf numFmtId="166" fontId="4" fillId="0" borderId="0" xfId="0" applyNumberFormat="1" applyFont="1"/>
    <xf numFmtId="4" fontId="4" fillId="0" borderId="0" xfId="0" applyNumberFormat="1" applyFont="1"/>
    <xf numFmtId="0" fontId="4" fillId="0" borderId="0" xfId="0" applyFont="1" applyAlignment="1">
      <alignment horizontal="right"/>
    </xf>
    <xf numFmtId="0" fontId="7" fillId="0" borderId="0" xfId="0" applyFont="1"/>
    <xf numFmtId="14" fontId="4" fillId="0" borderId="0" xfId="0" applyNumberFormat="1" applyFont="1" applyFill="1" applyAlignment="1">
      <alignment horizontal="right"/>
    </xf>
    <xf numFmtId="20" fontId="4" fillId="0" borderId="0" xfId="0" applyNumberFormat="1" applyFont="1" applyFill="1"/>
    <xf numFmtId="2" fontId="4" fillId="0" borderId="0" xfId="0" applyNumberFormat="1" applyFont="1" applyFill="1"/>
    <xf numFmtId="166" fontId="4" fillId="0" borderId="0" xfId="0" applyNumberFormat="1" applyFont="1" applyFill="1"/>
    <xf numFmtId="0" fontId="4" fillId="0" borderId="0" xfId="0" applyFont="1" applyFill="1"/>
    <xf numFmtId="4" fontId="4" fillId="0" borderId="0" xfId="0" applyNumberFormat="1" applyFont="1" applyFill="1"/>
    <xf numFmtId="0" fontId="4" fillId="0" borderId="0" xfId="0" applyFont="1" applyFill="1" applyAlignment="1">
      <alignment horizontal="right"/>
    </xf>
    <xf numFmtId="14" fontId="4" fillId="0" borderId="0" xfId="0" applyNumberFormat="1" applyFont="1" applyFill="1"/>
    <xf numFmtId="4" fontId="4" fillId="0" borderId="0" xfId="0" applyNumberFormat="1" applyFont="1" applyFill="1" applyAlignment="1">
      <alignment horizontal="right"/>
    </xf>
    <xf numFmtId="20" fontId="4" fillId="0" borderId="0" xfId="0" applyNumberFormat="1" applyFont="1" applyAlignment="1">
      <alignment horizontal="right"/>
    </xf>
    <xf numFmtId="1" fontId="4" fillId="0" borderId="0" xfId="0" applyNumberFormat="1" applyFont="1"/>
    <xf numFmtId="14" fontId="4" fillId="5" borderId="0" xfId="0" applyNumberFormat="1" applyFont="1" applyFill="1" applyAlignment="1">
      <alignment horizontal="right"/>
    </xf>
    <xf numFmtId="20" fontId="4" fillId="5" borderId="0" xfId="0" applyNumberFormat="1" applyFont="1" applyFill="1"/>
    <xf numFmtId="2" fontId="4" fillId="5" borderId="0" xfId="0" applyNumberFormat="1" applyFont="1" applyFill="1"/>
    <xf numFmtId="166" fontId="4" fillId="5" borderId="0" xfId="0" applyNumberFormat="1" applyFont="1" applyFill="1"/>
    <xf numFmtId="0" fontId="4" fillId="5" borderId="0" xfId="0" applyFont="1" applyFill="1"/>
    <xf numFmtId="4" fontId="4" fillId="5" borderId="0" xfId="0" applyNumberFormat="1" applyFont="1" applyFill="1"/>
    <xf numFmtId="0" fontId="4" fillId="5" borderId="0" xfId="0" applyFont="1" applyFill="1" applyAlignment="1">
      <alignment horizontal="right"/>
    </xf>
    <xf numFmtId="164" fontId="2" fillId="2" borderId="1" xfId="1" applyNumberFormat="1" applyFont="1" applyFill="1" applyBorder="1" applyAlignment="1">
      <alignment horizontal="center"/>
    </xf>
    <xf numFmtId="0" fontId="1" fillId="2" borderId="0" xfId="1" applyFont="1" applyFill="1" applyBorder="1" applyAlignment="1">
      <alignment horizontal="center"/>
    </xf>
    <xf numFmtId="164" fontId="1" fillId="2" borderId="5" xfId="1" applyNumberFormat="1" applyFont="1" applyFill="1" applyBorder="1" applyAlignment="1">
      <alignment horizontal="center" vertical="center"/>
    </xf>
    <xf numFmtId="164" fontId="1" fillId="2" borderId="9" xfId="1" applyNumberFormat="1" applyFont="1" applyFill="1" applyBorder="1" applyAlignment="1">
      <alignment horizontal="center" vertical="center"/>
    </xf>
    <xf numFmtId="0" fontId="1" fillId="2" borderId="6" xfId="1" applyNumberFormat="1" applyFont="1" applyFill="1" applyBorder="1" applyAlignment="1">
      <alignment horizontal="center" vertical="center"/>
    </xf>
    <xf numFmtId="0" fontId="1" fillId="2" borderId="4" xfId="1" applyNumberFormat="1" applyFont="1" applyFill="1" applyBorder="1" applyAlignment="1">
      <alignment horizontal="center" vertical="center"/>
    </xf>
    <xf numFmtId="165" fontId="1" fillId="2" borderId="6" xfId="1" applyNumberFormat="1" applyFont="1" applyFill="1" applyBorder="1" applyAlignment="1">
      <alignment horizontal="center" vertical="center"/>
    </xf>
    <xf numFmtId="165" fontId="1" fillId="2" borderId="4" xfId="1" applyNumberFormat="1" applyFont="1" applyFill="1" applyBorder="1" applyAlignment="1">
      <alignment horizontal="center" vertical="center"/>
    </xf>
    <xf numFmtId="0" fontId="1" fillId="2" borderId="7" xfId="1" applyNumberFormat="1" applyFont="1" applyFill="1" applyBorder="1" applyAlignment="1">
      <alignment horizontal="center" vertical="center" wrapText="1"/>
    </xf>
    <xf numFmtId="0" fontId="1" fillId="2" borderId="10" xfId="1" applyNumberFormat="1" applyFont="1" applyFill="1" applyBorder="1" applyAlignment="1">
      <alignment horizontal="center" vertical="center" wrapText="1"/>
    </xf>
    <xf numFmtId="2" fontId="1" fillId="2" borderId="8" xfId="1" applyNumberFormat="1" applyFont="1" applyFill="1" applyBorder="1" applyAlignment="1">
      <alignment horizontal="center" vertical="center" wrapText="1"/>
    </xf>
    <xf numFmtId="2" fontId="1" fillId="2" borderId="11" xfId="1" applyNumberFormat="1" applyFont="1" applyFill="1" applyBorder="1" applyAlignment="1">
      <alignment horizontal="center" vertical="center" wrapText="1"/>
    </xf>
    <xf numFmtId="166" fontId="1" fillId="2" borderId="5" xfId="1" applyNumberFormat="1" applyFont="1" applyFill="1" applyBorder="1" applyAlignment="1">
      <alignment horizontal="center" vertical="center" wrapText="1"/>
    </xf>
    <xf numFmtId="166" fontId="1" fillId="2" borderId="7" xfId="1" applyNumberFormat="1" applyFont="1" applyFill="1" applyBorder="1" applyAlignment="1">
      <alignment horizontal="center" vertical="center" wrapText="1"/>
    </xf>
    <xf numFmtId="2" fontId="1" fillId="2" borderId="5" xfId="1" applyNumberFormat="1" applyFont="1" applyFill="1" applyBorder="1" applyAlignment="1">
      <alignment horizontal="center" vertical="center" wrapText="1"/>
    </xf>
    <xf numFmtId="2" fontId="1" fillId="2" borderId="7" xfId="1" applyNumberFormat="1" applyFont="1" applyFill="1" applyBorder="1" applyAlignment="1">
      <alignment horizontal="center" vertical="center" wrapText="1"/>
    </xf>
    <xf numFmtId="0" fontId="6" fillId="2" borderId="5" xfId="2" applyNumberFormat="1" applyFont="1" applyFill="1" applyBorder="1" applyAlignment="1">
      <alignment horizontal="center" vertical="center" wrapText="1"/>
    </xf>
    <xf numFmtId="0" fontId="6" fillId="2" borderId="6" xfId="2" applyNumberFormat="1" applyFont="1" applyFill="1" applyBorder="1" applyAlignment="1">
      <alignment horizontal="center" vertical="center" wrapText="1"/>
    </xf>
    <xf numFmtId="0" fontId="6" fillId="2" borderId="7" xfId="2" applyNumberFormat="1" applyFont="1" applyFill="1" applyBorder="1" applyAlignment="1">
      <alignment horizontal="center" vertical="center" wrapText="1"/>
    </xf>
    <xf numFmtId="0" fontId="6" fillId="0" borderId="8" xfId="1" applyFont="1" applyBorder="1" applyAlignment="1">
      <alignment horizontal="center" vertical="center"/>
    </xf>
    <xf numFmtId="0" fontId="6" fillId="0" borderId="11" xfId="1" applyFont="1" applyBorder="1" applyAlignment="1">
      <alignment horizontal="center" vertical="center"/>
    </xf>
    <xf numFmtId="0" fontId="6" fillId="2" borderId="5" xfId="1" applyFont="1" applyFill="1" applyBorder="1" applyAlignment="1">
      <alignment horizontal="center" vertical="center" wrapText="1"/>
    </xf>
    <xf numFmtId="0" fontId="6" fillId="2" borderId="6" xfId="1" applyFont="1" applyFill="1" applyBorder="1" applyAlignment="1">
      <alignment horizontal="center" vertical="center" wrapText="1"/>
    </xf>
    <xf numFmtId="0" fontId="6" fillId="2" borderId="7" xfId="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8" xfId="1" applyFont="1" applyFill="1" applyBorder="1" applyAlignment="1">
      <alignment horizontal="center" vertical="top" wrapText="1"/>
    </xf>
    <xf numFmtId="0" fontId="6" fillId="2" borderId="11" xfId="1" applyFont="1" applyFill="1" applyBorder="1" applyAlignment="1">
      <alignment horizontal="center" vertical="top" wrapText="1"/>
    </xf>
    <xf numFmtId="0" fontId="10" fillId="0" borderId="0" xfId="0" applyFont="1"/>
  </cellXfs>
  <cellStyles count="4">
    <cellStyle name="Comma0" xfId="3"/>
    <cellStyle name="Comma0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303"/>
  <sheetViews>
    <sheetView tabSelected="1" zoomScale="85" zoomScaleNormal="85" zoomScalePageLayoutView="125" workbookViewId="0">
      <pane ySplit="6" topLeftCell="A301" activePane="bottomLeft" state="frozen"/>
      <selection pane="bottomLeft" activeCell="A304" sqref="A304"/>
    </sheetView>
  </sheetViews>
  <sheetFormatPr defaultColWidth="9.109375" defaultRowHeight="13.8" x14ac:dyDescent="0.25"/>
  <cols>
    <col min="1" max="1" width="12.33203125" style="4" bestFit="1" customWidth="1"/>
    <col min="2" max="2" width="9.109375" style="4" customWidth="1"/>
    <col min="3" max="3" width="13.5546875" style="44" bestFit="1" customWidth="1"/>
    <col min="4" max="4" width="11.44140625" style="4" customWidth="1"/>
    <col min="5" max="5" width="9.109375" style="41" customWidth="1"/>
    <col min="6" max="7" width="9.109375" style="42" customWidth="1"/>
    <col min="8" max="9" width="9.109375" style="4" customWidth="1"/>
    <col min="10" max="10" width="12.109375" style="41" customWidth="1"/>
    <col min="11" max="12" width="9.109375" style="4" customWidth="1"/>
    <col min="13" max="13" width="9.109375" style="43" customWidth="1"/>
    <col min="14" max="22" width="9.109375" style="4"/>
    <col min="23" max="23" width="9.5546875" style="4" bestFit="1" customWidth="1"/>
    <col min="24" max="24" width="17.6640625" style="44" customWidth="1"/>
    <col min="25" max="25" width="18" style="44" customWidth="1"/>
    <col min="26" max="26" width="12.109375" style="4" customWidth="1"/>
    <col min="27" max="29" width="12" style="4" bestFit="1" customWidth="1"/>
    <col min="30" max="30" width="10.44140625" style="4" bestFit="1" customWidth="1"/>
    <col min="31" max="31" width="155.5546875" style="4" bestFit="1" customWidth="1"/>
    <col min="32" max="16384" width="9.109375" style="4"/>
  </cols>
  <sheetData>
    <row r="1" spans="1:31" ht="15.6" x14ac:dyDescent="0.3">
      <c r="A1" s="64" t="s">
        <v>0</v>
      </c>
      <c r="B1" s="64"/>
      <c r="C1" s="64"/>
      <c r="D1" s="64"/>
      <c r="E1" s="64"/>
      <c r="F1" s="64"/>
      <c r="G1" s="64"/>
      <c r="H1" s="64"/>
      <c r="I1" s="64"/>
      <c r="J1" s="64"/>
      <c r="K1" s="64"/>
      <c r="L1" s="64"/>
      <c r="M1" s="64"/>
      <c r="N1" s="64"/>
      <c r="O1" s="64"/>
      <c r="P1" s="64"/>
      <c r="Q1" s="64"/>
      <c r="R1" s="64"/>
      <c r="S1" s="64"/>
      <c r="T1" s="64"/>
      <c r="U1" s="64"/>
      <c r="V1" s="64"/>
      <c r="W1" s="64"/>
      <c r="X1" s="64"/>
      <c r="Y1" s="64"/>
      <c r="Z1" s="64"/>
      <c r="AA1" s="64"/>
      <c r="AB1" s="1"/>
      <c r="AC1" s="1"/>
      <c r="AD1" s="2"/>
      <c r="AE1" s="3"/>
    </row>
    <row r="2" spans="1:31" x14ac:dyDescent="0.25">
      <c r="A2" s="65" t="s">
        <v>1</v>
      </c>
      <c r="B2" s="65"/>
      <c r="C2" s="65"/>
      <c r="D2" s="65"/>
      <c r="E2" s="65"/>
      <c r="F2" s="65"/>
      <c r="G2" s="65"/>
      <c r="H2" s="65"/>
      <c r="I2" s="65"/>
      <c r="J2" s="65"/>
      <c r="K2" s="65"/>
      <c r="L2" s="65"/>
      <c r="M2" s="65"/>
      <c r="N2" s="65"/>
      <c r="O2" s="65"/>
      <c r="P2" s="65"/>
      <c r="Q2" s="65"/>
      <c r="R2" s="65"/>
      <c r="S2" s="65"/>
      <c r="T2" s="65"/>
      <c r="U2" s="65"/>
      <c r="V2" s="65"/>
      <c r="W2" s="65"/>
      <c r="X2" s="65"/>
      <c r="Y2" s="65"/>
      <c r="Z2" s="65"/>
      <c r="AA2" s="65"/>
      <c r="AB2" s="5"/>
      <c r="AC2" s="5"/>
      <c r="AD2" s="6"/>
      <c r="AE2" s="7"/>
    </row>
    <row r="3" spans="1:31" ht="15.75" customHeight="1" x14ac:dyDescent="0.25">
      <c r="A3" s="65" t="s">
        <v>2</v>
      </c>
      <c r="B3" s="65"/>
      <c r="C3" s="65"/>
      <c r="D3" s="65"/>
      <c r="E3" s="65"/>
      <c r="F3" s="65"/>
      <c r="G3" s="65"/>
      <c r="H3" s="65"/>
      <c r="I3" s="65"/>
      <c r="J3" s="65"/>
      <c r="K3" s="65"/>
      <c r="L3" s="65"/>
      <c r="M3" s="65"/>
      <c r="N3" s="65"/>
      <c r="O3" s="65"/>
      <c r="P3" s="65"/>
      <c r="Q3" s="65"/>
      <c r="R3" s="65"/>
      <c r="S3" s="65"/>
      <c r="T3" s="65"/>
      <c r="U3" s="65"/>
      <c r="V3" s="65"/>
      <c r="W3" s="65"/>
      <c r="X3" s="65"/>
      <c r="Y3" s="65"/>
      <c r="Z3" s="65"/>
      <c r="AA3" s="65"/>
      <c r="AB3" s="8"/>
      <c r="AC3" s="8"/>
      <c r="AD3" s="8"/>
      <c r="AE3" s="9"/>
    </row>
    <row r="4" spans="1:31" ht="6" customHeight="1" thickBot="1" x14ac:dyDescent="0.3">
      <c r="A4" s="10"/>
      <c r="B4" s="10"/>
      <c r="C4" s="11"/>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spans="1:31" ht="15" customHeight="1" x14ac:dyDescent="0.25">
      <c r="A5" s="66" t="s">
        <v>3</v>
      </c>
      <c r="B5" s="68" t="s">
        <v>4</v>
      </c>
      <c r="C5" s="70" t="s">
        <v>5</v>
      </c>
      <c r="D5" s="72" t="s">
        <v>6</v>
      </c>
      <c r="E5" s="74" t="s">
        <v>7</v>
      </c>
      <c r="F5" s="76" t="s">
        <v>8</v>
      </c>
      <c r="G5" s="77"/>
      <c r="H5" s="78" t="s">
        <v>9</v>
      </c>
      <c r="I5" s="79"/>
      <c r="J5" s="74" t="s">
        <v>10</v>
      </c>
      <c r="K5" s="85" t="s">
        <v>11</v>
      </c>
      <c r="L5" s="86"/>
      <c r="M5" s="87"/>
      <c r="N5" s="88" t="s">
        <v>12</v>
      </c>
      <c r="O5" s="89"/>
      <c r="P5" s="89"/>
      <c r="Q5" s="89"/>
      <c r="R5" s="89"/>
      <c r="S5" s="90"/>
      <c r="T5" s="88" t="s">
        <v>13</v>
      </c>
      <c r="U5" s="89"/>
      <c r="V5" s="89"/>
      <c r="W5" s="90"/>
      <c r="X5" s="91" t="s">
        <v>14</v>
      </c>
      <c r="Y5" s="91" t="s">
        <v>15</v>
      </c>
      <c r="Z5" s="80" t="s">
        <v>16</v>
      </c>
      <c r="AA5" s="81"/>
      <c r="AB5" s="81"/>
      <c r="AC5" s="81"/>
      <c r="AD5" s="82"/>
      <c r="AE5" s="83" t="s">
        <v>17</v>
      </c>
    </row>
    <row r="6" spans="1:31" ht="53.25" customHeight="1" thickBot="1" x14ac:dyDescent="0.3">
      <c r="A6" s="67"/>
      <c r="B6" s="69"/>
      <c r="C6" s="71"/>
      <c r="D6" s="73"/>
      <c r="E6" s="75"/>
      <c r="F6" s="12">
        <v>8.3000000000000007</v>
      </c>
      <c r="G6" s="13">
        <v>8.4</v>
      </c>
      <c r="H6" s="12">
        <v>8.3000000000000007</v>
      </c>
      <c r="I6" s="13">
        <v>8.4</v>
      </c>
      <c r="J6" s="75"/>
      <c r="K6" s="14" t="s">
        <v>18</v>
      </c>
      <c r="L6" s="15" t="s">
        <v>19</v>
      </c>
      <c r="M6" s="16" t="s">
        <v>20</v>
      </c>
      <c r="N6" s="17" t="s">
        <v>21</v>
      </c>
      <c r="O6" s="18" t="s">
        <v>22</v>
      </c>
      <c r="P6" s="19" t="s">
        <v>23</v>
      </c>
      <c r="Q6" s="19" t="s">
        <v>24</v>
      </c>
      <c r="R6" s="19" t="s">
        <v>25</v>
      </c>
      <c r="S6" s="20" t="s">
        <v>26</v>
      </c>
      <c r="T6" s="19" t="s">
        <v>23</v>
      </c>
      <c r="U6" s="19" t="s">
        <v>24</v>
      </c>
      <c r="V6" s="19" t="s">
        <v>25</v>
      </c>
      <c r="W6" s="20" t="s">
        <v>26</v>
      </c>
      <c r="X6" s="92"/>
      <c r="Y6" s="92"/>
      <c r="Z6" s="21" t="s">
        <v>27</v>
      </c>
      <c r="AA6" s="22" t="s">
        <v>28</v>
      </c>
      <c r="AB6" s="22" t="s">
        <v>29</v>
      </c>
      <c r="AC6" s="22" t="s">
        <v>30</v>
      </c>
      <c r="AD6" s="23" t="s">
        <v>31</v>
      </c>
      <c r="AE6" s="84"/>
    </row>
    <row r="7" spans="1:31" s="37" customFormat="1" ht="6" customHeight="1" thickBot="1" x14ac:dyDescent="0.3">
      <c r="A7" s="24"/>
      <c r="B7" s="25"/>
      <c r="C7" s="26"/>
      <c r="D7" s="27"/>
      <c r="E7" s="28"/>
      <c r="F7" s="29"/>
      <c r="G7" s="29"/>
      <c r="H7" s="29"/>
      <c r="I7" s="29"/>
      <c r="J7" s="28"/>
      <c r="K7" s="28"/>
      <c r="L7" s="30"/>
      <c r="M7" s="31"/>
      <c r="N7" s="32"/>
      <c r="O7" s="32"/>
      <c r="P7" s="33"/>
      <c r="Q7" s="33"/>
      <c r="R7" s="33"/>
      <c r="S7" s="33"/>
      <c r="T7" s="33"/>
      <c r="U7" s="33"/>
      <c r="V7" s="33"/>
      <c r="W7" s="33"/>
      <c r="X7" s="34"/>
      <c r="Y7" s="34"/>
      <c r="Z7" s="35"/>
      <c r="AA7" s="35"/>
      <c r="AB7" s="35"/>
      <c r="AC7" s="35"/>
      <c r="AD7" s="30"/>
      <c r="AE7" s="36"/>
    </row>
    <row r="8" spans="1:31" x14ac:dyDescent="0.25">
      <c r="A8" s="38">
        <v>42611</v>
      </c>
      <c r="B8" s="39">
        <v>0.60416666666666663</v>
      </c>
      <c r="C8" s="40">
        <v>42612</v>
      </c>
      <c r="D8" s="39">
        <v>0.47916666666666669</v>
      </c>
      <c r="E8" s="41">
        <v>21</v>
      </c>
      <c r="F8" s="42">
        <v>1.9</v>
      </c>
      <c r="G8" s="42">
        <v>2.1</v>
      </c>
      <c r="H8" s="4">
        <v>1543</v>
      </c>
      <c r="I8" s="4">
        <v>2326</v>
      </c>
      <c r="J8" s="41">
        <f t="shared" ref="J8:J87" si="0" xml:space="preserve"> (((H8/F8)+(I8/G8))/60)</f>
        <v>31.995405179615705</v>
      </c>
      <c r="K8" s="4">
        <v>7970</v>
      </c>
      <c r="L8" s="4">
        <v>69</v>
      </c>
      <c r="M8" s="43">
        <v>15.9</v>
      </c>
      <c r="N8" s="4">
        <v>43</v>
      </c>
      <c r="O8" s="4">
        <v>43</v>
      </c>
      <c r="P8" s="4">
        <v>0</v>
      </c>
      <c r="Q8" s="4">
        <v>0</v>
      </c>
      <c r="R8" s="4">
        <v>1</v>
      </c>
      <c r="S8" s="4">
        <v>0</v>
      </c>
      <c r="T8" s="4">
        <v>0</v>
      </c>
      <c r="U8" s="4">
        <v>0</v>
      </c>
      <c r="V8" s="4">
        <v>0</v>
      </c>
      <c r="W8" s="4">
        <v>0</v>
      </c>
      <c r="X8" s="44">
        <v>0</v>
      </c>
      <c r="Y8" s="44">
        <v>0</v>
      </c>
      <c r="Z8" s="4">
        <f>P8/J8</f>
        <v>0</v>
      </c>
      <c r="AA8" s="4">
        <f>Q8/J8</f>
        <v>0</v>
      </c>
      <c r="AB8" s="4">
        <f>R8/J8</f>
        <v>3.1254487773672596E-2</v>
      </c>
      <c r="AC8" s="4">
        <f>S8/J8</f>
        <v>0</v>
      </c>
      <c r="AD8" s="4">
        <f>X8/J8</f>
        <v>0</v>
      </c>
    </row>
    <row r="9" spans="1:31" x14ac:dyDescent="0.25">
      <c r="A9" s="38">
        <v>42612</v>
      </c>
      <c r="B9" s="39">
        <v>0.47916666666666669</v>
      </c>
      <c r="C9" s="40">
        <v>42613</v>
      </c>
      <c r="D9" s="39">
        <v>0.46875</v>
      </c>
      <c r="E9" s="41">
        <v>23.75</v>
      </c>
      <c r="F9" s="42">
        <v>1.5</v>
      </c>
      <c r="G9" s="42">
        <v>1.9</v>
      </c>
      <c r="H9" s="4">
        <v>1473</v>
      </c>
      <c r="I9" s="4">
        <v>2452</v>
      </c>
      <c r="J9" s="41">
        <f t="shared" si="0"/>
        <v>37.875438596491229</v>
      </c>
      <c r="K9" s="4">
        <v>7840</v>
      </c>
      <c r="L9" s="4">
        <v>70</v>
      </c>
      <c r="M9" s="43">
        <v>14.95</v>
      </c>
      <c r="N9" s="4">
        <v>42</v>
      </c>
      <c r="O9" s="4">
        <v>42</v>
      </c>
      <c r="P9" s="4">
        <v>0</v>
      </c>
      <c r="Q9" s="4">
        <v>0</v>
      </c>
      <c r="R9" s="4">
        <v>1</v>
      </c>
      <c r="S9" s="4">
        <v>0</v>
      </c>
      <c r="T9" s="4">
        <v>0</v>
      </c>
      <c r="U9" s="4">
        <v>0</v>
      </c>
      <c r="V9" s="4">
        <v>0</v>
      </c>
      <c r="W9" s="4">
        <v>0</v>
      </c>
      <c r="X9" s="44">
        <v>0</v>
      </c>
      <c r="Y9" s="44">
        <v>0</v>
      </c>
      <c r="Z9" s="4">
        <f t="shared" ref="Z9:Z87" si="1">P9/J9</f>
        <v>0</v>
      </c>
      <c r="AA9" s="4">
        <f t="shared" ref="AA9:AA87" si="2">Q9/J9</f>
        <v>0</v>
      </c>
      <c r="AB9" s="4">
        <f t="shared" ref="AB9:AB87" si="3">R9/J9</f>
        <v>2.6402334522210386E-2</v>
      </c>
      <c r="AC9" s="4">
        <f t="shared" ref="AC9:AC87" si="4">S9/J9</f>
        <v>0</v>
      </c>
      <c r="AD9" s="4">
        <f t="shared" ref="AD9:AD87" si="5">X9/J9</f>
        <v>0</v>
      </c>
    </row>
    <row r="10" spans="1:31" x14ac:dyDescent="0.25">
      <c r="A10" s="38">
        <v>42613</v>
      </c>
      <c r="B10" s="39">
        <v>0.46875</v>
      </c>
      <c r="C10" s="40">
        <v>42614</v>
      </c>
      <c r="D10" s="39">
        <v>0.47916666666666669</v>
      </c>
      <c r="E10" s="41">
        <v>24.25</v>
      </c>
      <c r="F10" s="42">
        <v>1.4</v>
      </c>
      <c r="G10" s="42">
        <v>2.1</v>
      </c>
      <c r="H10" s="4">
        <v>1887</v>
      </c>
      <c r="I10" s="4">
        <v>1201</v>
      </c>
      <c r="J10" s="41">
        <f t="shared" si="0"/>
        <v>31.996031746031747</v>
      </c>
      <c r="K10" s="4">
        <v>7910</v>
      </c>
      <c r="L10" s="4">
        <v>70</v>
      </c>
      <c r="M10" s="43">
        <v>20.100000000000001</v>
      </c>
      <c r="P10" s="4">
        <v>0</v>
      </c>
      <c r="Q10" s="4">
        <v>0</v>
      </c>
      <c r="R10" s="4">
        <v>0</v>
      </c>
      <c r="S10" s="4">
        <v>0</v>
      </c>
      <c r="T10" s="4">
        <v>0</v>
      </c>
      <c r="U10" s="4">
        <v>0</v>
      </c>
      <c r="V10" s="4">
        <v>0</v>
      </c>
      <c r="W10" s="4">
        <v>0</v>
      </c>
      <c r="X10" s="44">
        <v>0</v>
      </c>
      <c r="Y10" s="44">
        <v>0</v>
      </c>
      <c r="Z10" s="4">
        <f t="shared" si="1"/>
        <v>0</v>
      </c>
      <c r="AA10" s="4">
        <f t="shared" si="2"/>
        <v>0</v>
      </c>
      <c r="AB10" s="4">
        <f t="shared" si="3"/>
        <v>0</v>
      </c>
      <c r="AC10" s="4">
        <f t="shared" si="4"/>
        <v>0</v>
      </c>
      <c r="AD10" s="4">
        <f t="shared" si="5"/>
        <v>0</v>
      </c>
    </row>
    <row r="11" spans="1:31" x14ac:dyDescent="0.25">
      <c r="A11" s="38">
        <v>42614</v>
      </c>
      <c r="B11" s="39">
        <v>0.47916666666666669</v>
      </c>
      <c r="C11" s="40">
        <v>42615</v>
      </c>
      <c r="D11" s="39">
        <v>0.52083333333333337</v>
      </c>
      <c r="E11" s="41">
        <v>25</v>
      </c>
      <c r="F11" s="42">
        <v>1.6</v>
      </c>
      <c r="G11" s="42">
        <v>2</v>
      </c>
      <c r="H11" s="4">
        <v>781</v>
      </c>
      <c r="I11" s="4">
        <v>126</v>
      </c>
      <c r="J11" s="41">
        <f t="shared" si="0"/>
        <v>9.1854166666666668</v>
      </c>
      <c r="K11" s="4">
        <v>8120</v>
      </c>
      <c r="L11" s="4">
        <v>69</v>
      </c>
      <c r="M11" s="43">
        <v>14.8</v>
      </c>
      <c r="P11" s="4">
        <v>0</v>
      </c>
      <c r="Q11" s="4">
        <v>0</v>
      </c>
      <c r="R11" s="4">
        <v>0</v>
      </c>
      <c r="S11" s="4">
        <v>0</v>
      </c>
      <c r="T11" s="4">
        <v>0</v>
      </c>
      <c r="U11" s="4">
        <v>0</v>
      </c>
      <c r="V11" s="4">
        <v>0</v>
      </c>
      <c r="W11" s="4">
        <v>0</v>
      </c>
      <c r="X11" s="44">
        <v>0</v>
      </c>
      <c r="Y11" s="44">
        <v>0</v>
      </c>
      <c r="Z11" s="4">
        <f t="shared" si="1"/>
        <v>0</v>
      </c>
      <c r="AA11" s="4">
        <f t="shared" si="2"/>
        <v>0</v>
      </c>
      <c r="AB11" s="4">
        <f t="shared" si="3"/>
        <v>0</v>
      </c>
      <c r="AC11" s="4">
        <f t="shared" si="4"/>
        <v>0</v>
      </c>
      <c r="AD11" s="4">
        <f t="shared" si="5"/>
        <v>0</v>
      </c>
    </row>
    <row r="12" spans="1:31" x14ac:dyDescent="0.25">
      <c r="A12" s="38">
        <v>42615</v>
      </c>
      <c r="B12" s="39">
        <v>0.52083333333333337</v>
      </c>
      <c r="C12" s="40">
        <v>42616</v>
      </c>
      <c r="D12" s="39">
        <v>0.40625</v>
      </c>
      <c r="E12" s="41">
        <v>21.25</v>
      </c>
      <c r="F12" s="42">
        <v>1.5</v>
      </c>
      <c r="G12" s="42">
        <v>1.9</v>
      </c>
      <c r="H12" s="4">
        <v>1812</v>
      </c>
      <c r="I12" s="4">
        <v>2366</v>
      </c>
      <c r="J12" s="41">
        <f t="shared" si="0"/>
        <v>40.887719298245614</v>
      </c>
      <c r="K12" s="4">
        <v>7910</v>
      </c>
      <c r="L12" s="4">
        <v>69</v>
      </c>
      <c r="M12" s="43">
        <v>20.8</v>
      </c>
      <c r="P12" s="4">
        <v>0</v>
      </c>
      <c r="Q12" s="4">
        <v>0</v>
      </c>
      <c r="R12" s="4">
        <v>0</v>
      </c>
      <c r="S12" s="4">
        <v>0</v>
      </c>
      <c r="T12" s="4">
        <v>0</v>
      </c>
      <c r="U12" s="4">
        <v>0</v>
      </c>
      <c r="V12" s="4">
        <v>0</v>
      </c>
      <c r="W12" s="4">
        <v>0</v>
      </c>
      <c r="X12" s="44">
        <v>0</v>
      </c>
      <c r="Y12" s="44">
        <v>0</v>
      </c>
      <c r="Z12" s="4">
        <f t="shared" si="1"/>
        <v>0</v>
      </c>
      <c r="AA12" s="4">
        <f t="shared" si="2"/>
        <v>0</v>
      </c>
      <c r="AB12" s="4">
        <f t="shared" si="3"/>
        <v>0</v>
      </c>
      <c r="AC12" s="4">
        <f t="shared" si="4"/>
        <v>0</v>
      </c>
      <c r="AD12" s="4">
        <f t="shared" si="5"/>
        <v>0</v>
      </c>
    </row>
    <row r="13" spans="1:31" x14ac:dyDescent="0.25">
      <c r="A13" s="38">
        <v>42616</v>
      </c>
      <c r="B13" s="39">
        <v>0.40625</v>
      </c>
      <c r="C13" s="40">
        <v>42617</v>
      </c>
      <c r="D13" s="39">
        <v>0.47916666666666669</v>
      </c>
      <c r="E13" s="41">
        <v>25.75</v>
      </c>
      <c r="F13" s="42">
        <v>1.2</v>
      </c>
      <c r="G13" s="42">
        <v>1.9</v>
      </c>
      <c r="H13" s="4">
        <v>1432</v>
      </c>
      <c r="I13" s="4">
        <v>3056</v>
      </c>
      <c r="J13" s="41">
        <f t="shared" si="0"/>
        <v>46.695906432748536</v>
      </c>
      <c r="K13" s="4">
        <v>7850</v>
      </c>
      <c r="L13" s="4">
        <v>68</v>
      </c>
      <c r="M13" s="43">
        <v>20.100000000000001</v>
      </c>
      <c r="P13" s="4">
        <v>0</v>
      </c>
      <c r="Q13" s="4">
        <v>0</v>
      </c>
      <c r="R13" s="4">
        <v>0</v>
      </c>
      <c r="S13" s="4">
        <v>0</v>
      </c>
      <c r="T13" s="4">
        <v>0</v>
      </c>
      <c r="U13" s="4">
        <v>0</v>
      </c>
      <c r="V13" s="4">
        <v>0</v>
      </c>
      <c r="W13" s="4">
        <v>0</v>
      </c>
      <c r="X13" s="44">
        <v>0</v>
      </c>
      <c r="Y13" s="44">
        <v>0</v>
      </c>
      <c r="Z13" s="4">
        <f t="shared" si="1"/>
        <v>0</v>
      </c>
      <c r="AA13" s="4">
        <f t="shared" si="2"/>
        <v>0</v>
      </c>
      <c r="AB13" s="4">
        <f t="shared" si="3"/>
        <v>0</v>
      </c>
      <c r="AC13" s="4">
        <f t="shared" si="4"/>
        <v>0</v>
      </c>
      <c r="AD13" s="4">
        <f t="shared" si="5"/>
        <v>0</v>
      </c>
    </row>
    <row r="14" spans="1:31" x14ac:dyDescent="0.25">
      <c r="A14" s="38">
        <v>42617</v>
      </c>
      <c r="B14" s="39">
        <v>0.47916666666666669</v>
      </c>
      <c r="C14" s="40">
        <v>42618</v>
      </c>
      <c r="D14" s="39">
        <v>0.38541666666666669</v>
      </c>
      <c r="E14" s="41">
        <v>21.75</v>
      </c>
      <c r="F14" s="42">
        <v>1.5</v>
      </c>
      <c r="G14" s="42">
        <v>2.1</v>
      </c>
      <c r="H14" s="4">
        <v>74</v>
      </c>
      <c r="I14" s="4">
        <v>2645</v>
      </c>
      <c r="J14" s="41">
        <f t="shared" si="0"/>
        <v>21.81428571428571</v>
      </c>
      <c r="K14" s="4">
        <v>7950</v>
      </c>
      <c r="L14" s="4">
        <v>68</v>
      </c>
      <c r="M14" s="43">
        <v>16.8</v>
      </c>
      <c r="P14" s="4">
        <v>0</v>
      </c>
      <c r="Q14" s="4">
        <v>0</v>
      </c>
      <c r="R14" s="4">
        <v>0</v>
      </c>
      <c r="S14" s="4">
        <v>0</v>
      </c>
      <c r="T14" s="4">
        <v>0</v>
      </c>
      <c r="U14" s="4">
        <v>0</v>
      </c>
      <c r="V14" s="4">
        <v>0</v>
      </c>
      <c r="W14" s="4">
        <v>0</v>
      </c>
      <c r="X14" s="44">
        <v>0</v>
      </c>
      <c r="Y14" s="44">
        <v>0</v>
      </c>
      <c r="Z14" s="4">
        <f t="shared" si="1"/>
        <v>0</v>
      </c>
      <c r="AA14" s="4">
        <f t="shared" si="2"/>
        <v>0</v>
      </c>
      <c r="AB14" s="4">
        <f t="shared" si="3"/>
        <v>0</v>
      </c>
      <c r="AC14" s="4">
        <f t="shared" si="4"/>
        <v>0</v>
      </c>
      <c r="AD14" s="4">
        <f t="shared" si="5"/>
        <v>0</v>
      </c>
    </row>
    <row r="15" spans="1:31" x14ac:dyDescent="0.25">
      <c r="A15" s="38">
        <v>42618</v>
      </c>
      <c r="B15" s="39">
        <v>0.38541666666666669</v>
      </c>
      <c r="C15" s="40">
        <v>42619</v>
      </c>
      <c r="D15" s="39">
        <v>0.39583333333333331</v>
      </c>
      <c r="E15" s="41">
        <v>24.25</v>
      </c>
      <c r="F15" s="42">
        <v>1.7</v>
      </c>
      <c r="G15" s="42">
        <v>2.1</v>
      </c>
      <c r="H15" s="4">
        <v>2004</v>
      </c>
      <c r="I15" s="4">
        <v>2760</v>
      </c>
      <c r="J15" s="41">
        <f t="shared" si="0"/>
        <v>41.551820728291311</v>
      </c>
      <c r="K15" s="4">
        <v>8040</v>
      </c>
      <c r="L15" s="4">
        <v>68</v>
      </c>
      <c r="M15" s="43">
        <v>24.5</v>
      </c>
      <c r="P15" s="4">
        <v>0</v>
      </c>
      <c r="Q15" s="4">
        <v>0</v>
      </c>
      <c r="R15" s="4">
        <v>0</v>
      </c>
      <c r="S15" s="4">
        <v>0</v>
      </c>
      <c r="T15" s="4">
        <v>0</v>
      </c>
      <c r="U15" s="4">
        <v>0</v>
      </c>
      <c r="V15" s="4">
        <v>0</v>
      </c>
      <c r="W15" s="4">
        <v>0</v>
      </c>
      <c r="X15" s="44">
        <v>0</v>
      </c>
      <c r="Y15" s="44">
        <v>0</v>
      </c>
      <c r="Z15" s="4">
        <f t="shared" si="1"/>
        <v>0</v>
      </c>
      <c r="AA15" s="4">
        <f t="shared" si="2"/>
        <v>0</v>
      </c>
      <c r="AB15" s="4">
        <f t="shared" si="3"/>
        <v>0</v>
      </c>
      <c r="AC15" s="4">
        <f t="shared" si="4"/>
        <v>0</v>
      </c>
      <c r="AD15" s="4">
        <f t="shared" si="5"/>
        <v>0</v>
      </c>
    </row>
    <row r="16" spans="1:31" x14ac:dyDescent="0.25">
      <c r="A16" s="38">
        <v>42619</v>
      </c>
      <c r="B16" s="39">
        <v>0.39583333333333331</v>
      </c>
      <c r="C16" s="40">
        <v>42620</v>
      </c>
      <c r="D16" s="39">
        <v>0.40625</v>
      </c>
      <c r="E16" s="41">
        <v>24.25</v>
      </c>
      <c r="F16" s="42">
        <v>1.6</v>
      </c>
      <c r="G16" s="42">
        <v>2.1</v>
      </c>
      <c r="H16" s="4">
        <v>2373</v>
      </c>
      <c r="I16" s="4">
        <v>2915</v>
      </c>
      <c r="J16" s="41">
        <f t="shared" si="0"/>
        <v>47.853670634920633</v>
      </c>
      <c r="K16" s="4">
        <v>8120</v>
      </c>
      <c r="L16" s="4">
        <v>68</v>
      </c>
      <c r="M16" s="43">
        <v>16</v>
      </c>
      <c r="P16" s="4">
        <v>0</v>
      </c>
      <c r="Q16" s="4">
        <v>0</v>
      </c>
      <c r="R16" s="4">
        <v>0</v>
      </c>
      <c r="S16" s="4">
        <v>0</v>
      </c>
      <c r="T16" s="4">
        <v>0</v>
      </c>
      <c r="U16" s="4">
        <v>0</v>
      </c>
      <c r="V16" s="4">
        <v>0</v>
      </c>
      <c r="W16" s="4">
        <v>0</v>
      </c>
      <c r="X16" s="44">
        <v>0</v>
      </c>
      <c r="Y16" s="44">
        <v>0</v>
      </c>
      <c r="Z16" s="4">
        <f t="shared" si="1"/>
        <v>0</v>
      </c>
      <c r="AA16" s="4">
        <f t="shared" si="2"/>
        <v>0</v>
      </c>
      <c r="AB16" s="4">
        <f t="shared" si="3"/>
        <v>0</v>
      </c>
      <c r="AC16" s="4">
        <f t="shared" si="4"/>
        <v>0</v>
      </c>
      <c r="AD16" s="4">
        <f t="shared" si="5"/>
        <v>0</v>
      </c>
    </row>
    <row r="17" spans="1:30" x14ac:dyDescent="0.25">
      <c r="A17" s="40">
        <v>42620</v>
      </c>
      <c r="B17" s="39">
        <v>0.40625</v>
      </c>
      <c r="C17" s="40">
        <v>42621</v>
      </c>
      <c r="D17" s="39">
        <v>0.4375</v>
      </c>
      <c r="E17" s="41">
        <v>24.75</v>
      </c>
      <c r="F17" s="42">
        <v>1.6</v>
      </c>
      <c r="G17" s="42">
        <v>2.1</v>
      </c>
      <c r="H17" s="4">
        <v>2170</v>
      </c>
      <c r="I17" s="4">
        <v>2956</v>
      </c>
      <c r="J17" s="41">
        <f t="shared" si="0"/>
        <v>46.064484126984127</v>
      </c>
      <c r="K17" s="4">
        <v>7940</v>
      </c>
      <c r="L17" s="4">
        <v>68</v>
      </c>
      <c r="M17" s="43">
        <v>14.5</v>
      </c>
      <c r="N17" s="4">
        <v>38</v>
      </c>
      <c r="O17" s="4">
        <v>41</v>
      </c>
      <c r="P17" s="4">
        <v>0</v>
      </c>
      <c r="Q17" s="4">
        <v>0</v>
      </c>
      <c r="R17" s="4">
        <v>3</v>
      </c>
      <c r="S17" s="4">
        <v>0</v>
      </c>
      <c r="T17" s="4">
        <v>0</v>
      </c>
      <c r="U17" s="4">
        <v>0</v>
      </c>
      <c r="V17" s="4">
        <v>0</v>
      </c>
      <c r="W17" s="4">
        <v>0</v>
      </c>
      <c r="X17" s="44">
        <v>0</v>
      </c>
      <c r="Y17" s="44">
        <v>0</v>
      </c>
      <c r="Z17" s="4">
        <f t="shared" si="1"/>
        <v>0</v>
      </c>
      <c r="AA17" s="4">
        <f t="shared" si="2"/>
        <v>0</v>
      </c>
      <c r="AB17" s="4">
        <f t="shared" si="3"/>
        <v>6.5126095664721217E-2</v>
      </c>
      <c r="AC17" s="4">
        <f t="shared" si="4"/>
        <v>0</v>
      </c>
      <c r="AD17" s="4">
        <f t="shared" si="5"/>
        <v>0</v>
      </c>
    </row>
    <row r="18" spans="1:30" x14ac:dyDescent="0.25">
      <c r="A18" s="40">
        <v>42621</v>
      </c>
      <c r="B18" s="39">
        <v>0.4375</v>
      </c>
      <c r="C18" s="40">
        <v>42622</v>
      </c>
      <c r="D18" s="39">
        <v>0.375</v>
      </c>
      <c r="E18" s="41">
        <v>22.5</v>
      </c>
      <c r="F18" s="42">
        <v>1.6</v>
      </c>
      <c r="G18" s="42">
        <v>2</v>
      </c>
      <c r="H18" s="4">
        <v>2212</v>
      </c>
      <c r="I18" s="4">
        <v>2743</v>
      </c>
      <c r="J18" s="41">
        <f t="shared" si="0"/>
        <v>45.9</v>
      </c>
      <c r="K18" s="4">
        <v>7710</v>
      </c>
      <c r="L18" s="4">
        <v>68</v>
      </c>
      <c r="M18" s="43">
        <v>13.9</v>
      </c>
      <c r="P18" s="4">
        <v>0</v>
      </c>
      <c r="Q18" s="4">
        <v>0</v>
      </c>
      <c r="R18" s="4">
        <v>0</v>
      </c>
      <c r="S18" s="4">
        <v>0</v>
      </c>
      <c r="T18" s="4">
        <v>0</v>
      </c>
      <c r="U18" s="4">
        <v>0</v>
      </c>
      <c r="V18" s="4">
        <v>0</v>
      </c>
      <c r="W18" s="4">
        <v>0</v>
      </c>
      <c r="X18" s="44">
        <v>0</v>
      </c>
      <c r="Y18" s="44">
        <v>0</v>
      </c>
      <c r="Z18" s="4">
        <f t="shared" si="1"/>
        <v>0</v>
      </c>
      <c r="AA18" s="4">
        <f t="shared" si="2"/>
        <v>0</v>
      </c>
      <c r="AB18" s="4">
        <f t="shared" si="3"/>
        <v>0</v>
      </c>
      <c r="AC18" s="4">
        <f t="shared" si="4"/>
        <v>0</v>
      </c>
      <c r="AD18" s="4">
        <f t="shared" si="5"/>
        <v>0</v>
      </c>
    </row>
    <row r="19" spans="1:30" x14ac:dyDescent="0.25">
      <c r="A19" s="40">
        <v>42622</v>
      </c>
      <c r="B19" s="39">
        <v>0.375</v>
      </c>
      <c r="C19" s="40">
        <v>42623</v>
      </c>
      <c r="D19" s="39">
        <v>0.4375</v>
      </c>
      <c r="E19" s="41">
        <v>25.5</v>
      </c>
      <c r="F19" s="42">
        <v>1.8</v>
      </c>
      <c r="G19" s="42">
        <v>2.1</v>
      </c>
      <c r="H19" s="4">
        <v>739</v>
      </c>
      <c r="I19" s="4">
        <v>2186</v>
      </c>
      <c r="J19" s="41">
        <f t="shared" si="0"/>
        <v>24.19179894179894</v>
      </c>
      <c r="K19" s="4">
        <v>7940</v>
      </c>
      <c r="L19" s="4">
        <v>68</v>
      </c>
      <c r="M19" s="43">
        <v>14.29</v>
      </c>
      <c r="P19" s="4">
        <v>0</v>
      </c>
      <c r="Q19" s="4">
        <v>0</v>
      </c>
      <c r="R19" s="4">
        <v>0</v>
      </c>
      <c r="S19" s="4">
        <v>0</v>
      </c>
      <c r="T19" s="4">
        <v>0</v>
      </c>
      <c r="U19" s="4">
        <v>0</v>
      </c>
      <c r="V19" s="4">
        <v>0</v>
      </c>
      <c r="W19" s="4">
        <v>0</v>
      </c>
      <c r="X19" s="44">
        <v>0</v>
      </c>
      <c r="Y19" s="44">
        <v>0</v>
      </c>
      <c r="Z19" s="4">
        <f t="shared" si="1"/>
        <v>0</v>
      </c>
      <c r="AA19" s="4">
        <f t="shared" si="2"/>
        <v>0</v>
      </c>
      <c r="AB19" s="4">
        <f t="shared" si="3"/>
        <v>0</v>
      </c>
      <c r="AC19" s="4">
        <f t="shared" si="4"/>
        <v>0</v>
      </c>
      <c r="AD19" s="4">
        <f t="shared" si="5"/>
        <v>0</v>
      </c>
    </row>
    <row r="20" spans="1:30" x14ac:dyDescent="0.25">
      <c r="A20" s="40">
        <v>42623</v>
      </c>
      <c r="B20" s="39">
        <v>0.4375</v>
      </c>
      <c r="C20" s="40">
        <v>42624</v>
      </c>
      <c r="D20" s="39">
        <v>0.4375</v>
      </c>
      <c r="E20" s="41">
        <v>24</v>
      </c>
      <c r="F20" s="42">
        <v>1.7</v>
      </c>
      <c r="G20" s="42">
        <v>2</v>
      </c>
      <c r="H20" s="4">
        <v>1901</v>
      </c>
      <c r="I20" s="4">
        <v>3920</v>
      </c>
      <c r="J20" s="41">
        <f t="shared" si="0"/>
        <v>51.303921568627445</v>
      </c>
      <c r="K20" s="4">
        <v>7580</v>
      </c>
      <c r="L20" s="4">
        <v>68</v>
      </c>
      <c r="M20" s="43">
        <v>15.7</v>
      </c>
      <c r="N20" s="4">
        <v>30</v>
      </c>
      <c r="O20" s="4">
        <v>30</v>
      </c>
      <c r="P20" s="4">
        <v>0</v>
      </c>
      <c r="Q20" s="4">
        <v>0</v>
      </c>
      <c r="R20" s="4">
        <v>1</v>
      </c>
      <c r="S20" s="4">
        <v>0</v>
      </c>
      <c r="T20" s="4">
        <v>0</v>
      </c>
      <c r="U20" s="4">
        <v>0</v>
      </c>
      <c r="V20" s="4">
        <v>0</v>
      </c>
      <c r="W20" s="4">
        <v>0</v>
      </c>
      <c r="X20" s="44">
        <v>0</v>
      </c>
      <c r="Y20" s="44">
        <v>0</v>
      </c>
      <c r="Z20" s="4">
        <f t="shared" si="1"/>
        <v>0</v>
      </c>
      <c r="AA20" s="4">
        <f t="shared" si="2"/>
        <v>0</v>
      </c>
      <c r="AB20" s="4">
        <f t="shared" si="3"/>
        <v>1.9491687368622206E-2</v>
      </c>
      <c r="AC20" s="4">
        <f t="shared" si="4"/>
        <v>0</v>
      </c>
      <c r="AD20" s="4">
        <f t="shared" si="5"/>
        <v>0</v>
      </c>
    </row>
    <row r="21" spans="1:30" x14ac:dyDescent="0.25">
      <c r="A21" s="40">
        <v>42624</v>
      </c>
      <c r="B21" s="39">
        <v>0.4375</v>
      </c>
      <c r="C21" s="40">
        <v>42625</v>
      </c>
      <c r="D21" s="39">
        <v>0.41666666666666669</v>
      </c>
      <c r="E21" s="41">
        <v>23.5</v>
      </c>
      <c r="F21" s="42">
        <v>1.7</v>
      </c>
      <c r="G21" s="42">
        <v>2.1</v>
      </c>
      <c r="H21" s="4">
        <v>1388</v>
      </c>
      <c r="I21" s="4">
        <v>2811</v>
      </c>
      <c r="J21" s="41">
        <f t="shared" si="0"/>
        <v>35.917366946778706</v>
      </c>
      <c r="K21" s="4">
        <v>7520</v>
      </c>
      <c r="L21" s="4">
        <v>68</v>
      </c>
      <c r="M21" s="43">
        <v>18.399999999999999</v>
      </c>
      <c r="N21" s="4">
        <v>41</v>
      </c>
      <c r="O21" s="4">
        <v>41</v>
      </c>
      <c r="P21" s="4">
        <v>0</v>
      </c>
      <c r="Q21" s="4">
        <v>0</v>
      </c>
      <c r="R21" s="4">
        <v>1</v>
      </c>
      <c r="S21" s="4">
        <v>0</v>
      </c>
      <c r="T21" s="4">
        <v>0</v>
      </c>
      <c r="U21" s="4">
        <v>0</v>
      </c>
      <c r="V21" s="4">
        <v>0</v>
      </c>
      <c r="W21" s="4">
        <v>0</v>
      </c>
      <c r="X21" s="44">
        <v>0</v>
      </c>
      <c r="Y21" s="44">
        <v>0</v>
      </c>
      <c r="Z21" s="4">
        <f t="shared" si="1"/>
        <v>0</v>
      </c>
      <c r="AA21" s="4">
        <f t="shared" si="2"/>
        <v>0</v>
      </c>
      <c r="AB21" s="4">
        <f t="shared" si="3"/>
        <v>2.7841684538896475E-2</v>
      </c>
      <c r="AC21" s="4">
        <f t="shared" si="4"/>
        <v>0</v>
      </c>
      <c r="AD21" s="4">
        <f t="shared" si="5"/>
        <v>0</v>
      </c>
    </row>
    <row r="22" spans="1:30" x14ac:dyDescent="0.25">
      <c r="A22" s="40">
        <v>42625</v>
      </c>
      <c r="B22" s="39">
        <v>0.41666666666666669</v>
      </c>
      <c r="C22" s="40">
        <v>42626</v>
      </c>
      <c r="D22" s="39">
        <v>0.41666666666666669</v>
      </c>
      <c r="E22" s="41">
        <v>24</v>
      </c>
      <c r="F22" s="42">
        <v>1.5</v>
      </c>
      <c r="G22" s="42">
        <v>2</v>
      </c>
      <c r="H22" s="4">
        <v>2305</v>
      </c>
      <c r="I22" s="4">
        <v>2617</v>
      </c>
      <c r="J22" s="41">
        <f t="shared" si="0"/>
        <v>47.419444444444451</v>
      </c>
      <c r="K22" s="4">
        <v>7530</v>
      </c>
      <c r="L22" s="4">
        <v>68</v>
      </c>
      <c r="M22" s="43">
        <v>15.8</v>
      </c>
      <c r="N22" s="4">
        <v>51</v>
      </c>
      <c r="O22" s="4">
        <v>51</v>
      </c>
      <c r="P22" s="4">
        <v>0</v>
      </c>
      <c r="Q22" s="4">
        <v>0</v>
      </c>
      <c r="R22" s="4">
        <v>1</v>
      </c>
      <c r="S22" s="4">
        <v>0</v>
      </c>
      <c r="T22" s="4">
        <v>0</v>
      </c>
      <c r="U22" s="4">
        <v>0</v>
      </c>
      <c r="V22" s="4">
        <v>0</v>
      </c>
      <c r="W22" s="4">
        <v>0</v>
      </c>
      <c r="X22" s="44">
        <v>0</v>
      </c>
      <c r="Y22" s="44">
        <v>0</v>
      </c>
      <c r="Z22" s="4">
        <f t="shared" si="1"/>
        <v>0</v>
      </c>
      <c r="AA22" s="4">
        <f t="shared" si="2"/>
        <v>0</v>
      </c>
      <c r="AB22" s="4">
        <f t="shared" si="3"/>
        <v>2.1088395524573835E-2</v>
      </c>
      <c r="AC22" s="4">
        <f t="shared" si="4"/>
        <v>0</v>
      </c>
      <c r="AD22" s="4">
        <f t="shared" si="5"/>
        <v>0</v>
      </c>
    </row>
    <row r="23" spans="1:30" x14ac:dyDescent="0.25">
      <c r="A23" s="40">
        <v>42626</v>
      </c>
      <c r="B23" s="39">
        <v>0.41666666666666669</v>
      </c>
      <c r="C23" s="40">
        <v>42627</v>
      </c>
      <c r="D23" s="39">
        <v>0.39583333333333331</v>
      </c>
      <c r="E23" s="41">
        <v>23.5</v>
      </c>
      <c r="F23" s="42">
        <v>1.5</v>
      </c>
      <c r="G23" s="42">
        <v>1.8</v>
      </c>
      <c r="H23" s="4">
        <v>2193</v>
      </c>
      <c r="I23" s="4">
        <v>2712</v>
      </c>
      <c r="J23" s="41">
        <f t="shared" si="0"/>
        <v>49.477777777777781</v>
      </c>
      <c r="K23" s="4">
        <v>7600</v>
      </c>
      <c r="L23" s="4">
        <v>67</v>
      </c>
      <c r="M23" s="43">
        <v>15.3</v>
      </c>
      <c r="P23" s="4">
        <v>0</v>
      </c>
      <c r="Q23" s="4">
        <v>0</v>
      </c>
      <c r="R23" s="4">
        <v>0</v>
      </c>
      <c r="S23" s="4">
        <v>0</v>
      </c>
      <c r="T23" s="4">
        <v>0</v>
      </c>
      <c r="U23" s="4">
        <v>0</v>
      </c>
      <c r="V23" s="4">
        <v>0</v>
      </c>
      <c r="W23" s="4">
        <v>0</v>
      </c>
      <c r="X23" s="44">
        <v>0</v>
      </c>
      <c r="Y23" s="44">
        <v>0</v>
      </c>
      <c r="Z23" s="4">
        <f t="shared" si="1"/>
        <v>0</v>
      </c>
      <c r="AA23" s="4">
        <f t="shared" si="2"/>
        <v>0</v>
      </c>
      <c r="AB23" s="4">
        <f t="shared" si="3"/>
        <v>0</v>
      </c>
      <c r="AC23" s="4">
        <f t="shared" si="4"/>
        <v>0</v>
      </c>
      <c r="AD23" s="4">
        <f t="shared" si="5"/>
        <v>0</v>
      </c>
    </row>
    <row r="24" spans="1:30" x14ac:dyDescent="0.25">
      <c r="A24" s="40">
        <v>42627</v>
      </c>
      <c r="B24" s="39">
        <v>0.39583333333333331</v>
      </c>
      <c r="C24" s="40">
        <v>42628</v>
      </c>
      <c r="D24" s="39">
        <v>0.40625</v>
      </c>
      <c r="E24" s="41">
        <v>24.25</v>
      </c>
      <c r="F24" s="42">
        <v>1.8</v>
      </c>
      <c r="G24" s="42">
        <v>2</v>
      </c>
      <c r="H24" s="4">
        <v>2469</v>
      </c>
      <c r="I24" s="4">
        <v>2930</v>
      </c>
      <c r="J24" s="41">
        <f t="shared" si="0"/>
        <v>47.277777777777786</v>
      </c>
      <c r="K24" s="4">
        <v>7660</v>
      </c>
      <c r="L24" s="4">
        <v>68</v>
      </c>
      <c r="M24" s="43">
        <v>14.5</v>
      </c>
      <c r="N24" s="4">
        <v>38</v>
      </c>
      <c r="O24" s="4">
        <v>38</v>
      </c>
      <c r="P24" s="4">
        <v>0</v>
      </c>
      <c r="Q24" s="4">
        <v>0</v>
      </c>
      <c r="R24" s="4">
        <v>1</v>
      </c>
      <c r="S24" s="4">
        <v>0</v>
      </c>
      <c r="T24" s="4">
        <v>0</v>
      </c>
      <c r="U24" s="4">
        <v>0</v>
      </c>
      <c r="V24" s="4">
        <v>0</v>
      </c>
      <c r="W24" s="4">
        <v>0</v>
      </c>
      <c r="X24" s="44">
        <v>0</v>
      </c>
      <c r="Y24" s="44">
        <v>0</v>
      </c>
      <c r="Z24" s="4">
        <f t="shared" si="1"/>
        <v>0</v>
      </c>
      <c r="AA24" s="4">
        <f t="shared" si="2"/>
        <v>0</v>
      </c>
      <c r="AB24" s="4">
        <f t="shared" si="3"/>
        <v>2.1151586368977671E-2</v>
      </c>
      <c r="AC24" s="4">
        <f t="shared" si="4"/>
        <v>0</v>
      </c>
      <c r="AD24" s="4">
        <f t="shared" si="5"/>
        <v>0</v>
      </c>
    </row>
    <row r="25" spans="1:30" x14ac:dyDescent="0.25">
      <c r="A25" s="40">
        <v>42628</v>
      </c>
      <c r="B25" s="39">
        <v>0.40625</v>
      </c>
      <c r="C25" s="40">
        <v>42629</v>
      </c>
      <c r="D25" s="39">
        <v>0.46875</v>
      </c>
      <c r="E25" s="41">
        <v>25.5</v>
      </c>
      <c r="F25" s="42">
        <v>1.7</v>
      </c>
      <c r="G25" s="42">
        <v>2</v>
      </c>
      <c r="H25" s="4">
        <v>2557</v>
      </c>
      <c r="I25" s="4">
        <v>2987</v>
      </c>
      <c r="J25" s="41">
        <f t="shared" si="0"/>
        <v>49.960294117647059</v>
      </c>
      <c r="K25" s="4">
        <v>7490</v>
      </c>
      <c r="L25" s="4">
        <v>67</v>
      </c>
      <c r="M25" s="43">
        <v>13.3</v>
      </c>
      <c r="N25" s="4">
        <v>34</v>
      </c>
      <c r="O25" s="4">
        <v>34</v>
      </c>
      <c r="P25" s="4">
        <v>0</v>
      </c>
      <c r="Q25" s="4">
        <v>0</v>
      </c>
      <c r="R25" s="4">
        <v>1</v>
      </c>
      <c r="S25" s="4">
        <v>0</v>
      </c>
      <c r="T25" s="4">
        <v>0</v>
      </c>
      <c r="U25" s="4">
        <v>0</v>
      </c>
      <c r="V25" s="4">
        <v>0</v>
      </c>
      <c r="W25" s="4">
        <v>0</v>
      </c>
      <c r="X25" s="44">
        <v>0</v>
      </c>
      <c r="Y25" s="44">
        <v>0</v>
      </c>
      <c r="Z25" s="4">
        <f t="shared" si="1"/>
        <v>0</v>
      </c>
      <c r="AA25" s="4">
        <f t="shared" si="2"/>
        <v>0</v>
      </c>
      <c r="AB25" s="4">
        <f t="shared" si="3"/>
        <v>2.0015894975421659E-2</v>
      </c>
      <c r="AC25" s="4">
        <f t="shared" si="4"/>
        <v>0</v>
      </c>
      <c r="AD25" s="4">
        <f t="shared" si="5"/>
        <v>0</v>
      </c>
    </row>
    <row r="26" spans="1:30" x14ac:dyDescent="0.25">
      <c r="A26" s="40">
        <v>42629</v>
      </c>
      <c r="B26" s="39">
        <v>0.46875</v>
      </c>
      <c r="C26" s="40">
        <v>42630</v>
      </c>
      <c r="D26" s="39">
        <v>0.39583333333333331</v>
      </c>
      <c r="E26" s="41">
        <v>22.25</v>
      </c>
      <c r="F26" s="42">
        <v>1.7</v>
      </c>
      <c r="G26" s="42">
        <v>2</v>
      </c>
      <c r="H26" s="4">
        <v>2174</v>
      </c>
      <c r="I26" s="4">
        <v>2685</v>
      </c>
      <c r="J26" s="41">
        <f t="shared" si="0"/>
        <v>43.688725490196084</v>
      </c>
      <c r="K26" s="4">
        <v>7610</v>
      </c>
      <c r="L26" s="4">
        <v>68</v>
      </c>
      <c r="M26" s="43">
        <v>13.39</v>
      </c>
      <c r="N26" s="4">
        <v>39</v>
      </c>
      <c r="O26" s="4">
        <v>39</v>
      </c>
      <c r="P26" s="4">
        <v>0</v>
      </c>
      <c r="Q26" s="4">
        <v>0</v>
      </c>
      <c r="R26" s="4">
        <v>1</v>
      </c>
      <c r="S26" s="4">
        <v>0</v>
      </c>
      <c r="T26" s="4">
        <v>0</v>
      </c>
      <c r="U26" s="4">
        <v>0</v>
      </c>
      <c r="V26" s="4">
        <v>0</v>
      </c>
      <c r="W26" s="4">
        <v>0</v>
      </c>
      <c r="X26" s="44">
        <v>0</v>
      </c>
      <c r="Y26" s="44">
        <v>0</v>
      </c>
      <c r="Z26" s="4">
        <f t="shared" si="1"/>
        <v>0</v>
      </c>
      <c r="AA26" s="4">
        <f t="shared" si="2"/>
        <v>0</v>
      </c>
      <c r="AB26" s="4">
        <f t="shared" si="3"/>
        <v>2.2889200561009813E-2</v>
      </c>
      <c r="AC26" s="4">
        <f t="shared" si="4"/>
        <v>0</v>
      </c>
      <c r="AD26" s="4">
        <f t="shared" si="5"/>
        <v>0</v>
      </c>
    </row>
    <row r="27" spans="1:30" x14ac:dyDescent="0.25">
      <c r="A27" s="40">
        <v>42630</v>
      </c>
      <c r="B27" s="39">
        <v>0.39583333333333331</v>
      </c>
      <c r="C27" s="40">
        <v>42631</v>
      </c>
      <c r="D27" s="39">
        <v>0.48958333333333331</v>
      </c>
      <c r="E27" s="41">
        <v>26.25</v>
      </c>
      <c r="F27" s="42">
        <v>1.7</v>
      </c>
      <c r="G27" s="42">
        <v>2</v>
      </c>
      <c r="H27" s="4">
        <v>2646</v>
      </c>
      <c r="I27" s="4">
        <v>601</v>
      </c>
      <c r="J27" s="41">
        <f t="shared" si="0"/>
        <v>30.949509803921568</v>
      </c>
      <c r="K27" s="4">
        <v>7590</v>
      </c>
      <c r="L27" s="4">
        <v>68</v>
      </c>
      <c r="M27" s="43">
        <v>22.5</v>
      </c>
      <c r="N27" s="4">
        <v>39</v>
      </c>
      <c r="O27" s="4">
        <v>39</v>
      </c>
      <c r="P27" s="4">
        <v>0</v>
      </c>
      <c r="Q27" s="4">
        <v>0</v>
      </c>
      <c r="R27" s="4">
        <v>1</v>
      </c>
      <c r="S27" s="4">
        <v>0</v>
      </c>
      <c r="T27" s="4">
        <v>0</v>
      </c>
      <c r="U27" s="4">
        <v>0</v>
      </c>
      <c r="V27" s="4">
        <v>0</v>
      </c>
      <c r="W27" s="4">
        <v>0</v>
      </c>
      <c r="X27" s="44">
        <v>0</v>
      </c>
      <c r="Y27" s="44">
        <v>0</v>
      </c>
      <c r="Z27" s="4">
        <f t="shared" si="1"/>
        <v>0</v>
      </c>
      <c r="AA27" s="4">
        <f t="shared" si="2"/>
        <v>0</v>
      </c>
      <c r="AB27" s="4">
        <f t="shared" si="3"/>
        <v>3.2310689453094066E-2</v>
      </c>
      <c r="AC27" s="4">
        <f t="shared" si="4"/>
        <v>0</v>
      </c>
      <c r="AD27" s="4">
        <f t="shared" si="5"/>
        <v>0</v>
      </c>
    </row>
    <row r="28" spans="1:30" x14ac:dyDescent="0.25">
      <c r="A28" s="40">
        <v>42631</v>
      </c>
      <c r="B28" s="39">
        <v>0.48958333333333331</v>
      </c>
      <c r="C28" s="40">
        <v>42632</v>
      </c>
      <c r="D28" s="39">
        <v>0.41666666666666669</v>
      </c>
      <c r="E28" s="41">
        <v>22.25</v>
      </c>
      <c r="F28" s="42">
        <v>1.5</v>
      </c>
      <c r="G28" s="42">
        <v>2</v>
      </c>
      <c r="H28" s="4">
        <v>1669</v>
      </c>
      <c r="I28" s="4">
        <v>2934</v>
      </c>
      <c r="J28" s="41">
        <f t="shared" si="0"/>
        <v>42.994444444444447</v>
      </c>
      <c r="K28" s="4">
        <v>7670</v>
      </c>
      <c r="L28" s="4">
        <v>68</v>
      </c>
      <c r="M28" s="43">
        <v>11.62</v>
      </c>
      <c r="N28" s="4">
        <v>39</v>
      </c>
      <c r="O28" s="4">
        <v>40</v>
      </c>
      <c r="P28" s="4">
        <v>0</v>
      </c>
      <c r="Q28" s="4">
        <v>0</v>
      </c>
      <c r="R28" s="4">
        <v>3</v>
      </c>
      <c r="S28" s="4">
        <v>0</v>
      </c>
      <c r="T28" s="4">
        <v>0</v>
      </c>
      <c r="U28" s="4">
        <v>0</v>
      </c>
      <c r="V28" s="4">
        <v>0</v>
      </c>
      <c r="W28" s="4">
        <v>0</v>
      </c>
      <c r="X28" s="44">
        <v>0</v>
      </c>
      <c r="Y28" s="44">
        <v>0</v>
      </c>
      <c r="Z28" s="4">
        <f t="shared" si="1"/>
        <v>0</v>
      </c>
      <c r="AA28" s="4">
        <f t="shared" si="2"/>
        <v>0</v>
      </c>
      <c r="AB28" s="4">
        <f t="shared" si="3"/>
        <v>6.9776456906577078E-2</v>
      </c>
      <c r="AC28" s="4">
        <f t="shared" si="4"/>
        <v>0</v>
      </c>
      <c r="AD28" s="4">
        <f t="shared" si="5"/>
        <v>0</v>
      </c>
    </row>
    <row r="29" spans="1:30" x14ac:dyDescent="0.25">
      <c r="A29" s="40">
        <v>42632</v>
      </c>
      <c r="B29" s="39">
        <v>0.41666666666666669</v>
      </c>
      <c r="C29" s="40">
        <v>42633</v>
      </c>
      <c r="D29" s="39">
        <v>0.41666666666666669</v>
      </c>
      <c r="E29" s="41">
        <v>24</v>
      </c>
      <c r="F29" s="42">
        <v>1.8</v>
      </c>
      <c r="G29" s="42">
        <v>2.1</v>
      </c>
      <c r="H29" s="4">
        <v>2459</v>
      </c>
      <c r="I29" s="4">
        <v>2868</v>
      </c>
      <c r="J29" s="41">
        <f t="shared" si="0"/>
        <v>45.530423280423278</v>
      </c>
      <c r="K29" s="4">
        <v>7610</v>
      </c>
      <c r="L29" s="4">
        <v>68</v>
      </c>
      <c r="M29" s="43">
        <v>9.5500000000000007</v>
      </c>
      <c r="P29" s="4">
        <v>0</v>
      </c>
      <c r="Q29" s="4">
        <v>0</v>
      </c>
      <c r="R29" s="4">
        <v>0</v>
      </c>
      <c r="S29" s="4">
        <v>0</v>
      </c>
      <c r="T29" s="4">
        <v>0</v>
      </c>
      <c r="U29" s="4">
        <v>0</v>
      </c>
      <c r="V29" s="4">
        <v>0</v>
      </c>
      <c r="W29" s="4">
        <v>0</v>
      </c>
      <c r="X29" s="44">
        <v>0</v>
      </c>
      <c r="Y29" s="44">
        <v>0</v>
      </c>
      <c r="Z29" s="4">
        <f t="shared" si="1"/>
        <v>0</v>
      </c>
      <c r="AA29" s="4">
        <f t="shared" si="2"/>
        <v>0</v>
      </c>
      <c r="AB29" s="4">
        <f t="shared" si="3"/>
        <v>0</v>
      </c>
      <c r="AC29" s="4">
        <f t="shared" si="4"/>
        <v>0</v>
      </c>
      <c r="AD29" s="4">
        <f t="shared" si="5"/>
        <v>0</v>
      </c>
    </row>
    <row r="30" spans="1:30" x14ac:dyDescent="0.25">
      <c r="A30" s="40">
        <v>42633</v>
      </c>
      <c r="B30" s="39">
        <v>0.41666666666666669</v>
      </c>
      <c r="C30" s="40">
        <v>42634</v>
      </c>
      <c r="D30" s="39">
        <v>0.40625</v>
      </c>
      <c r="E30" s="41">
        <v>23.75</v>
      </c>
      <c r="F30" s="42">
        <v>1.7</v>
      </c>
      <c r="G30" s="42">
        <v>2.1</v>
      </c>
      <c r="H30" s="4">
        <v>2478</v>
      </c>
      <c r="I30" s="4">
        <v>2985</v>
      </c>
      <c r="J30" s="41">
        <f t="shared" si="0"/>
        <v>47.984593837535016</v>
      </c>
      <c r="K30" s="4">
        <v>7650</v>
      </c>
      <c r="L30" s="4">
        <v>67</v>
      </c>
      <c r="M30" s="43">
        <v>9.74</v>
      </c>
      <c r="P30" s="4">
        <v>0</v>
      </c>
      <c r="Q30" s="4">
        <v>0</v>
      </c>
      <c r="R30" s="4">
        <v>0</v>
      </c>
      <c r="S30" s="4">
        <v>0</v>
      </c>
      <c r="T30" s="4">
        <v>0</v>
      </c>
      <c r="U30" s="4">
        <v>0</v>
      </c>
      <c r="V30" s="4">
        <v>0</v>
      </c>
      <c r="W30" s="4">
        <v>0</v>
      </c>
      <c r="X30" s="44">
        <v>0</v>
      </c>
      <c r="Y30" s="44">
        <v>0</v>
      </c>
      <c r="Z30" s="4">
        <f t="shared" si="1"/>
        <v>0</v>
      </c>
      <c r="AA30" s="4">
        <f t="shared" si="2"/>
        <v>0</v>
      </c>
      <c r="AB30" s="4">
        <f t="shared" si="3"/>
        <v>0</v>
      </c>
      <c r="AC30" s="4">
        <f t="shared" si="4"/>
        <v>0</v>
      </c>
      <c r="AD30" s="4">
        <f t="shared" si="5"/>
        <v>0</v>
      </c>
    </row>
    <row r="31" spans="1:30" x14ac:dyDescent="0.25">
      <c r="A31" s="40">
        <v>42634</v>
      </c>
      <c r="B31" s="39">
        <v>0.40625</v>
      </c>
      <c r="C31" s="40">
        <v>42635</v>
      </c>
      <c r="D31" s="39">
        <v>0.42708333333333331</v>
      </c>
      <c r="E31" s="41">
        <v>24.5</v>
      </c>
      <c r="F31" s="42">
        <v>1.8</v>
      </c>
      <c r="G31" s="42">
        <v>2</v>
      </c>
      <c r="H31" s="4">
        <v>2386</v>
      </c>
      <c r="I31" s="4">
        <v>2774</v>
      </c>
      <c r="J31" s="41">
        <f t="shared" si="0"/>
        <v>45.209259259259262</v>
      </c>
      <c r="K31" s="4">
        <v>7470</v>
      </c>
      <c r="L31" s="4">
        <v>67</v>
      </c>
      <c r="M31" s="43">
        <v>9.08</v>
      </c>
      <c r="P31" s="4">
        <v>0</v>
      </c>
      <c r="Q31" s="4">
        <v>0</v>
      </c>
      <c r="R31" s="4">
        <v>0</v>
      </c>
      <c r="S31" s="4">
        <v>0</v>
      </c>
      <c r="T31" s="4">
        <v>0</v>
      </c>
      <c r="U31" s="4">
        <v>0</v>
      </c>
      <c r="V31" s="4">
        <v>0</v>
      </c>
      <c r="W31" s="4">
        <v>0</v>
      </c>
      <c r="X31" s="44">
        <v>0</v>
      </c>
      <c r="Y31" s="44">
        <v>0</v>
      </c>
      <c r="Z31" s="4">
        <f t="shared" si="1"/>
        <v>0</v>
      </c>
      <c r="AA31" s="4">
        <f t="shared" si="2"/>
        <v>0</v>
      </c>
      <c r="AB31" s="4">
        <f t="shared" si="3"/>
        <v>0</v>
      </c>
      <c r="AC31" s="4">
        <f t="shared" si="4"/>
        <v>0</v>
      </c>
      <c r="AD31" s="4">
        <f t="shared" si="5"/>
        <v>0</v>
      </c>
    </row>
    <row r="32" spans="1:30" x14ac:dyDescent="0.25">
      <c r="A32" s="40">
        <v>42635</v>
      </c>
      <c r="B32" s="39">
        <v>0.42708333333333331</v>
      </c>
      <c r="C32" s="40">
        <v>42636</v>
      </c>
      <c r="D32" s="39">
        <v>0.45833333333333331</v>
      </c>
      <c r="E32" s="41">
        <v>24.75</v>
      </c>
      <c r="F32" s="42">
        <v>1.7</v>
      </c>
      <c r="G32" s="42">
        <v>2</v>
      </c>
      <c r="H32" s="4">
        <v>2124</v>
      </c>
      <c r="I32" s="4">
        <v>3140</v>
      </c>
      <c r="J32" s="41">
        <f t="shared" si="0"/>
        <v>46.990196078431374</v>
      </c>
      <c r="K32" s="4">
        <v>7490</v>
      </c>
      <c r="L32" s="4">
        <v>66</v>
      </c>
      <c r="M32" s="43">
        <v>8.3699999999999992</v>
      </c>
      <c r="P32" s="4">
        <v>0</v>
      </c>
      <c r="Q32" s="4">
        <v>0</v>
      </c>
      <c r="R32" s="4">
        <v>0</v>
      </c>
      <c r="S32" s="4">
        <v>0</v>
      </c>
      <c r="T32" s="4">
        <v>0</v>
      </c>
      <c r="U32" s="4">
        <v>0</v>
      </c>
      <c r="V32" s="4">
        <v>0</v>
      </c>
      <c r="W32" s="4">
        <v>0</v>
      </c>
      <c r="X32" s="44">
        <v>0</v>
      </c>
      <c r="Y32" s="44">
        <v>0</v>
      </c>
      <c r="Z32" s="4">
        <f t="shared" si="1"/>
        <v>0</v>
      </c>
      <c r="AA32" s="4">
        <f t="shared" si="2"/>
        <v>0</v>
      </c>
      <c r="AB32" s="4">
        <f t="shared" si="3"/>
        <v>0</v>
      </c>
      <c r="AC32" s="4">
        <f t="shared" si="4"/>
        <v>0</v>
      </c>
      <c r="AD32" s="4">
        <f t="shared" si="5"/>
        <v>0</v>
      </c>
    </row>
    <row r="33" spans="1:30" x14ac:dyDescent="0.25">
      <c r="A33" s="40">
        <v>42636</v>
      </c>
      <c r="B33" s="39">
        <v>0.45833333333333331</v>
      </c>
      <c r="C33" s="40">
        <v>42637</v>
      </c>
      <c r="D33" s="39">
        <v>0.42708333333333331</v>
      </c>
      <c r="E33" s="41">
        <v>23.25</v>
      </c>
      <c r="F33" s="42">
        <v>1.9</v>
      </c>
      <c r="G33" s="42">
        <v>2.1</v>
      </c>
      <c r="H33" s="4">
        <v>2441</v>
      </c>
      <c r="I33" s="4">
        <v>2893</v>
      </c>
      <c r="J33" s="41">
        <f t="shared" si="0"/>
        <v>44.372598162071846</v>
      </c>
      <c r="K33" s="4">
        <v>7300</v>
      </c>
      <c r="L33" s="4">
        <v>67</v>
      </c>
      <c r="M33" s="4" t="s">
        <v>32</v>
      </c>
      <c r="P33" s="4">
        <v>0</v>
      </c>
      <c r="Q33" s="4">
        <v>0</v>
      </c>
      <c r="R33" s="4">
        <v>0</v>
      </c>
      <c r="S33" s="4">
        <v>0</v>
      </c>
      <c r="T33" s="4">
        <v>0</v>
      </c>
      <c r="U33" s="4">
        <v>0</v>
      </c>
      <c r="V33" s="4">
        <v>0</v>
      </c>
      <c r="W33" s="4">
        <v>0</v>
      </c>
      <c r="X33" s="44">
        <v>0</v>
      </c>
      <c r="Y33" s="44">
        <v>0</v>
      </c>
      <c r="Z33" s="4">
        <f t="shared" si="1"/>
        <v>0</v>
      </c>
      <c r="AA33" s="4">
        <f t="shared" si="2"/>
        <v>0</v>
      </c>
      <c r="AB33" s="4">
        <f t="shared" si="3"/>
        <v>0</v>
      </c>
      <c r="AC33" s="4">
        <f t="shared" si="4"/>
        <v>0</v>
      </c>
      <c r="AD33" s="4">
        <f t="shared" si="5"/>
        <v>0</v>
      </c>
    </row>
    <row r="34" spans="1:30" x14ac:dyDescent="0.25">
      <c r="A34" s="40">
        <v>42637</v>
      </c>
      <c r="B34" s="39">
        <v>0.42708333333333331</v>
      </c>
      <c r="C34" s="40">
        <v>42638</v>
      </c>
      <c r="D34" s="39">
        <v>0.4375</v>
      </c>
      <c r="E34" s="41">
        <v>24.25</v>
      </c>
      <c r="F34" s="42">
        <v>1.9</v>
      </c>
      <c r="G34" s="42">
        <v>2.1</v>
      </c>
      <c r="H34" s="4">
        <v>2466</v>
      </c>
      <c r="I34" s="4">
        <v>2974</v>
      </c>
      <c r="J34" s="41">
        <f t="shared" si="0"/>
        <v>45.234753550543026</v>
      </c>
      <c r="K34" s="4">
        <v>7030</v>
      </c>
      <c r="L34" s="4">
        <v>66</v>
      </c>
      <c r="M34" s="43">
        <v>7.02</v>
      </c>
      <c r="N34" s="4">
        <v>38</v>
      </c>
      <c r="O34" s="4">
        <v>38</v>
      </c>
      <c r="P34" s="4">
        <v>0</v>
      </c>
      <c r="Q34" s="4">
        <v>0</v>
      </c>
      <c r="R34" s="4">
        <v>1</v>
      </c>
      <c r="S34" s="4">
        <v>0</v>
      </c>
      <c r="T34" s="4">
        <v>0</v>
      </c>
      <c r="U34" s="4">
        <v>0</v>
      </c>
      <c r="V34" s="4">
        <v>0</v>
      </c>
      <c r="W34" s="4">
        <v>0</v>
      </c>
      <c r="X34" s="44">
        <v>0</v>
      </c>
      <c r="Y34" s="44">
        <v>0</v>
      </c>
      <c r="Z34" s="4">
        <f t="shared" si="1"/>
        <v>0</v>
      </c>
      <c r="AA34" s="4">
        <f t="shared" si="2"/>
        <v>0</v>
      </c>
      <c r="AB34" s="4">
        <f t="shared" si="3"/>
        <v>2.2106896169615482E-2</v>
      </c>
      <c r="AC34" s="4">
        <f t="shared" si="4"/>
        <v>0</v>
      </c>
      <c r="AD34" s="4">
        <f t="shared" si="5"/>
        <v>0</v>
      </c>
    </row>
    <row r="35" spans="1:30" x14ac:dyDescent="0.25">
      <c r="A35" s="40">
        <v>42638</v>
      </c>
      <c r="B35" s="39">
        <v>0.4375</v>
      </c>
      <c r="C35" s="40">
        <v>42639</v>
      </c>
      <c r="D35" s="39">
        <v>0.41666666666666669</v>
      </c>
      <c r="E35" s="41">
        <v>23.5</v>
      </c>
      <c r="F35" s="42">
        <v>1.6</v>
      </c>
      <c r="G35" s="42">
        <v>2</v>
      </c>
      <c r="H35" s="4">
        <v>2125</v>
      </c>
      <c r="I35" s="4">
        <v>2686</v>
      </c>
      <c r="J35" s="41">
        <f t="shared" si="0"/>
        <v>44.518749999999997</v>
      </c>
      <c r="K35" s="4">
        <v>7020</v>
      </c>
      <c r="L35" s="4">
        <v>66</v>
      </c>
      <c r="M35" s="43">
        <v>6.58</v>
      </c>
      <c r="P35" s="4">
        <v>0</v>
      </c>
      <c r="Q35" s="4">
        <v>0</v>
      </c>
      <c r="R35" s="4">
        <v>0</v>
      </c>
      <c r="S35" s="4">
        <v>0</v>
      </c>
      <c r="T35" s="4">
        <v>0</v>
      </c>
      <c r="U35" s="4">
        <v>0</v>
      </c>
      <c r="V35" s="4">
        <v>0</v>
      </c>
      <c r="W35" s="4">
        <v>0</v>
      </c>
      <c r="X35" s="44">
        <v>0</v>
      </c>
      <c r="Y35" s="44">
        <v>0</v>
      </c>
      <c r="Z35" s="4">
        <f t="shared" si="1"/>
        <v>0</v>
      </c>
      <c r="AA35" s="4">
        <f t="shared" si="2"/>
        <v>0</v>
      </c>
      <c r="AB35" s="4">
        <f t="shared" si="3"/>
        <v>0</v>
      </c>
      <c r="AC35" s="4">
        <f t="shared" si="4"/>
        <v>0</v>
      </c>
      <c r="AD35" s="4">
        <f t="shared" si="5"/>
        <v>0</v>
      </c>
    </row>
    <row r="36" spans="1:30" x14ac:dyDescent="0.25">
      <c r="A36" s="40">
        <v>42639</v>
      </c>
      <c r="B36" s="39">
        <v>0.41666666666666669</v>
      </c>
      <c r="C36" s="40">
        <v>42640</v>
      </c>
      <c r="D36" s="39">
        <v>0.38541666666666669</v>
      </c>
      <c r="E36" s="41">
        <v>23.25</v>
      </c>
      <c r="F36" s="42">
        <v>1.6</v>
      </c>
      <c r="G36" s="42">
        <v>1.9</v>
      </c>
      <c r="H36" s="4">
        <v>640</v>
      </c>
      <c r="I36" s="4">
        <v>1623</v>
      </c>
      <c r="J36" s="41">
        <f t="shared" si="0"/>
        <v>20.903508771929825</v>
      </c>
      <c r="K36" s="4">
        <v>7000</v>
      </c>
      <c r="L36" s="4">
        <v>67</v>
      </c>
      <c r="M36" s="43">
        <v>8.92</v>
      </c>
      <c r="P36" s="4">
        <v>0</v>
      </c>
      <c r="Q36" s="4">
        <v>0</v>
      </c>
      <c r="R36" s="4">
        <v>0</v>
      </c>
      <c r="S36" s="4">
        <v>0</v>
      </c>
      <c r="T36" s="4">
        <v>0</v>
      </c>
      <c r="U36" s="4">
        <v>0</v>
      </c>
      <c r="V36" s="4">
        <v>0</v>
      </c>
      <c r="W36" s="4">
        <v>0</v>
      </c>
      <c r="X36" s="44">
        <v>0</v>
      </c>
      <c r="Y36" s="44">
        <v>0</v>
      </c>
      <c r="Z36" s="4">
        <f t="shared" si="1"/>
        <v>0</v>
      </c>
      <c r="AA36" s="4">
        <f t="shared" si="2"/>
        <v>0</v>
      </c>
      <c r="AB36" s="4">
        <f t="shared" si="3"/>
        <v>0</v>
      </c>
      <c r="AC36" s="4">
        <f t="shared" si="4"/>
        <v>0</v>
      </c>
      <c r="AD36" s="4">
        <f t="shared" si="5"/>
        <v>0</v>
      </c>
    </row>
    <row r="37" spans="1:30" x14ac:dyDescent="0.25">
      <c r="A37" s="40">
        <v>42640</v>
      </c>
      <c r="B37" s="39">
        <v>0.38541666666666669</v>
      </c>
      <c r="C37" s="40">
        <v>42641</v>
      </c>
      <c r="D37" s="39">
        <v>0.41666666666666669</v>
      </c>
      <c r="E37" s="41">
        <v>24.75</v>
      </c>
      <c r="F37" s="42">
        <v>1.7</v>
      </c>
      <c r="G37" s="42">
        <v>2</v>
      </c>
      <c r="H37" s="4">
        <v>1969</v>
      </c>
      <c r="I37" s="4">
        <v>3449</v>
      </c>
      <c r="J37" s="41">
        <f t="shared" si="0"/>
        <v>48.045588235294112</v>
      </c>
      <c r="K37" s="4">
        <v>6980</v>
      </c>
      <c r="L37" s="4">
        <v>68</v>
      </c>
      <c r="M37" s="43">
        <v>8</v>
      </c>
      <c r="N37" s="4">
        <v>39</v>
      </c>
      <c r="O37" s="4">
        <v>39</v>
      </c>
      <c r="P37" s="4">
        <v>0</v>
      </c>
      <c r="Q37" s="4">
        <v>0</v>
      </c>
      <c r="R37" s="4">
        <v>1</v>
      </c>
      <c r="S37" s="4">
        <v>0</v>
      </c>
      <c r="T37" s="4">
        <v>0</v>
      </c>
      <c r="U37" s="4">
        <v>0</v>
      </c>
      <c r="V37" s="4">
        <v>0</v>
      </c>
      <c r="W37" s="4">
        <v>0</v>
      </c>
      <c r="X37" s="44">
        <v>0</v>
      </c>
      <c r="Y37" s="44">
        <v>0</v>
      </c>
      <c r="Z37" s="4">
        <f t="shared" si="1"/>
        <v>0</v>
      </c>
      <c r="AA37" s="4">
        <f t="shared" si="2"/>
        <v>0</v>
      </c>
      <c r="AB37" s="4">
        <f t="shared" si="3"/>
        <v>2.0813565547427384E-2</v>
      </c>
      <c r="AC37" s="4">
        <f t="shared" si="4"/>
        <v>0</v>
      </c>
      <c r="AD37" s="4">
        <f t="shared" si="5"/>
        <v>0</v>
      </c>
    </row>
    <row r="38" spans="1:30" x14ac:dyDescent="0.25">
      <c r="A38" s="40">
        <v>42641</v>
      </c>
      <c r="B38" s="39">
        <v>0.41666666666666669</v>
      </c>
      <c r="C38" s="40">
        <v>42642</v>
      </c>
      <c r="D38" s="39">
        <v>0.44791666666666669</v>
      </c>
      <c r="E38" s="41">
        <v>24.25</v>
      </c>
      <c r="F38" s="42">
        <v>1.6</v>
      </c>
      <c r="G38" s="42">
        <v>1.9</v>
      </c>
      <c r="H38" s="4">
        <v>2347</v>
      </c>
      <c r="I38" s="4">
        <v>2860</v>
      </c>
      <c r="J38" s="41">
        <f t="shared" si="0"/>
        <v>49.535635964912281</v>
      </c>
      <c r="K38" s="4">
        <v>6830</v>
      </c>
      <c r="L38" s="4">
        <v>68</v>
      </c>
      <c r="M38" s="43">
        <v>7.76</v>
      </c>
      <c r="P38" s="4">
        <v>0</v>
      </c>
      <c r="Q38" s="4">
        <v>0</v>
      </c>
      <c r="R38" s="4">
        <v>0</v>
      </c>
      <c r="S38" s="4">
        <v>0</v>
      </c>
      <c r="T38" s="4">
        <v>0</v>
      </c>
      <c r="U38" s="4">
        <v>0</v>
      </c>
      <c r="V38" s="4">
        <v>0</v>
      </c>
      <c r="W38" s="4">
        <v>0</v>
      </c>
      <c r="X38" s="44">
        <v>0</v>
      </c>
      <c r="Y38" s="44">
        <v>0</v>
      </c>
      <c r="Z38" s="4">
        <f t="shared" si="1"/>
        <v>0</v>
      </c>
      <c r="AA38" s="4">
        <f t="shared" si="2"/>
        <v>0</v>
      </c>
      <c r="AB38" s="4">
        <f t="shared" si="3"/>
        <v>0</v>
      </c>
      <c r="AC38" s="4">
        <f t="shared" si="4"/>
        <v>0</v>
      </c>
      <c r="AD38" s="4">
        <f t="shared" si="5"/>
        <v>0</v>
      </c>
    </row>
    <row r="39" spans="1:30" x14ac:dyDescent="0.25">
      <c r="A39" s="38">
        <v>42642</v>
      </c>
      <c r="B39" s="39">
        <v>0.57291666666666663</v>
      </c>
      <c r="C39" s="40">
        <v>42643</v>
      </c>
      <c r="D39" s="39">
        <v>0.40972222222222227</v>
      </c>
      <c r="E39" s="41">
        <v>20.100000000000001</v>
      </c>
      <c r="F39" s="42">
        <v>1.2</v>
      </c>
      <c r="G39" s="42">
        <v>2</v>
      </c>
      <c r="H39" s="4">
        <v>1528</v>
      </c>
      <c r="I39" s="4">
        <v>2328</v>
      </c>
      <c r="J39" s="41">
        <f t="shared" si="0"/>
        <v>40.622222222222227</v>
      </c>
      <c r="K39" s="4">
        <v>6620</v>
      </c>
      <c r="L39" s="4">
        <v>66</v>
      </c>
      <c r="M39" s="43">
        <v>9.58</v>
      </c>
      <c r="P39" s="4">
        <v>0</v>
      </c>
      <c r="Q39" s="4">
        <v>0</v>
      </c>
      <c r="R39" s="4">
        <v>0</v>
      </c>
      <c r="S39" s="4">
        <v>0</v>
      </c>
      <c r="T39" s="4">
        <v>0</v>
      </c>
      <c r="U39" s="4">
        <v>0</v>
      </c>
      <c r="V39" s="4">
        <v>0</v>
      </c>
      <c r="W39" s="4">
        <v>0</v>
      </c>
      <c r="X39" s="44">
        <v>0</v>
      </c>
      <c r="Y39" s="44">
        <v>0</v>
      </c>
      <c r="Z39" s="4">
        <f t="shared" si="1"/>
        <v>0</v>
      </c>
      <c r="AA39" s="4">
        <f t="shared" si="2"/>
        <v>0</v>
      </c>
      <c r="AB39" s="4">
        <f t="shared" si="3"/>
        <v>0</v>
      </c>
      <c r="AC39" s="4">
        <f t="shared" si="4"/>
        <v>0</v>
      </c>
      <c r="AD39" s="4">
        <f t="shared" si="5"/>
        <v>0</v>
      </c>
    </row>
    <row r="40" spans="1:30" x14ac:dyDescent="0.25">
      <c r="A40" s="40">
        <v>42643</v>
      </c>
      <c r="B40" s="39">
        <v>0.40972222222222227</v>
      </c>
      <c r="C40" s="40">
        <v>42644</v>
      </c>
      <c r="D40" s="39">
        <v>0.40625</v>
      </c>
      <c r="E40" s="41">
        <v>24</v>
      </c>
      <c r="F40" s="42">
        <v>1.8</v>
      </c>
      <c r="G40" s="42">
        <v>2.1</v>
      </c>
      <c r="H40" s="4">
        <v>2321</v>
      </c>
      <c r="I40" s="4">
        <v>2889</v>
      </c>
      <c r="J40" s="41">
        <f t="shared" si="0"/>
        <v>44.419312169312164</v>
      </c>
      <c r="K40" s="4">
        <v>6580</v>
      </c>
      <c r="L40" s="4">
        <v>65</v>
      </c>
      <c r="M40" s="43">
        <v>12.85</v>
      </c>
      <c r="P40" s="4">
        <v>0</v>
      </c>
      <c r="Q40" s="4">
        <v>0</v>
      </c>
      <c r="R40" s="4">
        <v>0</v>
      </c>
      <c r="S40" s="4">
        <v>0</v>
      </c>
      <c r="T40" s="4">
        <v>0</v>
      </c>
      <c r="U40" s="4">
        <v>0</v>
      </c>
      <c r="V40" s="4">
        <v>0</v>
      </c>
      <c r="W40" s="4">
        <v>0</v>
      </c>
      <c r="X40" s="44">
        <v>0</v>
      </c>
      <c r="Y40" s="44">
        <v>0</v>
      </c>
      <c r="Z40" s="4">
        <f t="shared" si="1"/>
        <v>0</v>
      </c>
      <c r="AA40" s="4">
        <f t="shared" si="2"/>
        <v>0</v>
      </c>
      <c r="AB40" s="4">
        <f t="shared" si="3"/>
        <v>0</v>
      </c>
      <c r="AC40" s="4">
        <f t="shared" si="4"/>
        <v>0</v>
      </c>
      <c r="AD40" s="4">
        <f t="shared" si="5"/>
        <v>0</v>
      </c>
    </row>
    <row r="41" spans="1:30" x14ac:dyDescent="0.25">
      <c r="A41" s="40">
        <v>42644</v>
      </c>
      <c r="B41" s="39">
        <v>0.40625</v>
      </c>
      <c r="C41" s="40">
        <v>42645</v>
      </c>
      <c r="D41" s="39">
        <v>0.42708333333333331</v>
      </c>
      <c r="E41" s="41">
        <v>24.5</v>
      </c>
      <c r="F41" s="42">
        <v>1.7</v>
      </c>
      <c r="G41" s="42">
        <v>2</v>
      </c>
      <c r="H41" s="4">
        <v>2429</v>
      </c>
      <c r="I41" s="4">
        <v>2954</v>
      </c>
      <c r="J41" s="41">
        <f t="shared" si="0"/>
        <v>48.430392156862744</v>
      </c>
      <c r="K41" s="4">
        <v>6590</v>
      </c>
      <c r="L41" s="4">
        <v>65</v>
      </c>
      <c r="M41" s="43">
        <v>7.2</v>
      </c>
      <c r="P41" s="4">
        <v>0</v>
      </c>
      <c r="Q41" s="4">
        <v>0</v>
      </c>
      <c r="R41" s="4">
        <v>0</v>
      </c>
      <c r="S41" s="4">
        <v>0</v>
      </c>
      <c r="T41" s="4">
        <v>0</v>
      </c>
      <c r="U41" s="4">
        <v>0</v>
      </c>
      <c r="V41" s="4">
        <v>0</v>
      </c>
      <c r="W41" s="4">
        <v>0</v>
      </c>
      <c r="X41" s="44">
        <v>0</v>
      </c>
      <c r="Y41" s="44">
        <v>0</v>
      </c>
      <c r="Z41" s="4">
        <f t="shared" si="1"/>
        <v>0</v>
      </c>
      <c r="AA41" s="4">
        <f t="shared" si="2"/>
        <v>0</v>
      </c>
      <c r="AB41" s="4">
        <f t="shared" si="3"/>
        <v>0</v>
      </c>
      <c r="AC41" s="4">
        <f t="shared" si="4"/>
        <v>0</v>
      </c>
      <c r="AD41" s="4">
        <f t="shared" si="5"/>
        <v>0</v>
      </c>
    </row>
    <row r="42" spans="1:30" x14ac:dyDescent="0.25">
      <c r="A42" s="40">
        <v>42645</v>
      </c>
      <c r="B42" s="39">
        <v>0.42708333333333331</v>
      </c>
      <c r="C42" s="40">
        <v>42646</v>
      </c>
      <c r="D42" s="39">
        <v>0.48958333333333331</v>
      </c>
      <c r="E42" s="41">
        <v>25.5</v>
      </c>
      <c r="F42" s="42">
        <v>1.6</v>
      </c>
      <c r="G42" s="42">
        <v>1.9</v>
      </c>
      <c r="H42" s="4">
        <v>2383</v>
      </c>
      <c r="I42" s="4">
        <v>2874</v>
      </c>
      <c r="J42" s="41">
        <f t="shared" si="0"/>
        <v>50.033442982456137</v>
      </c>
      <c r="K42" s="4">
        <v>6450</v>
      </c>
      <c r="L42" s="4">
        <v>64</v>
      </c>
      <c r="M42" s="43">
        <v>5.1100000000000003</v>
      </c>
      <c r="P42" s="4">
        <v>0</v>
      </c>
      <c r="Q42" s="4">
        <v>0</v>
      </c>
      <c r="R42" s="4">
        <v>0</v>
      </c>
      <c r="S42" s="4">
        <v>0</v>
      </c>
      <c r="T42" s="4">
        <v>0</v>
      </c>
      <c r="U42" s="4">
        <v>0</v>
      </c>
      <c r="V42" s="4">
        <v>0</v>
      </c>
      <c r="W42" s="4">
        <v>0</v>
      </c>
      <c r="X42" s="44">
        <v>0</v>
      </c>
      <c r="Y42" s="44">
        <v>0</v>
      </c>
      <c r="Z42" s="4">
        <f t="shared" si="1"/>
        <v>0</v>
      </c>
      <c r="AA42" s="4">
        <f t="shared" si="2"/>
        <v>0</v>
      </c>
      <c r="AB42" s="4">
        <f t="shared" si="3"/>
        <v>0</v>
      </c>
      <c r="AC42" s="4">
        <f t="shared" si="4"/>
        <v>0</v>
      </c>
      <c r="AD42" s="4">
        <f t="shared" si="5"/>
        <v>0</v>
      </c>
    </row>
    <row r="43" spans="1:30" x14ac:dyDescent="0.25">
      <c r="A43" s="40">
        <v>42646</v>
      </c>
      <c r="B43" s="39">
        <v>0.48958333333333331</v>
      </c>
      <c r="C43" s="40">
        <v>42647</v>
      </c>
      <c r="D43" s="39">
        <v>0.41666666666666669</v>
      </c>
      <c r="E43" s="41">
        <v>22.25</v>
      </c>
      <c r="F43" s="42">
        <v>1.8</v>
      </c>
      <c r="G43" s="42">
        <v>2.1</v>
      </c>
      <c r="H43" s="4">
        <v>2180</v>
      </c>
      <c r="I43" s="4">
        <v>2660</v>
      </c>
      <c r="J43" s="41">
        <f t="shared" si="0"/>
        <v>41.296296296296291</v>
      </c>
      <c r="K43" s="4">
        <v>6710</v>
      </c>
      <c r="L43" s="4" t="s">
        <v>33</v>
      </c>
      <c r="M43" s="43">
        <v>7.17</v>
      </c>
      <c r="N43" s="4">
        <v>34</v>
      </c>
      <c r="O43" s="4">
        <v>51</v>
      </c>
      <c r="P43" s="4">
        <v>0</v>
      </c>
      <c r="Q43" s="4">
        <v>0</v>
      </c>
      <c r="R43" s="4">
        <v>2</v>
      </c>
      <c r="S43" s="4">
        <v>0</v>
      </c>
      <c r="T43" s="4">
        <v>0</v>
      </c>
      <c r="U43" s="4">
        <v>0</v>
      </c>
      <c r="V43" s="4">
        <v>0</v>
      </c>
      <c r="W43" s="4">
        <v>0</v>
      </c>
      <c r="X43" s="44">
        <v>0</v>
      </c>
      <c r="Y43" s="44">
        <v>0</v>
      </c>
      <c r="Z43" s="4">
        <f t="shared" si="1"/>
        <v>0</v>
      </c>
      <c r="AA43" s="4">
        <f t="shared" si="2"/>
        <v>0</v>
      </c>
      <c r="AB43" s="4">
        <f t="shared" si="3"/>
        <v>4.843049327354261E-2</v>
      </c>
      <c r="AC43" s="4">
        <f t="shared" si="4"/>
        <v>0</v>
      </c>
      <c r="AD43" s="4">
        <f t="shared" si="5"/>
        <v>0</v>
      </c>
    </row>
    <row r="44" spans="1:30" x14ac:dyDescent="0.25">
      <c r="A44" s="40">
        <v>42647</v>
      </c>
      <c r="B44" s="39">
        <v>0.41666666666666669</v>
      </c>
      <c r="C44" s="40">
        <v>42648</v>
      </c>
      <c r="D44" s="39">
        <v>0.4375</v>
      </c>
      <c r="E44" s="41">
        <v>24.5</v>
      </c>
      <c r="F44" s="42">
        <v>1.8</v>
      </c>
      <c r="G44" s="42">
        <v>2.2000000000000002</v>
      </c>
      <c r="H44" s="4">
        <f>(7125.1-6879.1)*10</f>
        <v>2460</v>
      </c>
      <c r="I44" s="4">
        <v>3079</v>
      </c>
      <c r="J44" s="41">
        <f t="shared" si="0"/>
        <v>46.103535353535349</v>
      </c>
      <c r="K44" s="4">
        <v>6650</v>
      </c>
      <c r="L44" s="4">
        <v>62</v>
      </c>
      <c r="M44" s="43">
        <v>7</v>
      </c>
      <c r="P44" s="4">
        <v>0</v>
      </c>
      <c r="Q44" s="4">
        <v>0</v>
      </c>
      <c r="R44" s="4">
        <v>0</v>
      </c>
      <c r="S44" s="4">
        <v>0</v>
      </c>
      <c r="T44" s="4">
        <v>0</v>
      </c>
      <c r="U44" s="4">
        <v>0</v>
      </c>
      <c r="V44" s="4">
        <v>0</v>
      </c>
      <c r="W44" s="4">
        <v>0</v>
      </c>
      <c r="X44" s="44">
        <v>0</v>
      </c>
      <c r="Y44" s="44">
        <v>0</v>
      </c>
      <c r="Z44" s="4">
        <f t="shared" si="1"/>
        <v>0</v>
      </c>
      <c r="AA44" s="4">
        <f t="shared" si="2"/>
        <v>0</v>
      </c>
      <c r="AB44" s="4">
        <f t="shared" si="3"/>
        <v>0</v>
      </c>
      <c r="AC44" s="4">
        <f t="shared" si="4"/>
        <v>0</v>
      </c>
      <c r="AD44" s="4">
        <f t="shared" si="5"/>
        <v>0</v>
      </c>
    </row>
    <row r="45" spans="1:30" x14ac:dyDescent="0.25">
      <c r="A45" s="38">
        <v>42648</v>
      </c>
      <c r="B45" s="39">
        <v>0.40625</v>
      </c>
      <c r="C45" s="40">
        <v>42649</v>
      </c>
      <c r="D45" s="39">
        <v>0.40625</v>
      </c>
      <c r="E45" s="41">
        <v>24</v>
      </c>
      <c r="F45" s="42">
        <v>1.8</v>
      </c>
      <c r="G45" s="42">
        <v>2.1</v>
      </c>
      <c r="H45" s="4">
        <v>2452</v>
      </c>
      <c r="I45" s="4">
        <v>2864</v>
      </c>
      <c r="J45" s="41">
        <f t="shared" si="0"/>
        <v>45.433862433862437</v>
      </c>
      <c r="K45" s="4">
        <v>6370</v>
      </c>
      <c r="L45" s="4">
        <v>61</v>
      </c>
      <c r="M45" s="43">
        <v>7.31</v>
      </c>
      <c r="N45" s="4">
        <v>34</v>
      </c>
      <c r="O45" s="4">
        <v>34</v>
      </c>
      <c r="P45" s="4">
        <v>0</v>
      </c>
      <c r="Q45" s="4">
        <v>0</v>
      </c>
      <c r="R45" s="4">
        <v>1</v>
      </c>
      <c r="S45" s="4">
        <v>0</v>
      </c>
      <c r="T45" s="4">
        <v>0</v>
      </c>
      <c r="U45" s="4">
        <v>0</v>
      </c>
      <c r="V45" s="4">
        <v>0</v>
      </c>
      <c r="W45" s="4">
        <v>0</v>
      </c>
      <c r="X45" s="44">
        <v>0</v>
      </c>
      <c r="Y45" s="44">
        <v>0</v>
      </c>
      <c r="Z45" s="4">
        <f t="shared" si="1"/>
        <v>0</v>
      </c>
      <c r="AA45" s="4">
        <f t="shared" si="2"/>
        <v>0</v>
      </c>
      <c r="AB45" s="4">
        <f t="shared" si="3"/>
        <v>2.2010015139163851E-2</v>
      </c>
      <c r="AC45" s="4">
        <f t="shared" si="4"/>
        <v>0</v>
      </c>
      <c r="AD45" s="4">
        <f t="shared" si="5"/>
        <v>0</v>
      </c>
    </row>
    <row r="46" spans="1:30" x14ac:dyDescent="0.25">
      <c r="A46" s="38">
        <v>42649</v>
      </c>
      <c r="B46" s="39">
        <v>0.40625</v>
      </c>
      <c r="C46" s="40">
        <v>42650</v>
      </c>
      <c r="D46" s="39">
        <v>0.40625</v>
      </c>
      <c r="E46" s="41">
        <v>24</v>
      </c>
      <c r="F46" s="42">
        <v>1.8</v>
      </c>
      <c r="G46" s="42">
        <v>2.1</v>
      </c>
      <c r="H46" s="4">
        <v>2339</v>
      </c>
      <c r="I46" s="4">
        <v>2803</v>
      </c>
      <c r="J46" s="41">
        <f t="shared" si="0"/>
        <v>43.903439153439152</v>
      </c>
      <c r="K46" s="4">
        <v>6200</v>
      </c>
      <c r="L46" s="4">
        <v>61</v>
      </c>
      <c r="M46" s="43">
        <v>5.25</v>
      </c>
      <c r="N46" s="4">
        <v>41</v>
      </c>
      <c r="O46" s="4">
        <v>41</v>
      </c>
      <c r="P46" s="4">
        <v>0</v>
      </c>
      <c r="Q46" s="4">
        <v>0</v>
      </c>
      <c r="R46" s="4">
        <v>1</v>
      </c>
      <c r="S46" s="4">
        <v>0</v>
      </c>
      <c r="T46" s="4">
        <v>0</v>
      </c>
      <c r="U46" s="4">
        <v>0</v>
      </c>
      <c r="V46" s="4">
        <v>0</v>
      </c>
      <c r="W46" s="4">
        <v>0</v>
      </c>
      <c r="X46" s="44">
        <v>0</v>
      </c>
      <c r="Y46" s="44">
        <v>0</v>
      </c>
      <c r="Z46" s="4">
        <f t="shared" si="1"/>
        <v>0</v>
      </c>
      <c r="AA46" s="4">
        <f t="shared" si="2"/>
        <v>0</v>
      </c>
      <c r="AB46" s="4">
        <f t="shared" si="3"/>
        <v>2.2777258895483717E-2</v>
      </c>
      <c r="AC46" s="4">
        <f t="shared" si="4"/>
        <v>0</v>
      </c>
      <c r="AD46" s="4">
        <f t="shared" si="5"/>
        <v>0</v>
      </c>
    </row>
    <row r="47" spans="1:30" x14ac:dyDescent="0.25">
      <c r="A47" s="38">
        <v>42650</v>
      </c>
      <c r="B47" s="39">
        <v>0.40625</v>
      </c>
      <c r="C47" s="40">
        <v>42651</v>
      </c>
      <c r="D47" s="39">
        <v>0.42708333333333331</v>
      </c>
      <c r="E47" s="41">
        <v>24.5</v>
      </c>
      <c r="F47" s="42">
        <v>1.7</v>
      </c>
      <c r="G47" s="42">
        <v>2.1</v>
      </c>
      <c r="H47" s="4">
        <v>2411</v>
      </c>
      <c r="I47" s="4">
        <v>2977</v>
      </c>
      <c r="J47" s="41">
        <f t="shared" si="0"/>
        <v>47.264239028944907</v>
      </c>
      <c r="K47" s="4">
        <v>6010</v>
      </c>
      <c r="L47" s="4">
        <v>63</v>
      </c>
      <c r="M47" s="43">
        <v>6.1</v>
      </c>
      <c r="N47" s="4">
        <v>40</v>
      </c>
      <c r="O47" s="4">
        <v>40</v>
      </c>
      <c r="P47" s="4">
        <v>0</v>
      </c>
      <c r="Q47" s="4">
        <v>0</v>
      </c>
      <c r="R47" s="4">
        <v>1</v>
      </c>
      <c r="S47" s="4">
        <v>0</v>
      </c>
      <c r="T47" s="4">
        <v>0</v>
      </c>
      <c r="U47" s="4">
        <v>0</v>
      </c>
      <c r="V47" s="4">
        <v>0</v>
      </c>
      <c r="W47" s="4">
        <v>0</v>
      </c>
      <c r="X47" s="44">
        <v>0</v>
      </c>
      <c r="Y47" s="44">
        <v>0</v>
      </c>
      <c r="Z47" s="4">
        <f t="shared" si="1"/>
        <v>0</v>
      </c>
      <c r="AA47" s="4">
        <f t="shared" si="2"/>
        <v>0</v>
      </c>
      <c r="AB47" s="4">
        <f t="shared" si="3"/>
        <v>2.1157645199525881E-2</v>
      </c>
      <c r="AC47" s="4">
        <f t="shared" si="4"/>
        <v>0</v>
      </c>
      <c r="AD47" s="4">
        <f t="shared" si="5"/>
        <v>0</v>
      </c>
    </row>
    <row r="48" spans="1:30" ht="14.4" x14ac:dyDescent="0.3">
      <c r="A48" s="38">
        <v>42651</v>
      </c>
      <c r="B48" s="39">
        <v>0.42708333333333331</v>
      </c>
      <c r="C48" s="40">
        <v>42652</v>
      </c>
      <c r="D48" s="39">
        <v>0.38541666666666669</v>
      </c>
      <c r="E48" s="41">
        <v>23.25</v>
      </c>
      <c r="F48" s="42">
        <v>1.8</v>
      </c>
      <c r="G48" s="42">
        <v>1.9</v>
      </c>
      <c r="H48" s="4">
        <v>1952</v>
      </c>
      <c r="I48" s="4">
        <v>2561</v>
      </c>
      <c r="J48" s="41">
        <f t="shared" si="0"/>
        <v>40.53898635477583</v>
      </c>
      <c r="K48" s="4">
        <v>5850</v>
      </c>
      <c r="L48" s="4">
        <v>62</v>
      </c>
      <c r="M48" s="43">
        <v>8.33</v>
      </c>
      <c r="N48" s="45"/>
      <c r="O48" s="45"/>
      <c r="P48" s="4">
        <v>0</v>
      </c>
      <c r="Q48" s="4">
        <v>0</v>
      </c>
      <c r="R48" s="4">
        <v>0</v>
      </c>
      <c r="S48" s="4">
        <v>0</v>
      </c>
      <c r="T48" s="4">
        <v>0</v>
      </c>
      <c r="U48" s="4">
        <v>0</v>
      </c>
      <c r="V48" s="4">
        <v>0</v>
      </c>
      <c r="W48" s="4">
        <v>0</v>
      </c>
      <c r="X48" s="44">
        <v>0</v>
      </c>
      <c r="Y48" s="44">
        <v>0</v>
      </c>
      <c r="Z48" s="4">
        <f t="shared" si="1"/>
        <v>0</v>
      </c>
      <c r="AA48" s="4">
        <f t="shared" si="2"/>
        <v>0</v>
      </c>
      <c r="AB48" s="4">
        <f t="shared" si="3"/>
        <v>0</v>
      </c>
      <c r="AC48" s="4">
        <f t="shared" si="4"/>
        <v>0</v>
      </c>
      <c r="AD48" s="4">
        <f t="shared" si="5"/>
        <v>0</v>
      </c>
    </row>
    <row r="49" spans="1:30" x14ac:dyDescent="0.25">
      <c r="A49" s="40">
        <v>42652</v>
      </c>
      <c r="B49" s="39">
        <v>0.38541666666666669</v>
      </c>
      <c r="C49" s="40">
        <v>42653</v>
      </c>
      <c r="D49" s="39">
        <v>0.52083333333333337</v>
      </c>
      <c r="E49" s="41">
        <v>27.25</v>
      </c>
      <c r="F49" s="42">
        <v>1.6</v>
      </c>
      <c r="G49" s="42">
        <v>2</v>
      </c>
      <c r="H49" s="4">
        <v>2338</v>
      </c>
      <c r="I49" s="4">
        <v>2979</v>
      </c>
      <c r="J49" s="41">
        <f t="shared" si="0"/>
        <v>49.179166666666667</v>
      </c>
      <c r="K49" s="4">
        <v>5790</v>
      </c>
      <c r="L49" s="4">
        <v>61</v>
      </c>
      <c r="M49" s="43">
        <v>5.54</v>
      </c>
      <c r="N49" s="4">
        <v>39</v>
      </c>
      <c r="O49" s="4">
        <v>39</v>
      </c>
      <c r="P49" s="4">
        <v>0</v>
      </c>
      <c r="Q49" s="4">
        <v>0</v>
      </c>
      <c r="R49" s="4">
        <v>1</v>
      </c>
      <c r="S49" s="4">
        <v>0</v>
      </c>
      <c r="T49" s="4">
        <v>0</v>
      </c>
      <c r="U49" s="4">
        <v>0</v>
      </c>
      <c r="V49" s="4">
        <v>0</v>
      </c>
      <c r="W49" s="4">
        <v>0</v>
      </c>
      <c r="X49" s="44">
        <v>0</v>
      </c>
      <c r="Y49" s="44">
        <v>0</v>
      </c>
      <c r="Z49" s="4">
        <f t="shared" si="1"/>
        <v>0</v>
      </c>
      <c r="AA49" s="4">
        <f t="shared" si="2"/>
        <v>0</v>
      </c>
      <c r="AB49" s="4">
        <f t="shared" si="3"/>
        <v>2.0333813437261712E-2</v>
      </c>
      <c r="AC49" s="4">
        <f t="shared" si="4"/>
        <v>0</v>
      </c>
      <c r="AD49" s="4">
        <f t="shared" si="5"/>
        <v>0</v>
      </c>
    </row>
    <row r="50" spans="1:30" x14ac:dyDescent="0.25">
      <c r="A50" s="40">
        <v>42653</v>
      </c>
      <c r="B50" s="39">
        <v>0.52083333333333337</v>
      </c>
      <c r="C50" s="40">
        <v>42654</v>
      </c>
      <c r="D50" s="39">
        <v>0.45833333333333331</v>
      </c>
      <c r="E50" s="41">
        <v>22.5</v>
      </c>
      <c r="F50" s="42">
        <v>1.6</v>
      </c>
      <c r="G50" s="42">
        <v>2</v>
      </c>
      <c r="H50" s="4">
        <v>2087</v>
      </c>
      <c r="I50" s="4">
        <v>2683</v>
      </c>
      <c r="J50" s="41">
        <f t="shared" si="0"/>
        <v>44.09791666666667</v>
      </c>
      <c r="K50" s="4">
        <v>5710</v>
      </c>
      <c r="L50" s="4">
        <v>64</v>
      </c>
      <c r="M50" s="43">
        <v>6.73</v>
      </c>
      <c r="P50" s="4">
        <v>0</v>
      </c>
      <c r="Q50" s="4">
        <v>0</v>
      </c>
      <c r="R50" s="4">
        <v>0</v>
      </c>
      <c r="S50" s="4">
        <v>0</v>
      </c>
      <c r="T50" s="4">
        <v>0</v>
      </c>
      <c r="U50" s="4">
        <v>0</v>
      </c>
      <c r="V50" s="4">
        <v>0</v>
      </c>
      <c r="W50" s="4">
        <v>0</v>
      </c>
      <c r="X50" s="44">
        <v>0</v>
      </c>
      <c r="Y50" s="44">
        <v>0</v>
      </c>
      <c r="Z50" s="4">
        <f t="shared" si="1"/>
        <v>0</v>
      </c>
      <c r="AA50" s="4">
        <f t="shared" si="2"/>
        <v>0</v>
      </c>
      <c r="AB50" s="4">
        <f t="shared" si="3"/>
        <v>0</v>
      </c>
      <c r="AC50" s="4">
        <f t="shared" si="4"/>
        <v>0</v>
      </c>
      <c r="AD50" s="4">
        <f t="shared" si="5"/>
        <v>0</v>
      </c>
    </row>
    <row r="51" spans="1:30" x14ac:dyDescent="0.25">
      <c r="A51" s="40">
        <v>42654</v>
      </c>
      <c r="B51" s="39">
        <v>0.45833333333333331</v>
      </c>
      <c r="C51" s="40">
        <v>42655</v>
      </c>
      <c r="D51" s="39">
        <v>0.42708333333333331</v>
      </c>
      <c r="E51" s="41">
        <v>23.25</v>
      </c>
      <c r="F51" s="42">
        <v>1.6</v>
      </c>
      <c r="G51" s="42">
        <v>2.1</v>
      </c>
      <c r="H51" s="4">
        <v>2104</v>
      </c>
      <c r="I51" s="4">
        <v>2643</v>
      </c>
      <c r="J51" s="41">
        <f t="shared" si="0"/>
        <v>42.892857142857139</v>
      </c>
      <c r="K51" s="4">
        <v>5550</v>
      </c>
      <c r="L51" s="4">
        <v>63</v>
      </c>
      <c r="M51" s="43">
        <v>4.2</v>
      </c>
      <c r="P51" s="4">
        <v>0</v>
      </c>
      <c r="Q51" s="4">
        <v>0</v>
      </c>
      <c r="R51" s="4">
        <v>0</v>
      </c>
      <c r="S51" s="4">
        <v>0</v>
      </c>
      <c r="T51" s="4">
        <v>0</v>
      </c>
      <c r="U51" s="4">
        <v>0</v>
      </c>
      <c r="V51" s="4">
        <v>0</v>
      </c>
      <c r="W51" s="4">
        <v>0</v>
      </c>
      <c r="X51" s="44">
        <v>0</v>
      </c>
      <c r="Y51" s="44">
        <v>0</v>
      </c>
      <c r="Z51" s="4">
        <f t="shared" si="1"/>
        <v>0</v>
      </c>
      <c r="AA51" s="4">
        <f t="shared" si="2"/>
        <v>0</v>
      </c>
      <c r="AB51" s="4">
        <f t="shared" si="3"/>
        <v>0</v>
      </c>
      <c r="AC51" s="4">
        <f t="shared" si="4"/>
        <v>0</v>
      </c>
      <c r="AD51" s="4">
        <f t="shared" si="5"/>
        <v>0</v>
      </c>
    </row>
    <row r="52" spans="1:30" x14ac:dyDescent="0.25">
      <c r="A52" s="40">
        <v>42655</v>
      </c>
      <c r="B52" s="39">
        <v>0.42708333333333331</v>
      </c>
      <c r="C52" s="40">
        <v>42656</v>
      </c>
      <c r="D52" s="39">
        <v>0.40625</v>
      </c>
      <c r="E52" s="41">
        <v>23.5</v>
      </c>
      <c r="F52" s="42">
        <v>1.5</v>
      </c>
      <c r="G52" s="42">
        <v>1.9</v>
      </c>
      <c r="H52" s="4">
        <v>1972</v>
      </c>
      <c r="I52" s="4">
        <v>3534</v>
      </c>
      <c r="J52" s="41">
        <f t="shared" si="0"/>
        <v>52.911111111111119</v>
      </c>
      <c r="K52" s="4">
        <v>5350</v>
      </c>
      <c r="L52" s="4">
        <v>64</v>
      </c>
      <c r="M52" s="43">
        <v>7.4</v>
      </c>
      <c r="N52" s="4">
        <v>38</v>
      </c>
      <c r="O52" s="4">
        <v>38</v>
      </c>
      <c r="P52" s="4">
        <v>0</v>
      </c>
      <c r="Q52" s="4">
        <v>0</v>
      </c>
      <c r="R52" s="4">
        <v>1</v>
      </c>
      <c r="S52" s="4">
        <v>0</v>
      </c>
      <c r="T52" s="4">
        <v>0</v>
      </c>
      <c r="U52" s="4">
        <v>0</v>
      </c>
      <c r="V52" s="4">
        <v>0</v>
      </c>
      <c r="W52" s="4">
        <v>0</v>
      </c>
      <c r="X52" s="44">
        <v>0</v>
      </c>
      <c r="Y52" s="44">
        <v>0</v>
      </c>
      <c r="Z52" s="4">
        <f t="shared" si="1"/>
        <v>0</v>
      </c>
      <c r="AA52" s="4">
        <f t="shared" si="2"/>
        <v>0</v>
      </c>
      <c r="AB52" s="4">
        <f t="shared" si="3"/>
        <v>1.8899622007559846E-2</v>
      </c>
      <c r="AC52" s="4">
        <f t="shared" si="4"/>
        <v>0</v>
      </c>
      <c r="AD52" s="4">
        <f t="shared" si="5"/>
        <v>0</v>
      </c>
    </row>
    <row r="53" spans="1:30" x14ac:dyDescent="0.25">
      <c r="A53" s="40">
        <v>42656</v>
      </c>
      <c r="B53" s="39">
        <v>0.40625</v>
      </c>
      <c r="C53" s="40">
        <v>42657</v>
      </c>
      <c r="D53" s="39">
        <v>0.4375</v>
      </c>
      <c r="E53" s="41">
        <v>24.75</v>
      </c>
      <c r="F53" s="42">
        <v>1.4</v>
      </c>
      <c r="G53" s="42">
        <v>1.8</v>
      </c>
      <c r="H53" s="4">
        <v>2043</v>
      </c>
      <c r="I53" s="4">
        <v>1704</v>
      </c>
      <c r="J53" s="41">
        <f t="shared" si="0"/>
        <v>40.099206349206355</v>
      </c>
      <c r="K53" s="4">
        <v>5330</v>
      </c>
      <c r="L53" s="4">
        <v>63</v>
      </c>
      <c r="M53" s="43">
        <v>6.5</v>
      </c>
      <c r="N53" s="4">
        <v>37</v>
      </c>
      <c r="O53" s="4">
        <v>37</v>
      </c>
      <c r="P53" s="4">
        <v>0</v>
      </c>
      <c r="Q53" s="4">
        <v>0</v>
      </c>
      <c r="R53" s="4">
        <v>1</v>
      </c>
      <c r="S53" s="4">
        <v>0</v>
      </c>
      <c r="T53" s="4">
        <v>0</v>
      </c>
      <c r="U53" s="4">
        <v>0</v>
      </c>
      <c r="V53" s="4">
        <v>0</v>
      </c>
      <c r="W53" s="4">
        <v>0</v>
      </c>
      <c r="X53" s="44">
        <v>0</v>
      </c>
      <c r="Y53" s="44">
        <v>0</v>
      </c>
      <c r="Z53" s="4">
        <f t="shared" si="1"/>
        <v>0</v>
      </c>
      <c r="AA53" s="4">
        <f t="shared" si="2"/>
        <v>0</v>
      </c>
      <c r="AB53" s="4">
        <f t="shared" si="3"/>
        <v>2.4938149430974763E-2</v>
      </c>
      <c r="AC53" s="4">
        <f t="shared" si="4"/>
        <v>0</v>
      </c>
      <c r="AD53" s="4">
        <f t="shared" si="5"/>
        <v>0</v>
      </c>
    </row>
    <row r="54" spans="1:30" x14ac:dyDescent="0.25">
      <c r="A54" s="40">
        <v>42657</v>
      </c>
      <c r="B54" s="39">
        <v>0.4375</v>
      </c>
      <c r="C54" s="40">
        <v>42658</v>
      </c>
      <c r="D54" s="39">
        <v>0.41666666666666669</v>
      </c>
      <c r="E54" s="41">
        <v>23.5</v>
      </c>
      <c r="F54" s="42">
        <v>1.2</v>
      </c>
      <c r="G54" s="42">
        <v>1.8</v>
      </c>
      <c r="H54" s="4">
        <v>1878</v>
      </c>
      <c r="I54" s="4">
        <v>2482</v>
      </c>
      <c r="J54" s="41">
        <f t="shared" si="0"/>
        <v>49.06481481481481</v>
      </c>
      <c r="K54" s="4">
        <v>5480</v>
      </c>
      <c r="L54" s="4">
        <v>63</v>
      </c>
      <c r="M54" s="43">
        <v>6.12</v>
      </c>
      <c r="P54" s="4">
        <v>0</v>
      </c>
      <c r="Q54" s="4">
        <v>0</v>
      </c>
      <c r="R54" s="4">
        <v>0</v>
      </c>
      <c r="S54" s="4">
        <v>0</v>
      </c>
      <c r="T54" s="4">
        <v>0</v>
      </c>
      <c r="U54" s="4">
        <v>0</v>
      </c>
      <c r="V54" s="4">
        <v>0</v>
      </c>
      <c r="W54" s="4">
        <v>0</v>
      </c>
      <c r="X54" s="44">
        <v>0</v>
      </c>
      <c r="Y54" s="44">
        <v>0</v>
      </c>
      <c r="Z54" s="4">
        <f t="shared" si="1"/>
        <v>0</v>
      </c>
      <c r="AA54" s="4">
        <f t="shared" si="2"/>
        <v>0</v>
      </c>
      <c r="AB54" s="4">
        <f t="shared" si="3"/>
        <v>0</v>
      </c>
      <c r="AC54" s="4">
        <f t="shared" si="4"/>
        <v>0</v>
      </c>
      <c r="AD54" s="4">
        <f t="shared" si="5"/>
        <v>0</v>
      </c>
    </row>
    <row r="55" spans="1:30" x14ac:dyDescent="0.25">
      <c r="A55" s="40">
        <v>42658</v>
      </c>
      <c r="B55" s="39">
        <v>0.41666666666666669</v>
      </c>
      <c r="C55" s="40">
        <v>42659</v>
      </c>
      <c r="D55" s="39">
        <v>0.4375</v>
      </c>
      <c r="E55" s="41">
        <v>24.5</v>
      </c>
      <c r="F55" s="42">
        <v>1.2</v>
      </c>
      <c r="G55" s="42">
        <v>1.9</v>
      </c>
      <c r="H55" s="4">
        <v>1906</v>
      </c>
      <c r="I55" s="4">
        <v>2597</v>
      </c>
      <c r="J55" s="41">
        <f t="shared" si="0"/>
        <v>49.252923976608187</v>
      </c>
      <c r="K55" s="4">
        <v>5940</v>
      </c>
      <c r="L55" s="4">
        <v>63</v>
      </c>
      <c r="M55" s="43">
        <v>7.85</v>
      </c>
      <c r="P55" s="4">
        <v>0</v>
      </c>
      <c r="Q55" s="4">
        <v>0</v>
      </c>
      <c r="R55" s="4">
        <v>0</v>
      </c>
      <c r="S55" s="4">
        <v>0</v>
      </c>
      <c r="T55" s="4">
        <v>0</v>
      </c>
      <c r="U55" s="4">
        <v>0</v>
      </c>
      <c r="V55" s="4">
        <v>0</v>
      </c>
      <c r="W55" s="4">
        <v>0</v>
      </c>
      <c r="X55" s="44">
        <v>0</v>
      </c>
      <c r="Y55" s="44">
        <v>0</v>
      </c>
      <c r="Z55" s="4">
        <f t="shared" si="1"/>
        <v>0</v>
      </c>
      <c r="AA55" s="4">
        <f t="shared" si="2"/>
        <v>0</v>
      </c>
      <c r="AB55" s="4">
        <f t="shared" si="3"/>
        <v>0</v>
      </c>
      <c r="AC55" s="4">
        <f t="shared" si="4"/>
        <v>0</v>
      </c>
      <c r="AD55" s="4">
        <f t="shared" si="5"/>
        <v>0</v>
      </c>
    </row>
    <row r="56" spans="1:30" x14ac:dyDescent="0.25">
      <c r="A56" s="40">
        <v>42659</v>
      </c>
      <c r="B56" s="39">
        <v>0.4375</v>
      </c>
      <c r="C56" s="40">
        <v>42660</v>
      </c>
      <c r="D56" s="39">
        <v>0.40625</v>
      </c>
      <c r="E56" s="41">
        <v>23.25</v>
      </c>
      <c r="F56" s="42">
        <v>1.4</v>
      </c>
      <c r="G56" s="42">
        <v>1.7</v>
      </c>
      <c r="H56" s="4">
        <v>2029</v>
      </c>
      <c r="I56" s="4">
        <v>2548</v>
      </c>
      <c r="J56" s="41">
        <f t="shared" si="0"/>
        <v>49.135154061624654</v>
      </c>
      <c r="K56" s="4">
        <v>5910</v>
      </c>
      <c r="L56" s="4">
        <v>62</v>
      </c>
      <c r="M56" s="43">
        <v>7.42</v>
      </c>
      <c r="N56" s="4">
        <v>36</v>
      </c>
      <c r="O56" s="4">
        <v>36</v>
      </c>
      <c r="P56" s="4">
        <v>0</v>
      </c>
      <c r="Q56" s="4">
        <v>0</v>
      </c>
      <c r="R56" s="4">
        <v>1</v>
      </c>
      <c r="S56" s="4">
        <v>0</v>
      </c>
      <c r="T56" s="4">
        <v>0</v>
      </c>
      <c r="U56" s="4">
        <v>0</v>
      </c>
      <c r="V56" s="4">
        <v>0</v>
      </c>
      <c r="W56" s="4">
        <v>0</v>
      </c>
      <c r="X56" s="44">
        <v>0</v>
      </c>
      <c r="Y56" s="44">
        <v>0</v>
      </c>
      <c r="Z56" s="4">
        <f t="shared" si="1"/>
        <v>0</v>
      </c>
      <c r="AA56" s="4">
        <f t="shared" si="2"/>
        <v>0</v>
      </c>
      <c r="AB56" s="4">
        <f t="shared" si="3"/>
        <v>2.0352027364070404E-2</v>
      </c>
      <c r="AC56" s="4">
        <f t="shared" si="4"/>
        <v>0</v>
      </c>
      <c r="AD56" s="4">
        <f t="shared" si="5"/>
        <v>0</v>
      </c>
    </row>
    <row r="57" spans="1:30" x14ac:dyDescent="0.25">
      <c r="A57" s="40">
        <v>42660</v>
      </c>
      <c r="B57" s="39">
        <v>0.40625</v>
      </c>
      <c r="C57" s="40">
        <v>42661</v>
      </c>
      <c r="D57" s="39">
        <v>0.41666666666666669</v>
      </c>
      <c r="E57" s="41">
        <v>24.25</v>
      </c>
      <c r="F57" s="42">
        <v>1.52</v>
      </c>
      <c r="G57" s="42">
        <v>1.9</v>
      </c>
      <c r="H57" s="4">
        <v>2096</v>
      </c>
      <c r="I57" s="4">
        <v>2561</v>
      </c>
      <c r="J57" s="41">
        <f t="shared" si="0"/>
        <v>45.447368421052637</v>
      </c>
      <c r="K57" s="4">
        <v>5730</v>
      </c>
      <c r="L57" s="4">
        <v>62</v>
      </c>
      <c r="M57" s="43">
        <v>7.4</v>
      </c>
      <c r="P57" s="4">
        <v>0</v>
      </c>
      <c r="Q57" s="4">
        <v>0</v>
      </c>
      <c r="R57" s="4">
        <v>0</v>
      </c>
      <c r="S57" s="4">
        <v>0</v>
      </c>
      <c r="T57" s="4">
        <v>0</v>
      </c>
      <c r="U57" s="4">
        <v>0</v>
      </c>
      <c r="V57" s="4">
        <v>0</v>
      </c>
      <c r="W57" s="4">
        <v>0</v>
      </c>
      <c r="X57" s="44">
        <v>0</v>
      </c>
      <c r="Y57" s="44">
        <v>0</v>
      </c>
      <c r="Z57" s="4">
        <f t="shared" si="1"/>
        <v>0</v>
      </c>
      <c r="AA57" s="4">
        <f t="shared" si="2"/>
        <v>0</v>
      </c>
      <c r="AB57" s="4">
        <f t="shared" si="3"/>
        <v>0</v>
      </c>
      <c r="AC57" s="4">
        <f t="shared" si="4"/>
        <v>0</v>
      </c>
      <c r="AD57" s="4">
        <f t="shared" si="5"/>
        <v>0</v>
      </c>
    </row>
    <row r="58" spans="1:30" x14ac:dyDescent="0.25">
      <c r="A58" s="40">
        <v>42661</v>
      </c>
      <c r="B58" s="39">
        <v>0.41666666666666669</v>
      </c>
      <c r="C58" s="40">
        <v>42662</v>
      </c>
      <c r="D58" s="39">
        <v>0.4375</v>
      </c>
      <c r="E58" s="41">
        <v>24.5</v>
      </c>
      <c r="F58" s="42">
        <v>1.5</v>
      </c>
      <c r="G58" s="42">
        <v>1.8</v>
      </c>
      <c r="H58" s="4">
        <v>2197</v>
      </c>
      <c r="I58" s="4">
        <v>2375</v>
      </c>
      <c r="J58" s="41">
        <f t="shared" si="0"/>
        <v>46.401851851851852</v>
      </c>
      <c r="K58" s="4">
        <v>5600</v>
      </c>
      <c r="L58" s="4">
        <v>61</v>
      </c>
      <c r="M58" s="43">
        <v>6.68</v>
      </c>
      <c r="N58" s="4">
        <v>38</v>
      </c>
      <c r="O58" s="4">
        <v>40</v>
      </c>
      <c r="P58" s="4">
        <v>0</v>
      </c>
      <c r="Q58" s="4">
        <v>0</v>
      </c>
      <c r="R58" s="4">
        <v>2</v>
      </c>
      <c r="S58" s="4">
        <v>0</v>
      </c>
      <c r="T58" s="4">
        <v>0</v>
      </c>
      <c r="U58" s="4">
        <v>0</v>
      </c>
      <c r="V58" s="4">
        <v>0</v>
      </c>
      <c r="W58" s="4">
        <v>0</v>
      </c>
      <c r="X58" s="44">
        <v>0</v>
      </c>
      <c r="Y58" s="44">
        <v>0</v>
      </c>
      <c r="Z58" s="4">
        <f t="shared" si="1"/>
        <v>0</v>
      </c>
      <c r="AA58" s="4">
        <f t="shared" si="2"/>
        <v>0</v>
      </c>
      <c r="AB58" s="4">
        <f t="shared" si="3"/>
        <v>4.3101728060023145E-2</v>
      </c>
      <c r="AC58" s="4">
        <f t="shared" si="4"/>
        <v>0</v>
      </c>
      <c r="AD58" s="4">
        <f t="shared" si="5"/>
        <v>0</v>
      </c>
    </row>
    <row r="59" spans="1:30" x14ac:dyDescent="0.25">
      <c r="A59" s="40">
        <v>42662</v>
      </c>
      <c r="B59" s="39">
        <v>0.4375</v>
      </c>
      <c r="C59" s="40">
        <v>42663</v>
      </c>
      <c r="D59" s="39">
        <v>0.40625</v>
      </c>
      <c r="E59" s="41">
        <v>23.15</v>
      </c>
      <c r="F59" s="42">
        <v>1.5</v>
      </c>
      <c r="G59" s="42">
        <v>1.8</v>
      </c>
      <c r="H59" s="4">
        <v>1994</v>
      </c>
      <c r="I59" s="4">
        <v>2718</v>
      </c>
      <c r="J59" s="41">
        <f t="shared" si="0"/>
        <v>47.322222222222216</v>
      </c>
      <c r="K59" s="4">
        <v>5320</v>
      </c>
      <c r="L59" s="4">
        <v>61</v>
      </c>
      <c r="M59" s="43">
        <v>9.3000000000000007</v>
      </c>
      <c r="N59" s="4">
        <v>36</v>
      </c>
      <c r="O59" s="4">
        <v>40</v>
      </c>
      <c r="P59" s="4">
        <v>0</v>
      </c>
      <c r="Q59" s="4">
        <v>0</v>
      </c>
      <c r="R59" s="4">
        <v>3</v>
      </c>
      <c r="S59" s="4">
        <v>0</v>
      </c>
      <c r="T59" s="4">
        <v>0</v>
      </c>
      <c r="U59" s="4">
        <v>0</v>
      </c>
      <c r="V59" s="4">
        <v>0</v>
      </c>
      <c r="W59" s="4">
        <v>0</v>
      </c>
      <c r="X59" s="44">
        <v>0</v>
      </c>
      <c r="Y59" s="44">
        <v>0</v>
      </c>
      <c r="Z59" s="4">
        <f t="shared" si="1"/>
        <v>0</v>
      </c>
      <c r="AA59" s="4">
        <f t="shared" si="2"/>
        <v>0</v>
      </c>
      <c r="AB59" s="4">
        <f t="shared" si="3"/>
        <v>6.3395163183845984E-2</v>
      </c>
      <c r="AC59" s="4">
        <f t="shared" si="4"/>
        <v>0</v>
      </c>
      <c r="AD59" s="4">
        <f t="shared" si="5"/>
        <v>0</v>
      </c>
    </row>
    <row r="60" spans="1:30" x14ac:dyDescent="0.25">
      <c r="A60" s="40">
        <v>42663</v>
      </c>
      <c r="B60" s="39">
        <v>0.40625</v>
      </c>
      <c r="C60" s="40">
        <v>42664</v>
      </c>
      <c r="D60" s="39">
        <v>0.40625</v>
      </c>
      <c r="E60" s="41">
        <v>24</v>
      </c>
      <c r="F60" s="42">
        <v>1.4</v>
      </c>
      <c r="G60" s="42">
        <v>1.6</v>
      </c>
      <c r="H60" s="4">
        <v>2001</v>
      </c>
      <c r="I60" s="4">
        <v>2440</v>
      </c>
      <c r="J60" s="41">
        <f t="shared" si="0"/>
        <v>49.238095238095248</v>
      </c>
      <c r="K60" s="4">
        <v>4780</v>
      </c>
      <c r="L60" s="4">
        <v>65</v>
      </c>
      <c r="M60" s="43">
        <v>9.08</v>
      </c>
      <c r="N60" s="4">
        <v>34</v>
      </c>
      <c r="O60" s="4">
        <v>40</v>
      </c>
      <c r="P60" s="4">
        <v>0</v>
      </c>
      <c r="Q60" s="4">
        <v>0</v>
      </c>
      <c r="R60" s="4">
        <v>3</v>
      </c>
      <c r="S60" s="4">
        <v>0</v>
      </c>
      <c r="T60" s="4">
        <v>0</v>
      </c>
      <c r="U60" s="4">
        <v>0</v>
      </c>
      <c r="V60" s="4">
        <v>0</v>
      </c>
      <c r="W60" s="4">
        <v>0</v>
      </c>
      <c r="X60" s="44">
        <v>0</v>
      </c>
      <c r="Y60" s="44">
        <v>0</v>
      </c>
      <c r="Z60" s="4">
        <f t="shared" si="1"/>
        <v>0</v>
      </c>
      <c r="AA60" s="4">
        <f t="shared" si="2"/>
        <v>0</v>
      </c>
      <c r="AB60" s="4">
        <f t="shared" si="3"/>
        <v>6.0928433268858787E-2</v>
      </c>
      <c r="AC60" s="4">
        <f t="shared" si="4"/>
        <v>0</v>
      </c>
      <c r="AD60" s="4">
        <f t="shared" si="5"/>
        <v>0</v>
      </c>
    </row>
    <row r="61" spans="1:30" x14ac:dyDescent="0.25">
      <c r="A61" s="40">
        <v>42664</v>
      </c>
      <c r="B61" s="39">
        <v>0.40625</v>
      </c>
      <c r="C61" s="40">
        <v>42665</v>
      </c>
      <c r="D61" s="39">
        <v>0.44791666666666669</v>
      </c>
      <c r="E61" s="41">
        <v>25</v>
      </c>
      <c r="F61" s="42">
        <v>1.4</v>
      </c>
      <c r="G61" s="42">
        <v>1.6</v>
      </c>
      <c r="H61" s="4">
        <v>1925</v>
      </c>
      <c r="I61" s="4">
        <v>2374</v>
      </c>
      <c r="J61" s="41">
        <f t="shared" si="0"/>
        <v>47.645833333333336</v>
      </c>
      <c r="K61" s="4">
        <v>4650</v>
      </c>
      <c r="L61" s="4">
        <v>62</v>
      </c>
      <c r="M61" s="43">
        <v>9.9</v>
      </c>
      <c r="N61" s="4">
        <v>32</v>
      </c>
      <c r="O61" s="4">
        <v>39</v>
      </c>
      <c r="P61" s="4">
        <v>0</v>
      </c>
      <c r="Q61" s="4">
        <v>1</v>
      </c>
      <c r="R61" s="4">
        <v>1</v>
      </c>
      <c r="S61" s="4">
        <v>0</v>
      </c>
      <c r="T61" s="4">
        <v>0</v>
      </c>
      <c r="U61" s="4">
        <v>0</v>
      </c>
      <c r="V61" s="4">
        <v>0</v>
      </c>
      <c r="W61" s="4">
        <v>0</v>
      </c>
      <c r="X61" s="44">
        <v>0</v>
      </c>
      <c r="Y61" s="44">
        <v>0</v>
      </c>
      <c r="Z61" s="4">
        <f t="shared" si="1"/>
        <v>0</v>
      </c>
      <c r="AA61" s="4">
        <f t="shared" si="2"/>
        <v>2.09881941407958E-2</v>
      </c>
      <c r="AB61" s="4">
        <f t="shared" si="3"/>
        <v>2.09881941407958E-2</v>
      </c>
      <c r="AC61" s="4">
        <f t="shared" si="4"/>
        <v>0</v>
      </c>
      <c r="AD61" s="4">
        <f t="shared" si="5"/>
        <v>0</v>
      </c>
    </row>
    <row r="62" spans="1:30" x14ac:dyDescent="0.25">
      <c r="A62" s="40">
        <v>42665</v>
      </c>
      <c r="B62" s="39">
        <v>0.44791666666666669</v>
      </c>
      <c r="C62" s="40">
        <v>42666</v>
      </c>
      <c r="D62" s="39">
        <v>0.44791666666666669</v>
      </c>
      <c r="E62" s="41">
        <v>24</v>
      </c>
      <c r="F62" s="42">
        <v>1.4</v>
      </c>
      <c r="G62" s="42">
        <v>1.7</v>
      </c>
      <c r="H62" s="4">
        <v>1891</v>
      </c>
      <c r="I62" s="4">
        <v>2245</v>
      </c>
      <c r="J62" s="41">
        <f t="shared" si="0"/>
        <v>44.521708683473392</v>
      </c>
      <c r="K62" s="4">
        <v>4340</v>
      </c>
      <c r="L62" s="4">
        <v>62</v>
      </c>
      <c r="M62" s="43">
        <v>7.5</v>
      </c>
      <c r="P62" s="4">
        <v>0</v>
      </c>
      <c r="Q62" s="4">
        <v>0</v>
      </c>
      <c r="R62" s="4">
        <v>0</v>
      </c>
      <c r="S62" s="4">
        <v>0</v>
      </c>
      <c r="T62" s="4">
        <v>0</v>
      </c>
      <c r="U62" s="4">
        <v>0</v>
      </c>
      <c r="V62" s="4">
        <v>0</v>
      </c>
      <c r="W62" s="4">
        <v>0</v>
      </c>
      <c r="X62" s="44">
        <v>0</v>
      </c>
      <c r="Y62" s="44">
        <v>0</v>
      </c>
      <c r="Z62" s="4">
        <f t="shared" si="1"/>
        <v>0</v>
      </c>
      <c r="AA62" s="4">
        <f t="shared" si="2"/>
        <v>0</v>
      </c>
      <c r="AB62" s="4">
        <f t="shared" si="3"/>
        <v>0</v>
      </c>
      <c r="AC62" s="4">
        <f t="shared" si="4"/>
        <v>0</v>
      </c>
      <c r="AD62" s="4">
        <f t="shared" si="5"/>
        <v>0</v>
      </c>
    </row>
    <row r="63" spans="1:30" x14ac:dyDescent="0.25">
      <c r="A63" s="40">
        <v>42666</v>
      </c>
      <c r="B63" s="39">
        <v>0.44791666666666669</v>
      </c>
      <c r="C63" s="40">
        <v>42667</v>
      </c>
      <c r="D63" s="39">
        <v>0.40625</v>
      </c>
      <c r="E63" s="41">
        <v>23</v>
      </c>
      <c r="F63" s="42">
        <v>1.2</v>
      </c>
      <c r="G63" s="42">
        <v>1.6</v>
      </c>
      <c r="H63" s="4">
        <v>1355</v>
      </c>
      <c r="I63" s="4">
        <v>2037</v>
      </c>
      <c r="J63" s="41">
        <f t="shared" si="0"/>
        <v>40.03819444444445</v>
      </c>
      <c r="K63" s="4">
        <v>4070</v>
      </c>
      <c r="L63" s="4">
        <v>62</v>
      </c>
      <c r="M63" s="43">
        <v>4.66</v>
      </c>
      <c r="P63" s="4">
        <v>0</v>
      </c>
      <c r="Q63" s="4">
        <v>0</v>
      </c>
      <c r="R63" s="4">
        <v>0</v>
      </c>
      <c r="S63" s="4">
        <v>0</v>
      </c>
      <c r="T63" s="4">
        <v>0</v>
      </c>
      <c r="U63" s="4">
        <v>0</v>
      </c>
      <c r="V63" s="4">
        <v>0</v>
      </c>
      <c r="W63" s="4">
        <v>0</v>
      </c>
      <c r="X63" s="44">
        <v>0</v>
      </c>
      <c r="Y63" s="44">
        <v>0</v>
      </c>
      <c r="Z63" s="4">
        <f t="shared" si="1"/>
        <v>0</v>
      </c>
      <c r="AA63" s="4">
        <f t="shared" si="2"/>
        <v>0</v>
      </c>
      <c r="AB63" s="4">
        <f t="shared" si="3"/>
        <v>0</v>
      </c>
      <c r="AC63" s="4">
        <f t="shared" si="4"/>
        <v>0</v>
      </c>
      <c r="AD63" s="4">
        <f t="shared" si="5"/>
        <v>0</v>
      </c>
    </row>
    <row r="64" spans="1:30" x14ac:dyDescent="0.25">
      <c r="A64" s="40">
        <v>42667</v>
      </c>
      <c r="B64" s="39">
        <v>0.40625</v>
      </c>
      <c r="C64" s="40">
        <v>42668</v>
      </c>
      <c r="D64" s="39">
        <v>0.44791666666666669</v>
      </c>
      <c r="E64" s="41">
        <v>25</v>
      </c>
      <c r="F64" s="42">
        <v>1.1000000000000001</v>
      </c>
      <c r="G64" s="42">
        <v>1.4</v>
      </c>
      <c r="H64" s="4">
        <v>1193</v>
      </c>
      <c r="I64" s="4">
        <v>2023</v>
      </c>
      <c r="J64" s="41">
        <f t="shared" si="0"/>
        <v>42.159090909090907</v>
      </c>
      <c r="K64" s="4">
        <v>4020</v>
      </c>
      <c r="L64" s="4">
        <v>62</v>
      </c>
      <c r="M64" s="43">
        <v>8.8000000000000007</v>
      </c>
      <c r="P64" s="4">
        <v>0</v>
      </c>
      <c r="Q64" s="4">
        <v>0</v>
      </c>
      <c r="R64" s="4">
        <v>0</v>
      </c>
      <c r="S64" s="4">
        <v>0</v>
      </c>
      <c r="T64" s="4">
        <v>0</v>
      </c>
      <c r="U64" s="4">
        <v>0</v>
      </c>
      <c r="V64" s="4">
        <v>0</v>
      </c>
      <c r="W64" s="4">
        <v>0</v>
      </c>
      <c r="X64" s="44">
        <v>0</v>
      </c>
      <c r="Y64" s="44">
        <v>0</v>
      </c>
      <c r="Z64" s="4">
        <f t="shared" si="1"/>
        <v>0</v>
      </c>
      <c r="AA64" s="4">
        <f t="shared" si="2"/>
        <v>0</v>
      </c>
      <c r="AB64" s="4">
        <f t="shared" si="3"/>
        <v>0</v>
      </c>
      <c r="AC64" s="4">
        <f t="shared" si="4"/>
        <v>0</v>
      </c>
      <c r="AD64" s="4">
        <f t="shared" si="5"/>
        <v>0</v>
      </c>
    </row>
    <row r="65" spans="1:30" x14ac:dyDescent="0.25">
      <c r="A65" s="40">
        <v>42668</v>
      </c>
      <c r="B65" s="39">
        <v>0.44791666666666669</v>
      </c>
      <c r="C65" s="40">
        <v>42669</v>
      </c>
      <c r="D65" s="39">
        <v>0.41666666666666669</v>
      </c>
      <c r="E65" s="41">
        <v>23.25</v>
      </c>
      <c r="F65" s="42">
        <v>1.2</v>
      </c>
      <c r="G65" s="42">
        <v>1.5</v>
      </c>
      <c r="H65" s="4">
        <v>1655</v>
      </c>
      <c r="I65" s="4">
        <v>1878</v>
      </c>
      <c r="J65" s="41">
        <f t="shared" si="0"/>
        <v>43.852777777777781</v>
      </c>
      <c r="K65" s="4">
        <v>4480</v>
      </c>
      <c r="L65" s="4">
        <v>62</v>
      </c>
      <c r="M65" s="43">
        <v>6.33</v>
      </c>
      <c r="P65" s="4">
        <v>0</v>
      </c>
      <c r="Q65" s="4">
        <v>0</v>
      </c>
      <c r="R65" s="4">
        <v>0</v>
      </c>
      <c r="S65" s="4">
        <v>0</v>
      </c>
      <c r="T65" s="4">
        <v>0</v>
      </c>
      <c r="U65" s="4">
        <v>0</v>
      </c>
      <c r="V65" s="4">
        <v>0</v>
      </c>
      <c r="W65" s="4">
        <v>0</v>
      </c>
      <c r="X65" s="44">
        <v>0</v>
      </c>
      <c r="Y65" s="44">
        <v>0</v>
      </c>
      <c r="Z65" s="4">
        <f t="shared" si="1"/>
        <v>0</v>
      </c>
      <c r="AA65" s="4">
        <f t="shared" si="2"/>
        <v>0</v>
      </c>
      <c r="AB65" s="4">
        <f t="shared" si="3"/>
        <v>0</v>
      </c>
      <c r="AC65" s="4">
        <f t="shared" si="4"/>
        <v>0</v>
      </c>
      <c r="AD65" s="4">
        <f t="shared" si="5"/>
        <v>0</v>
      </c>
    </row>
    <row r="66" spans="1:30" x14ac:dyDescent="0.25">
      <c r="A66" s="40">
        <v>42669</v>
      </c>
      <c r="B66" s="39">
        <v>0.41666666666666669</v>
      </c>
      <c r="C66" s="40">
        <v>42670</v>
      </c>
      <c r="D66" s="39">
        <v>0.42708333333333331</v>
      </c>
      <c r="E66" s="41">
        <v>24.25</v>
      </c>
      <c r="F66" s="42">
        <v>1.3</v>
      </c>
      <c r="G66" s="42">
        <v>1.7</v>
      </c>
      <c r="H66" s="4">
        <v>1215</v>
      </c>
      <c r="I66" s="4">
        <v>2384</v>
      </c>
      <c r="J66" s="41">
        <f t="shared" si="0"/>
        <v>38.949472096530918</v>
      </c>
      <c r="K66" s="4">
        <v>6380</v>
      </c>
      <c r="L66" s="4">
        <v>62</v>
      </c>
      <c r="M66" s="43">
        <v>11.21</v>
      </c>
      <c r="P66" s="4">
        <v>0</v>
      </c>
      <c r="Q66" s="4">
        <v>0</v>
      </c>
      <c r="R66" s="4">
        <v>0</v>
      </c>
      <c r="S66" s="4">
        <v>0</v>
      </c>
      <c r="T66" s="4">
        <v>0</v>
      </c>
      <c r="U66" s="4">
        <v>0</v>
      </c>
      <c r="V66" s="4">
        <v>0</v>
      </c>
      <c r="W66" s="4">
        <v>0</v>
      </c>
      <c r="X66" s="44">
        <v>0</v>
      </c>
      <c r="Y66" s="44">
        <v>0</v>
      </c>
      <c r="Z66" s="4">
        <f t="shared" si="1"/>
        <v>0</v>
      </c>
      <c r="AA66" s="4">
        <f t="shared" si="2"/>
        <v>0</v>
      </c>
      <c r="AB66" s="4">
        <f t="shared" si="3"/>
        <v>0</v>
      </c>
      <c r="AC66" s="4">
        <f t="shared" si="4"/>
        <v>0</v>
      </c>
      <c r="AD66" s="4">
        <f t="shared" si="5"/>
        <v>0</v>
      </c>
    </row>
    <row r="67" spans="1:30" x14ac:dyDescent="0.25">
      <c r="A67" s="40">
        <v>42670</v>
      </c>
      <c r="B67" s="39">
        <v>0.42708333333333331</v>
      </c>
      <c r="C67" s="40">
        <v>42671</v>
      </c>
      <c r="D67" s="39">
        <v>0.40625</v>
      </c>
      <c r="E67" s="41">
        <v>23.5</v>
      </c>
      <c r="F67" s="42">
        <v>1.6</v>
      </c>
      <c r="G67" s="42">
        <v>1.9</v>
      </c>
      <c r="H67" s="4">
        <v>923</v>
      </c>
      <c r="I67" s="4">
        <v>437</v>
      </c>
      <c r="J67" s="41">
        <f t="shared" si="0"/>
        <v>13.447916666666666</v>
      </c>
      <c r="K67" s="4">
        <v>4660</v>
      </c>
      <c r="L67" s="4">
        <v>62</v>
      </c>
      <c r="M67" s="43">
        <v>12.8</v>
      </c>
      <c r="P67" s="4">
        <v>0</v>
      </c>
      <c r="Q67" s="4">
        <v>0</v>
      </c>
      <c r="R67" s="4">
        <v>0</v>
      </c>
      <c r="S67" s="4">
        <v>0</v>
      </c>
      <c r="T67" s="4">
        <v>0</v>
      </c>
      <c r="U67" s="4">
        <v>0</v>
      </c>
      <c r="V67" s="4">
        <v>0</v>
      </c>
      <c r="W67" s="4">
        <v>0</v>
      </c>
      <c r="X67" s="44">
        <v>0</v>
      </c>
      <c r="Y67" s="44">
        <v>0</v>
      </c>
      <c r="Z67" s="4">
        <f t="shared" si="1"/>
        <v>0</v>
      </c>
      <c r="AA67" s="4">
        <f t="shared" si="2"/>
        <v>0</v>
      </c>
      <c r="AB67" s="4">
        <f t="shared" si="3"/>
        <v>0</v>
      </c>
      <c r="AC67" s="4">
        <f t="shared" si="4"/>
        <v>0</v>
      </c>
      <c r="AD67" s="4">
        <f t="shared" si="5"/>
        <v>0</v>
      </c>
    </row>
    <row r="68" spans="1:30" x14ac:dyDescent="0.25">
      <c r="A68" s="40">
        <v>42671</v>
      </c>
      <c r="B68" s="39">
        <v>0.40625</v>
      </c>
      <c r="C68" s="40">
        <v>42672</v>
      </c>
      <c r="D68" s="39">
        <v>0.44791666666666669</v>
      </c>
      <c r="E68" s="41">
        <v>25</v>
      </c>
      <c r="F68" s="42">
        <v>1.7</v>
      </c>
      <c r="G68" s="42">
        <v>1.9</v>
      </c>
      <c r="H68" s="4">
        <v>845</v>
      </c>
      <c r="I68" s="4">
        <v>2857</v>
      </c>
      <c r="J68" s="41">
        <f t="shared" si="0"/>
        <v>33.345717234262125</v>
      </c>
      <c r="K68" s="4">
        <v>6360</v>
      </c>
      <c r="L68" s="4">
        <v>63</v>
      </c>
      <c r="M68" s="43">
        <v>15.3</v>
      </c>
      <c r="N68" s="4">
        <v>45</v>
      </c>
      <c r="O68" s="4">
        <v>45</v>
      </c>
      <c r="P68" s="4">
        <v>0</v>
      </c>
      <c r="Q68" s="4">
        <v>0</v>
      </c>
      <c r="R68" s="4">
        <v>1</v>
      </c>
      <c r="S68" s="4">
        <v>0</v>
      </c>
      <c r="T68" s="4">
        <v>0</v>
      </c>
      <c r="U68" s="4">
        <v>0</v>
      </c>
      <c r="V68" s="4">
        <v>0</v>
      </c>
      <c r="W68" s="4">
        <v>0</v>
      </c>
      <c r="X68" s="44">
        <v>0</v>
      </c>
      <c r="Y68" s="44">
        <v>0</v>
      </c>
      <c r="Z68" s="4">
        <f t="shared" si="1"/>
        <v>0</v>
      </c>
      <c r="AA68" s="4">
        <f t="shared" si="2"/>
        <v>0</v>
      </c>
      <c r="AB68" s="4">
        <f t="shared" si="3"/>
        <v>2.998885862837336E-2</v>
      </c>
      <c r="AC68" s="4">
        <f t="shared" si="4"/>
        <v>0</v>
      </c>
      <c r="AD68" s="4">
        <f t="shared" si="5"/>
        <v>0</v>
      </c>
    </row>
    <row r="69" spans="1:30" x14ac:dyDescent="0.25">
      <c r="A69" s="40">
        <v>42672</v>
      </c>
      <c r="B69" s="39">
        <v>0.44791666666666669</v>
      </c>
      <c r="C69" s="40">
        <v>42673</v>
      </c>
      <c r="D69" s="39">
        <v>0.44791666666666669</v>
      </c>
      <c r="E69" s="41">
        <v>24</v>
      </c>
      <c r="F69" s="42">
        <v>1.7</v>
      </c>
      <c r="G69" s="42">
        <v>1.7</v>
      </c>
      <c r="H69" s="4">
        <v>466</v>
      </c>
      <c r="I69" s="4">
        <v>2693</v>
      </c>
      <c r="J69" s="41">
        <f t="shared" si="0"/>
        <v>30.970588235294123</v>
      </c>
      <c r="K69" s="4">
        <v>7640</v>
      </c>
      <c r="L69" s="4">
        <v>62</v>
      </c>
      <c r="M69" s="43">
        <v>15.85</v>
      </c>
      <c r="P69" s="4">
        <v>0</v>
      </c>
      <c r="Q69" s="4">
        <v>0</v>
      </c>
      <c r="R69" s="4">
        <v>0</v>
      </c>
      <c r="S69" s="4">
        <v>0</v>
      </c>
      <c r="T69" s="4">
        <v>0</v>
      </c>
      <c r="U69" s="4">
        <v>0</v>
      </c>
      <c r="V69" s="4">
        <v>0</v>
      </c>
      <c r="W69" s="4">
        <v>0</v>
      </c>
      <c r="X69" s="44">
        <v>0</v>
      </c>
      <c r="Y69" s="44">
        <v>0</v>
      </c>
      <c r="Z69" s="4">
        <f t="shared" si="1"/>
        <v>0</v>
      </c>
      <c r="AA69" s="4">
        <f t="shared" si="2"/>
        <v>0</v>
      </c>
      <c r="AB69" s="4">
        <f t="shared" si="3"/>
        <v>0</v>
      </c>
      <c r="AC69" s="4">
        <f t="shared" si="4"/>
        <v>0</v>
      </c>
      <c r="AD69" s="4">
        <f t="shared" si="5"/>
        <v>0</v>
      </c>
    </row>
    <row r="70" spans="1:30" x14ac:dyDescent="0.25">
      <c r="A70" s="40">
        <v>42673</v>
      </c>
      <c r="B70" s="39">
        <v>0.44791666666666669</v>
      </c>
      <c r="C70" s="40">
        <v>42674</v>
      </c>
      <c r="D70" s="39">
        <v>0.39583333333333331</v>
      </c>
      <c r="E70" s="41">
        <v>22.75</v>
      </c>
      <c r="F70" s="42">
        <v>1.9</v>
      </c>
      <c r="G70" s="42">
        <v>2.2999999999999998</v>
      </c>
      <c r="H70" s="4">
        <v>584</v>
      </c>
      <c r="I70" s="4">
        <v>2277</v>
      </c>
      <c r="J70" s="41">
        <f t="shared" si="0"/>
        <v>21.62280701754386</v>
      </c>
      <c r="K70" s="4">
        <v>8080</v>
      </c>
      <c r="L70" s="4">
        <v>62</v>
      </c>
      <c r="M70" s="43">
        <v>16.2</v>
      </c>
      <c r="N70" s="4">
        <v>41</v>
      </c>
      <c r="O70" s="4">
        <v>59</v>
      </c>
      <c r="P70" s="4">
        <v>0</v>
      </c>
      <c r="Q70" s="4">
        <v>0</v>
      </c>
      <c r="R70" s="4">
        <v>2</v>
      </c>
      <c r="S70" s="4">
        <v>0</v>
      </c>
      <c r="T70" s="4">
        <v>0</v>
      </c>
      <c r="U70" s="4">
        <v>0</v>
      </c>
      <c r="V70" s="4">
        <v>0</v>
      </c>
      <c r="W70" s="4">
        <v>0</v>
      </c>
      <c r="X70" s="44">
        <v>0</v>
      </c>
      <c r="Y70" s="44">
        <v>0</v>
      </c>
      <c r="Z70" s="4">
        <f t="shared" si="1"/>
        <v>0</v>
      </c>
      <c r="AA70" s="4">
        <f t="shared" si="2"/>
        <v>0</v>
      </c>
      <c r="AB70" s="4">
        <f t="shared" si="3"/>
        <v>9.2494929006085191E-2</v>
      </c>
      <c r="AC70" s="4">
        <f t="shared" si="4"/>
        <v>0</v>
      </c>
      <c r="AD70" s="4">
        <f t="shared" si="5"/>
        <v>0</v>
      </c>
    </row>
    <row r="71" spans="1:30" x14ac:dyDescent="0.25">
      <c r="A71" s="40">
        <v>42674</v>
      </c>
      <c r="B71" s="39">
        <v>0.39583333333333331</v>
      </c>
      <c r="C71" s="40">
        <v>42675</v>
      </c>
      <c r="D71" s="39">
        <v>0.41666666666666669</v>
      </c>
      <c r="E71" s="41">
        <v>24.5</v>
      </c>
      <c r="F71" s="42">
        <v>2</v>
      </c>
      <c r="G71" s="42">
        <v>2.2999999999999998</v>
      </c>
      <c r="H71" s="4">
        <v>2864</v>
      </c>
      <c r="I71" s="4">
        <v>742</v>
      </c>
      <c r="J71" s="41">
        <f t="shared" si="0"/>
        <v>29.243478260869566</v>
      </c>
      <c r="K71" s="4">
        <v>8600</v>
      </c>
      <c r="L71" s="4">
        <v>61</v>
      </c>
      <c r="M71" s="43">
        <v>16.28</v>
      </c>
      <c r="N71" s="4">
        <v>56</v>
      </c>
      <c r="O71" s="4">
        <v>56</v>
      </c>
      <c r="P71" s="4">
        <v>0</v>
      </c>
      <c r="Q71" s="4">
        <v>0</v>
      </c>
      <c r="R71" s="4">
        <v>1</v>
      </c>
      <c r="S71" s="4">
        <v>0</v>
      </c>
      <c r="T71" s="4">
        <v>0</v>
      </c>
      <c r="U71" s="4">
        <v>0</v>
      </c>
      <c r="V71" s="4">
        <v>0</v>
      </c>
      <c r="W71" s="4">
        <v>0</v>
      </c>
      <c r="X71" s="44">
        <v>0</v>
      </c>
      <c r="Y71" s="44">
        <v>0</v>
      </c>
      <c r="Z71" s="4">
        <f t="shared" si="1"/>
        <v>0</v>
      </c>
      <c r="AA71" s="4">
        <f t="shared" si="2"/>
        <v>0</v>
      </c>
      <c r="AB71" s="4">
        <f t="shared" si="3"/>
        <v>3.4195658638120727E-2</v>
      </c>
      <c r="AC71" s="4">
        <f t="shared" si="4"/>
        <v>0</v>
      </c>
      <c r="AD71" s="4">
        <f t="shared" si="5"/>
        <v>0</v>
      </c>
    </row>
    <row r="72" spans="1:30" x14ac:dyDescent="0.25">
      <c r="A72" s="40">
        <v>42675</v>
      </c>
      <c r="B72" s="39">
        <v>0.41666666666666669</v>
      </c>
      <c r="C72" s="40">
        <v>42676</v>
      </c>
      <c r="D72" s="39">
        <v>0.41666666666666669</v>
      </c>
      <c r="E72" s="41">
        <v>24</v>
      </c>
      <c r="F72" s="42">
        <v>2.2000000000000002</v>
      </c>
      <c r="G72" s="42">
        <v>2.4</v>
      </c>
      <c r="H72" s="4">
        <v>1085</v>
      </c>
      <c r="I72" s="4">
        <v>3628</v>
      </c>
      <c r="J72" s="41">
        <f t="shared" si="0"/>
        <v>33.414141414141419</v>
      </c>
      <c r="K72" s="4">
        <v>9900</v>
      </c>
      <c r="L72" s="4">
        <v>60</v>
      </c>
      <c r="M72" s="43">
        <v>14.95</v>
      </c>
      <c r="N72" s="4">
        <v>38</v>
      </c>
      <c r="O72" s="4">
        <v>38</v>
      </c>
      <c r="P72" s="4">
        <v>0</v>
      </c>
      <c r="Q72" s="4">
        <v>0</v>
      </c>
      <c r="R72" s="4">
        <v>1</v>
      </c>
      <c r="S72" s="4">
        <v>0</v>
      </c>
      <c r="T72" s="4">
        <v>0</v>
      </c>
      <c r="U72" s="4">
        <v>0</v>
      </c>
      <c r="V72" s="4">
        <v>0</v>
      </c>
      <c r="W72" s="4">
        <v>0</v>
      </c>
      <c r="X72" s="44">
        <v>0</v>
      </c>
      <c r="Y72" s="44">
        <v>0</v>
      </c>
      <c r="Z72" s="4">
        <f t="shared" si="1"/>
        <v>0</v>
      </c>
      <c r="AA72" s="4">
        <f t="shared" si="2"/>
        <v>0</v>
      </c>
      <c r="AB72" s="4">
        <f t="shared" si="3"/>
        <v>2.9927448609431678E-2</v>
      </c>
      <c r="AC72" s="4">
        <f t="shared" si="4"/>
        <v>0</v>
      </c>
      <c r="AD72" s="4">
        <f t="shared" si="5"/>
        <v>0</v>
      </c>
    </row>
    <row r="73" spans="1:30" x14ac:dyDescent="0.25">
      <c r="A73" s="40">
        <v>42676</v>
      </c>
      <c r="B73" s="39">
        <v>0.41666666666666669</v>
      </c>
      <c r="C73" s="40">
        <v>42677</v>
      </c>
      <c r="D73" s="39">
        <v>0.45833333333333331</v>
      </c>
      <c r="E73" s="41">
        <v>25</v>
      </c>
      <c r="F73" s="42">
        <v>2.2000000000000002</v>
      </c>
      <c r="G73" s="42">
        <v>2.6</v>
      </c>
      <c r="H73" s="4">
        <v>566</v>
      </c>
      <c r="I73" s="4">
        <v>2036</v>
      </c>
      <c r="J73" s="41">
        <f t="shared" si="0"/>
        <v>17.33916083916084</v>
      </c>
      <c r="K73" s="4">
        <v>11700</v>
      </c>
      <c r="L73" s="4">
        <v>59</v>
      </c>
      <c r="M73" s="43">
        <v>33.200000000000003</v>
      </c>
      <c r="N73" s="4">
        <v>55</v>
      </c>
      <c r="O73" s="4">
        <v>55</v>
      </c>
      <c r="P73" s="4">
        <v>0</v>
      </c>
      <c r="Q73" s="4">
        <v>0</v>
      </c>
      <c r="R73" s="4">
        <v>1</v>
      </c>
      <c r="S73" s="4">
        <v>0</v>
      </c>
      <c r="T73" s="4">
        <v>0</v>
      </c>
      <c r="U73" s="4">
        <v>0</v>
      </c>
      <c r="V73" s="4">
        <v>0</v>
      </c>
      <c r="W73" s="4">
        <v>0</v>
      </c>
      <c r="X73" s="44">
        <v>0</v>
      </c>
      <c r="Y73" s="44">
        <v>0</v>
      </c>
      <c r="Z73" s="4">
        <f t="shared" si="1"/>
        <v>0</v>
      </c>
      <c r="AA73" s="4">
        <f t="shared" si="2"/>
        <v>0</v>
      </c>
      <c r="AB73" s="4">
        <f t="shared" si="3"/>
        <v>5.767291792700141E-2</v>
      </c>
      <c r="AC73" s="4">
        <f t="shared" si="4"/>
        <v>0</v>
      </c>
      <c r="AD73" s="4">
        <f t="shared" si="5"/>
        <v>0</v>
      </c>
    </row>
    <row r="74" spans="1:30" x14ac:dyDescent="0.25">
      <c r="A74" s="40">
        <v>42677</v>
      </c>
      <c r="B74" s="39">
        <v>0.45833333333333331</v>
      </c>
      <c r="C74" s="40">
        <v>42678</v>
      </c>
      <c r="D74" s="39">
        <v>0.4375</v>
      </c>
      <c r="E74" s="41">
        <v>23.5</v>
      </c>
      <c r="F74" s="42">
        <v>2.6</v>
      </c>
      <c r="G74" s="42">
        <v>2.6</v>
      </c>
      <c r="H74" s="4">
        <v>647</v>
      </c>
      <c r="I74" s="4">
        <v>749</v>
      </c>
      <c r="J74" s="41">
        <f t="shared" si="0"/>
        <v>8.9487179487179489</v>
      </c>
      <c r="K74" s="4">
        <v>9590</v>
      </c>
      <c r="L74" s="4">
        <v>60</v>
      </c>
      <c r="M74" s="43">
        <v>26.2</v>
      </c>
      <c r="N74" s="4">
        <v>38</v>
      </c>
      <c r="O74" s="4">
        <v>63</v>
      </c>
      <c r="P74" s="4">
        <v>0</v>
      </c>
      <c r="Q74" s="4">
        <v>1</v>
      </c>
      <c r="R74" s="4">
        <v>6</v>
      </c>
      <c r="S74" s="4">
        <v>0</v>
      </c>
      <c r="T74" s="4">
        <v>0</v>
      </c>
      <c r="U74" s="4">
        <v>0</v>
      </c>
      <c r="V74" s="4">
        <v>0</v>
      </c>
      <c r="W74" s="4">
        <v>0</v>
      </c>
      <c r="X74" s="44">
        <v>0</v>
      </c>
      <c r="Y74" s="44">
        <v>0</v>
      </c>
      <c r="Z74" s="4">
        <f t="shared" si="1"/>
        <v>0</v>
      </c>
      <c r="AA74" s="4">
        <f t="shared" si="2"/>
        <v>0.11174785100286533</v>
      </c>
      <c r="AB74" s="4">
        <f t="shared" si="3"/>
        <v>0.67048710601719197</v>
      </c>
      <c r="AC74" s="4">
        <f t="shared" si="4"/>
        <v>0</v>
      </c>
      <c r="AD74" s="4">
        <f t="shared" si="5"/>
        <v>0</v>
      </c>
    </row>
    <row r="75" spans="1:30" x14ac:dyDescent="0.25">
      <c r="A75" s="40">
        <v>42678</v>
      </c>
      <c r="B75" s="39">
        <v>0.4375</v>
      </c>
      <c r="C75" s="40">
        <v>42679</v>
      </c>
      <c r="D75" s="39">
        <v>0.4375</v>
      </c>
      <c r="E75" s="41">
        <v>24</v>
      </c>
      <c r="F75" s="42">
        <v>2.2000000000000002</v>
      </c>
      <c r="G75" s="42">
        <v>2.6</v>
      </c>
      <c r="H75" s="4">
        <v>2952</v>
      </c>
      <c r="I75" s="4">
        <v>3497</v>
      </c>
      <c r="J75" s="41">
        <f t="shared" si="0"/>
        <v>44.780303030303031</v>
      </c>
      <c r="K75" s="4">
        <v>7990</v>
      </c>
      <c r="L75" s="4">
        <v>60</v>
      </c>
      <c r="M75" s="43">
        <v>19.95</v>
      </c>
      <c r="N75" s="4">
        <v>35</v>
      </c>
      <c r="O75" s="4">
        <v>75</v>
      </c>
      <c r="P75" s="4">
        <v>0</v>
      </c>
      <c r="Q75" s="4">
        <v>1</v>
      </c>
      <c r="R75" s="4">
        <f>15+4</f>
        <v>19</v>
      </c>
      <c r="S75" s="4">
        <v>0</v>
      </c>
      <c r="T75" s="4">
        <v>0</v>
      </c>
      <c r="U75" s="4">
        <v>0</v>
      </c>
      <c r="V75" s="4">
        <v>0</v>
      </c>
      <c r="W75" s="4">
        <v>0</v>
      </c>
      <c r="X75" s="44">
        <v>0</v>
      </c>
      <c r="Y75" s="44">
        <v>0</v>
      </c>
      <c r="Z75" s="4">
        <f t="shared" si="1"/>
        <v>0</v>
      </c>
      <c r="AA75" s="4">
        <f t="shared" si="2"/>
        <v>2.2331246827947893E-2</v>
      </c>
      <c r="AB75" s="4">
        <f t="shared" si="3"/>
        <v>0.42429368973100995</v>
      </c>
      <c r="AC75" s="4">
        <f t="shared" si="4"/>
        <v>0</v>
      </c>
      <c r="AD75" s="4">
        <f t="shared" si="5"/>
        <v>0</v>
      </c>
    </row>
    <row r="76" spans="1:30" x14ac:dyDescent="0.25">
      <c r="A76" s="40">
        <v>42679</v>
      </c>
      <c r="B76" s="39">
        <v>0.4375</v>
      </c>
      <c r="C76" s="40">
        <v>42680</v>
      </c>
      <c r="D76" s="39">
        <v>0.45833333333333331</v>
      </c>
      <c r="E76" s="41">
        <v>25.4</v>
      </c>
      <c r="F76" s="42">
        <v>2.1</v>
      </c>
      <c r="G76" s="42">
        <v>2.6</v>
      </c>
      <c r="H76" s="4">
        <v>1384</v>
      </c>
      <c r="I76" s="4">
        <v>1089</v>
      </c>
      <c r="J76" s="41">
        <f t="shared" si="0"/>
        <v>17.964896214896214</v>
      </c>
      <c r="K76" s="4">
        <v>6870</v>
      </c>
      <c r="L76" s="4">
        <v>61</v>
      </c>
      <c r="M76" s="43">
        <v>15.26</v>
      </c>
      <c r="N76" s="4">
        <v>50</v>
      </c>
      <c r="O76" s="4">
        <v>123</v>
      </c>
      <c r="P76" s="4">
        <v>0</v>
      </c>
      <c r="Q76" s="4">
        <v>0</v>
      </c>
      <c r="R76" s="4">
        <f>1+2</f>
        <v>3</v>
      </c>
      <c r="S76" s="4">
        <v>1</v>
      </c>
      <c r="T76" s="4">
        <v>0</v>
      </c>
      <c r="U76" s="4">
        <v>0</v>
      </c>
      <c r="V76" s="4">
        <v>0</v>
      </c>
      <c r="W76" s="4">
        <v>0</v>
      </c>
      <c r="X76" s="44">
        <v>0</v>
      </c>
      <c r="Y76" s="44">
        <v>0</v>
      </c>
      <c r="Z76" s="4">
        <f t="shared" si="1"/>
        <v>0</v>
      </c>
      <c r="AA76" s="4">
        <f t="shared" si="2"/>
        <v>0</v>
      </c>
      <c r="AB76" s="4">
        <f t="shared" si="3"/>
        <v>0.16699233683924355</v>
      </c>
      <c r="AC76" s="4">
        <f t="shared" si="4"/>
        <v>5.5664112279747852E-2</v>
      </c>
      <c r="AD76" s="4">
        <f t="shared" si="5"/>
        <v>0</v>
      </c>
    </row>
    <row r="77" spans="1:30" x14ac:dyDescent="0.25">
      <c r="A77" s="40">
        <v>42680</v>
      </c>
      <c r="B77" s="39">
        <v>0.45833333333333331</v>
      </c>
      <c r="C77" s="40">
        <v>42681</v>
      </c>
      <c r="D77" s="39">
        <v>0.4375</v>
      </c>
      <c r="E77" s="41">
        <v>23.5</v>
      </c>
      <c r="F77" s="42">
        <v>2</v>
      </c>
      <c r="G77" s="42">
        <v>2.7</v>
      </c>
      <c r="H77" s="4">
        <v>2702</v>
      </c>
      <c r="I77" s="4">
        <v>3158</v>
      </c>
      <c r="J77" s="41">
        <f t="shared" si="0"/>
        <v>42.010493827160495</v>
      </c>
      <c r="K77" s="4">
        <v>6310</v>
      </c>
      <c r="L77" s="4">
        <v>60</v>
      </c>
      <c r="M77" s="43">
        <v>11.3</v>
      </c>
      <c r="N77" s="4">
        <v>36</v>
      </c>
      <c r="O77" s="4">
        <v>49</v>
      </c>
      <c r="P77" s="4">
        <v>0</v>
      </c>
      <c r="Q77" s="4">
        <v>1</v>
      </c>
      <c r="R77" s="4">
        <v>4</v>
      </c>
      <c r="S77" s="4">
        <v>0</v>
      </c>
      <c r="T77" s="4">
        <v>0</v>
      </c>
      <c r="U77" s="4">
        <v>0</v>
      </c>
      <c r="V77" s="4">
        <v>0</v>
      </c>
      <c r="W77" s="4">
        <v>0</v>
      </c>
      <c r="X77" s="44">
        <v>0</v>
      </c>
      <c r="Y77" s="44">
        <v>0</v>
      </c>
      <c r="Z77" s="4">
        <f t="shared" si="1"/>
        <v>0</v>
      </c>
      <c r="AA77" s="4">
        <f t="shared" si="2"/>
        <v>2.3803576413888358E-2</v>
      </c>
      <c r="AB77" s="4">
        <f t="shared" si="3"/>
        <v>9.521430565555343E-2</v>
      </c>
      <c r="AC77" s="4">
        <f t="shared" si="4"/>
        <v>0</v>
      </c>
      <c r="AD77" s="4">
        <f t="shared" si="5"/>
        <v>0</v>
      </c>
    </row>
    <row r="78" spans="1:30" x14ac:dyDescent="0.25">
      <c r="A78" s="40">
        <v>42681</v>
      </c>
      <c r="B78" s="39">
        <v>0.4375</v>
      </c>
      <c r="C78" s="40">
        <v>42682</v>
      </c>
      <c r="D78" s="39">
        <v>0.40625</v>
      </c>
      <c r="E78" s="41">
        <v>23.25</v>
      </c>
      <c r="F78" s="42">
        <v>2.1</v>
      </c>
      <c r="G78" s="42">
        <v>2.4</v>
      </c>
      <c r="H78" s="4">
        <v>2758</v>
      </c>
      <c r="I78" s="4">
        <v>3270</v>
      </c>
      <c r="J78" s="41">
        <f t="shared" si="0"/>
        <v>44.597222222222214</v>
      </c>
      <c r="K78" s="4">
        <v>5940</v>
      </c>
      <c r="L78" s="4">
        <v>61</v>
      </c>
      <c r="M78" s="43">
        <v>14.06</v>
      </c>
      <c r="P78" s="4">
        <v>0</v>
      </c>
      <c r="Q78" s="4">
        <v>0</v>
      </c>
      <c r="R78" s="4">
        <v>0</v>
      </c>
      <c r="S78" s="4">
        <v>0</v>
      </c>
      <c r="T78" s="4">
        <v>0</v>
      </c>
      <c r="U78" s="4">
        <v>0</v>
      </c>
      <c r="V78" s="4">
        <v>0</v>
      </c>
      <c r="W78" s="4">
        <v>0</v>
      </c>
      <c r="X78" s="44">
        <v>0</v>
      </c>
      <c r="Y78" s="44">
        <v>0</v>
      </c>
      <c r="Z78" s="4">
        <f t="shared" si="1"/>
        <v>0</v>
      </c>
      <c r="AA78" s="4">
        <f t="shared" si="2"/>
        <v>0</v>
      </c>
      <c r="AB78" s="4">
        <f t="shared" si="3"/>
        <v>0</v>
      </c>
      <c r="AC78" s="4">
        <f t="shared" si="4"/>
        <v>0</v>
      </c>
      <c r="AD78" s="4">
        <f t="shared" si="5"/>
        <v>0</v>
      </c>
    </row>
    <row r="79" spans="1:30" x14ac:dyDescent="0.25">
      <c r="A79" s="40">
        <v>42682</v>
      </c>
      <c r="B79" s="39">
        <v>0.40625</v>
      </c>
      <c r="C79" s="40">
        <v>42683</v>
      </c>
      <c r="D79" s="39">
        <v>0.39583333333333331</v>
      </c>
      <c r="E79" s="41">
        <v>23.75</v>
      </c>
      <c r="F79" s="42">
        <v>2</v>
      </c>
      <c r="G79" s="42">
        <v>2.2000000000000002</v>
      </c>
      <c r="H79" s="4">
        <v>2702</v>
      </c>
      <c r="I79" s="4">
        <v>3241</v>
      </c>
      <c r="J79" s="41">
        <f t="shared" si="0"/>
        <v>47.06969696969697</v>
      </c>
      <c r="K79" s="4">
        <v>5770</v>
      </c>
      <c r="L79" s="4">
        <v>60</v>
      </c>
      <c r="M79" s="43">
        <v>11.89</v>
      </c>
      <c r="N79" s="4">
        <v>61</v>
      </c>
      <c r="O79" s="4">
        <v>61</v>
      </c>
      <c r="P79" s="4">
        <v>0</v>
      </c>
      <c r="Q79" s="4">
        <v>0</v>
      </c>
      <c r="R79" s="4">
        <v>1</v>
      </c>
      <c r="S79" s="4">
        <v>0</v>
      </c>
      <c r="T79" s="4">
        <v>0</v>
      </c>
      <c r="U79" s="4">
        <v>0</v>
      </c>
      <c r="V79" s="4">
        <v>0</v>
      </c>
      <c r="W79" s="4">
        <v>0</v>
      </c>
      <c r="X79" s="44">
        <v>0</v>
      </c>
      <c r="Y79" s="44">
        <v>0</v>
      </c>
      <c r="Z79" s="4">
        <f t="shared" si="1"/>
        <v>0</v>
      </c>
      <c r="AA79" s="4">
        <f t="shared" si="2"/>
        <v>0</v>
      </c>
      <c r="AB79" s="4">
        <f>R79/J79</f>
        <v>2.1245091096375457E-2</v>
      </c>
      <c r="AC79" s="4">
        <f t="shared" si="4"/>
        <v>0</v>
      </c>
      <c r="AD79" s="4">
        <f t="shared" si="5"/>
        <v>0</v>
      </c>
    </row>
    <row r="80" spans="1:30" x14ac:dyDescent="0.25">
      <c r="A80" s="40">
        <v>42683</v>
      </c>
      <c r="B80" s="39">
        <v>0.39583333333333331</v>
      </c>
      <c r="C80" s="40">
        <v>42684</v>
      </c>
      <c r="D80" s="39">
        <v>0.40625</v>
      </c>
      <c r="E80" s="41">
        <v>24.25</v>
      </c>
      <c r="F80" s="42">
        <v>2</v>
      </c>
      <c r="G80" s="42">
        <v>2.2999999999999998</v>
      </c>
      <c r="H80" s="4">
        <v>2656</v>
      </c>
      <c r="I80" s="4">
        <v>3244</v>
      </c>
      <c r="J80" s="41">
        <f t="shared" si="0"/>
        <v>45.640579710144934</v>
      </c>
      <c r="K80" s="4">
        <v>5470</v>
      </c>
      <c r="L80" s="4">
        <v>61</v>
      </c>
      <c r="M80" s="43">
        <v>15.75</v>
      </c>
      <c r="P80" s="4">
        <v>0</v>
      </c>
      <c r="Q80" s="4">
        <v>0</v>
      </c>
      <c r="R80" s="4">
        <v>0</v>
      </c>
      <c r="S80" s="4">
        <v>0</v>
      </c>
      <c r="T80" s="4">
        <v>0</v>
      </c>
      <c r="U80" s="4">
        <v>0</v>
      </c>
      <c r="V80" s="4">
        <v>0</v>
      </c>
      <c r="W80" s="4">
        <v>0</v>
      </c>
      <c r="X80" s="44">
        <v>0</v>
      </c>
      <c r="Y80" s="44">
        <v>0</v>
      </c>
      <c r="Z80" s="4">
        <f t="shared" si="1"/>
        <v>0</v>
      </c>
      <c r="AA80" s="4">
        <f t="shared" si="2"/>
        <v>0</v>
      </c>
      <c r="AB80" s="4">
        <f t="shared" si="3"/>
        <v>0</v>
      </c>
      <c r="AC80" s="4">
        <f t="shared" si="4"/>
        <v>0</v>
      </c>
      <c r="AD80" s="4">
        <f t="shared" si="5"/>
        <v>0</v>
      </c>
    </row>
    <row r="81" spans="1:30" x14ac:dyDescent="0.25">
      <c r="A81" s="40">
        <v>42684</v>
      </c>
      <c r="B81" s="39">
        <v>0.40625</v>
      </c>
      <c r="C81" s="40">
        <v>42685</v>
      </c>
      <c r="D81" s="39">
        <v>0.41666666666666669</v>
      </c>
      <c r="E81" s="41">
        <v>24.25</v>
      </c>
      <c r="F81" s="42">
        <v>1.7</v>
      </c>
      <c r="G81" s="42">
        <v>2.2000000000000002</v>
      </c>
      <c r="H81" s="4">
        <v>2446</v>
      </c>
      <c r="I81" s="4">
        <v>2730</v>
      </c>
      <c r="J81" s="41">
        <f t="shared" si="0"/>
        <v>44.662210338680921</v>
      </c>
      <c r="K81" s="4">
        <v>5120</v>
      </c>
      <c r="L81" s="4">
        <v>62</v>
      </c>
      <c r="M81" s="43">
        <v>11.11</v>
      </c>
      <c r="P81" s="4">
        <v>0</v>
      </c>
      <c r="Q81" s="4">
        <v>0</v>
      </c>
      <c r="R81" s="4">
        <v>0</v>
      </c>
      <c r="S81" s="4">
        <v>0</v>
      </c>
      <c r="T81" s="4">
        <v>0</v>
      </c>
      <c r="U81" s="4">
        <v>0</v>
      </c>
      <c r="V81" s="4">
        <v>0</v>
      </c>
      <c r="W81" s="4">
        <v>0</v>
      </c>
      <c r="X81" s="44">
        <v>0</v>
      </c>
      <c r="Y81" s="44">
        <v>0</v>
      </c>
      <c r="Z81" s="4">
        <f t="shared" si="1"/>
        <v>0</v>
      </c>
      <c r="AA81" s="4">
        <f t="shared" si="2"/>
        <v>0</v>
      </c>
      <c r="AB81" s="4">
        <f t="shared" si="3"/>
        <v>0</v>
      </c>
      <c r="AC81" s="4">
        <f t="shared" si="4"/>
        <v>0</v>
      </c>
      <c r="AD81" s="4">
        <f t="shared" si="5"/>
        <v>0</v>
      </c>
    </row>
    <row r="82" spans="1:30" x14ac:dyDescent="0.25">
      <c r="A82" s="40">
        <v>42685</v>
      </c>
      <c r="B82" s="39">
        <v>0.41666666666666669</v>
      </c>
      <c r="C82" s="40">
        <v>42686</v>
      </c>
      <c r="D82" s="39">
        <v>0.42708333333333331</v>
      </c>
      <c r="E82" s="41">
        <v>24.25</v>
      </c>
      <c r="F82" s="42">
        <v>1.6</v>
      </c>
      <c r="G82" s="42">
        <v>2</v>
      </c>
      <c r="H82" s="4">
        <v>2216</v>
      </c>
      <c r="I82" s="4">
        <v>2914</v>
      </c>
      <c r="J82" s="41">
        <f t="shared" si="0"/>
        <v>47.366666666666667</v>
      </c>
      <c r="K82" s="4">
        <v>5010</v>
      </c>
      <c r="L82" s="4">
        <v>61</v>
      </c>
      <c r="M82" s="43">
        <v>10.3</v>
      </c>
      <c r="P82" s="4">
        <v>0</v>
      </c>
      <c r="Q82" s="4">
        <v>0</v>
      </c>
      <c r="R82" s="4">
        <v>0</v>
      </c>
      <c r="S82" s="4">
        <v>0</v>
      </c>
      <c r="T82" s="4">
        <v>0</v>
      </c>
      <c r="U82" s="4">
        <v>0</v>
      </c>
      <c r="V82" s="4">
        <v>0</v>
      </c>
      <c r="W82" s="4">
        <v>0</v>
      </c>
      <c r="X82" s="44">
        <v>0</v>
      </c>
      <c r="Y82" s="44">
        <v>0</v>
      </c>
      <c r="Z82" s="4">
        <f t="shared" si="1"/>
        <v>0</v>
      </c>
      <c r="AA82" s="4">
        <f t="shared" si="2"/>
        <v>0</v>
      </c>
      <c r="AB82" s="4">
        <f t="shared" si="3"/>
        <v>0</v>
      </c>
      <c r="AC82" s="4">
        <f t="shared" si="4"/>
        <v>0</v>
      </c>
      <c r="AD82" s="4">
        <f t="shared" si="5"/>
        <v>0</v>
      </c>
    </row>
    <row r="83" spans="1:30" x14ac:dyDescent="0.25">
      <c r="A83" s="40">
        <v>42686</v>
      </c>
      <c r="B83" s="39">
        <v>0.42708333333333331</v>
      </c>
      <c r="C83" s="40">
        <v>42687</v>
      </c>
      <c r="D83" s="39">
        <v>0.41666666666666669</v>
      </c>
      <c r="E83" s="41">
        <v>23.75</v>
      </c>
      <c r="F83" s="42">
        <v>1.6</v>
      </c>
      <c r="G83" s="42">
        <v>2</v>
      </c>
      <c r="H83" s="4">
        <v>2356</v>
      </c>
      <c r="I83" s="4">
        <v>2963</v>
      </c>
      <c r="J83" s="41">
        <f t="shared" si="0"/>
        <v>49.233333333333334</v>
      </c>
      <c r="K83" s="4">
        <v>5040</v>
      </c>
      <c r="L83" s="4">
        <v>62</v>
      </c>
      <c r="M83" s="43">
        <v>11.83</v>
      </c>
      <c r="P83" s="4">
        <v>0</v>
      </c>
      <c r="Q83" s="4">
        <v>0</v>
      </c>
      <c r="R83" s="4">
        <v>0</v>
      </c>
      <c r="S83" s="4">
        <v>0</v>
      </c>
      <c r="T83" s="4">
        <v>0</v>
      </c>
      <c r="U83" s="4">
        <v>0</v>
      </c>
      <c r="V83" s="4">
        <v>0</v>
      </c>
      <c r="W83" s="4">
        <v>0</v>
      </c>
      <c r="X83" s="44">
        <v>0</v>
      </c>
      <c r="Y83" s="44">
        <v>0</v>
      </c>
      <c r="Z83" s="4">
        <f t="shared" si="1"/>
        <v>0</v>
      </c>
      <c r="AA83" s="4">
        <f t="shared" si="2"/>
        <v>0</v>
      </c>
      <c r="AB83" s="4">
        <f t="shared" si="3"/>
        <v>0</v>
      </c>
      <c r="AC83" s="4">
        <f t="shared" si="4"/>
        <v>0</v>
      </c>
      <c r="AD83" s="4">
        <f t="shared" si="5"/>
        <v>0</v>
      </c>
    </row>
    <row r="84" spans="1:30" x14ac:dyDescent="0.25">
      <c r="A84" s="40">
        <v>42687</v>
      </c>
      <c r="B84" s="39">
        <v>0.41666666666666669</v>
      </c>
      <c r="C84" s="40">
        <v>42688</v>
      </c>
      <c r="D84" s="39">
        <v>0.44791666666666669</v>
      </c>
      <c r="E84" s="41">
        <v>24.75</v>
      </c>
      <c r="F84" s="42">
        <v>1.6</v>
      </c>
      <c r="G84" s="42">
        <v>2.1</v>
      </c>
      <c r="H84" s="4">
        <v>2639</v>
      </c>
      <c r="I84" s="4">
        <v>3026</v>
      </c>
      <c r="J84" s="41">
        <f t="shared" si="0"/>
        <v>51.505456349206348</v>
      </c>
      <c r="K84" s="4">
        <v>5000</v>
      </c>
      <c r="L84" s="4">
        <v>61</v>
      </c>
      <c r="M84" s="43">
        <v>10.3</v>
      </c>
      <c r="P84" s="4">
        <v>0</v>
      </c>
      <c r="Q84" s="4">
        <v>0</v>
      </c>
      <c r="R84" s="4">
        <v>0</v>
      </c>
      <c r="S84" s="4">
        <v>0</v>
      </c>
      <c r="T84" s="4">
        <v>0</v>
      </c>
      <c r="U84" s="4">
        <v>0</v>
      </c>
      <c r="V84" s="4">
        <v>0</v>
      </c>
      <c r="W84" s="4">
        <v>0</v>
      </c>
      <c r="X84" s="44">
        <v>0</v>
      </c>
      <c r="Y84" s="44">
        <v>0</v>
      </c>
      <c r="Z84" s="4">
        <f t="shared" si="1"/>
        <v>0</v>
      </c>
      <c r="AA84" s="4">
        <f t="shared" si="2"/>
        <v>0</v>
      </c>
      <c r="AB84" s="4">
        <f t="shared" si="3"/>
        <v>0</v>
      </c>
      <c r="AC84" s="4">
        <f t="shared" si="4"/>
        <v>0</v>
      </c>
      <c r="AD84" s="4">
        <f t="shared" si="5"/>
        <v>0</v>
      </c>
    </row>
    <row r="85" spans="1:30" x14ac:dyDescent="0.25">
      <c r="A85" s="40">
        <v>42688</v>
      </c>
      <c r="B85" s="39">
        <v>0.44791666666666669</v>
      </c>
      <c r="C85" s="40">
        <v>42689</v>
      </c>
      <c r="D85" s="39">
        <v>0.4375</v>
      </c>
      <c r="E85" s="41">
        <v>23.75</v>
      </c>
      <c r="F85" s="42">
        <v>1.74</v>
      </c>
      <c r="G85" s="42">
        <v>2.1</v>
      </c>
      <c r="H85" s="4">
        <v>2320</v>
      </c>
      <c r="I85" s="4">
        <v>2827</v>
      </c>
      <c r="J85" s="41">
        <f t="shared" si="0"/>
        <v>44.658730158730151</v>
      </c>
      <c r="K85" s="4">
        <v>5050</v>
      </c>
      <c r="L85" s="4">
        <v>61</v>
      </c>
      <c r="M85" s="43">
        <v>8.64</v>
      </c>
      <c r="P85" s="4">
        <v>0</v>
      </c>
      <c r="Q85" s="4">
        <v>0</v>
      </c>
      <c r="R85" s="4">
        <v>0</v>
      </c>
      <c r="S85" s="4">
        <v>0</v>
      </c>
      <c r="T85" s="4">
        <v>0</v>
      </c>
      <c r="U85" s="4">
        <v>0</v>
      </c>
      <c r="V85" s="4">
        <v>0</v>
      </c>
      <c r="W85" s="4">
        <v>0</v>
      </c>
      <c r="X85" s="44">
        <v>0</v>
      </c>
      <c r="Y85" s="44">
        <v>0</v>
      </c>
      <c r="Z85" s="4">
        <f t="shared" si="1"/>
        <v>0</v>
      </c>
      <c r="AA85" s="4">
        <f t="shared" si="2"/>
        <v>0</v>
      </c>
      <c r="AB85" s="4">
        <f t="shared" si="3"/>
        <v>0</v>
      </c>
      <c r="AC85" s="4">
        <f t="shared" si="4"/>
        <v>0</v>
      </c>
      <c r="AD85" s="4">
        <f t="shared" si="5"/>
        <v>0</v>
      </c>
    </row>
    <row r="86" spans="1:30" x14ac:dyDescent="0.25">
      <c r="A86" s="40">
        <v>42689</v>
      </c>
      <c r="B86" s="39">
        <v>0.4375</v>
      </c>
      <c r="C86" s="40">
        <v>42690</v>
      </c>
      <c r="D86" s="39">
        <v>0.42708333333333331</v>
      </c>
      <c r="E86" s="41">
        <v>23.75</v>
      </c>
      <c r="F86" s="42">
        <v>1.6</v>
      </c>
      <c r="G86" s="42">
        <v>2</v>
      </c>
      <c r="H86" s="4">
        <v>1967</v>
      </c>
      <c r="I86" s="4">
        <v>2694</v>
      </c>
      <c r="J86" s="41">
        <f t="shared" si="0"/>
        <v>42.939583333333331</v>
      </c>
      <c r="K86" s="4">
        <v>5010</v>
      </c>
      <c r="L86" s="4">
        <v>60</v>
      </c>
      <c r="M86" s="43">
        <v>9.07</v>
      </c>
      <c r="P86" s="4">
        <v>0</v>
      </c>
      <c r="Q86" s="4">
        <v>0</v>
      </c>
      <c r="R86" s="4">
        <v>0</v>
      </c>
      <c r="S86" s="4">
        <v>0</v>
      </c>
      <c r="T86" s="4">
        <v>0</v>
      </c>
      <c r="U86" s="4">
        <v>0</v>
      </c>
      <c r="V86" s="4">
        <v>0</v>
      </c>
      <c r="W86" s="4">
        <v>0</v>
      </c>
      <c r="X86" s="44">
        <v>0</v>
      </c>
      <c r="Y86" s="44">
        <v>0</v>
      </c>
      <c r="Z86" s="4">
        <f t="shared" si="1"/>
        <v>0</v>
      </c>
      <c r="AA86" s="4">
        <f t="shared" si="2"/>
        <v>0</v>
      </c>
      <c r="AB86" s="4">
        <f t="shared" si="3"/>
        <v>0</v>
      </c>
      <c r="AC86" s="4">
        <f t="shared" si="4"/>
        <v>0</v>
      </c>
      <c r="AD86" s="4">
        <f t="shared" si="5"/>
        <v>0</v>
      </c>
    </row>
    <row r="87" spans="1:30" x14ac:dyDescent="0.25">
      <c r="A87" s="40">
        <v>42690</v>
      </c>
      <c r="B87" s="39">
        <v>0.42708333333333331</v>
      </c>
      <c r="C87" s="40">
        <v>42691</v>
      </c>
      <c r="D87" s="39">
        <v>0.41666666666666669</v>
      </c>
      <c r="E87" s="41">
        <v>23.75</v>
      </c>
      <c r="F87" s="42">
        <v>1.7</v>
      </c>
      <c r="G87" s="42">
        <v>2.2000000000000002</v>
      </c>
      <c r="H87" s="4">
        <v>2221</v>
      </c>
      <c r="I87" s="4">
        <v>2838</v>
      </c>
      <c r="J87" s="41">
        <f t="shared" si="0"/>
        <v>43.274509803921568</v>
      </c>
      <c r="K87" s="4">
        <v>4910</v>
      </c>
      <c r="L87" s="4">
        <v>58</v>
      </c>
      <c r="M87" s="43">
        <v>8.11</v>
      </c>
      <c r="P87" s="4">
        <v>0</v>
      </c>
      <c r="Q87" s="4">
        <v>0</v>
      </c>
      <c r="R87" s="4">
        <v>0</v>
      </c>
      <c r="S87" s="4">
        <v>0</v>
      </c>
      <c r="T87" s="4">
        <v>0</v>
      </c>
      <c r="U87" s="4">
        <v>0</v>
      </c>
      <c r="V87" s="4">
        <v>0</v>
      </c>
      <c r="W87" s="4">
        <v>0</v>
      </c>
      <c r="X87" s="44">
        <v>0</v>
      </c>
      <c r="Y87" s="44">
        <v>0</v>
      </c>
      <c r="Z87" s="4">
        <f t="shared" si="1"/>
        <v>0</v>
      </c>
      <c r="AA87" s="4">
        <f t="shared" si="2"/>
        <v>0</v>
      </c>
      <c r="AB87" s="4">
        <f t="shared" si="3"/>
        <v>0</v>
      </c>
      <c r="AC87" s="4">
        <f t="shared" si="4"/>
        <v>0</v>
      </c>
      <c r="AD87" s="4">
        <f t="shared" si="5"/>
        <v>0</v>
      </c>
    </row>
    <row r="88" spans="1:30" x14ac:dyDescent="0.25">
      <c r="A88" s="40">
        <v>42691</v>
      </c>
      <c r="B88" s="39">
        <v>0.41666666666666669</v>
      </c>
      <c r="C88" s="40">
        <v>42692</v>
      </c>
      <c r="D88" s="39">
        <v>0.41666666666666669</v>
      </c>
      <c r="E88" s="41">
        <v>24</v>
      </c>
      <c r="F88" s="42">
        <v>1.5</v>
      </c>
      <c r="G88" s="42">
        <v>2</v>
      </c>
      <c r="H88" s="4">
        <v>2126</v>
      </c>
      <c r="I88" s="4">
        <v>2796</v>
      </c>
      <c r="J88" s="41">
        <f t="shared" ref="J88:J151" si="6" xml:space="preserve"> (((H88/F88)+(I88/G88))/60)</f>
        <v>46.922222222222217</v>
      </c>
      <c r="K88" s="4">
        <v>4960</v>
      </c>
      <c r="L88" s="4">
        <v>57</v>
      </c>
      <c r="M88" s="43">
        <v>7.03</v>
      </c>
      <c r="P88" s="4">
        <v>0</v>
      </c>
      <c r="Q88" s="4">
        <v>0</v>
      </c>
      <c r="R88" s="4">
        <v>0</v>
      </c>
      <c r="S88" s="4">
        <v>0</v>
      </c>
      <c r="T88" s="4">
        <v>0</v>
      </c>
      <c r="U88" s="4">
        <v>0</v>
      </c>
      <c r="V88" s="4">
        <v>0</v>
      </c>
      <c r="W88" s="4">
        <v>0</v>
      </c>
      <c r="X88" s="44">
        <v>0</v>
      </c>
      <c r="Y88" s="44">
        <v>0</v>
      </c>
      <c r="Z88" s="4">
        <f t="shared" ref="Z88:Z151" si="7">P88/J88</f>
        <v>0</v>
      </c>
      <c r="AA88" s="4">
        <f t="shared" ref="AA88:AA151" si="8">Q88/J88</f>
        <v>0</v>
      </c>
      <c r="AB88" s="4">
        <f t="shared" ref="AB88:AB151" si="9">R88/J88</f>
        <v>0</v>
      </c>
      <c r="AC88" s="4">
        <f t="shared" ref="AC88:AC151" si="10">S88/J88</f>
        <v>0</v>
      </c>
      <c r="AD88" s="4">
        <f t="shared" ref="AD88:AD151" si="11">X88/J88</f>
        <v>0</v>
      </c>
    </row>
    <row r="89" spans="1:30" x14ac:dyDescent="0.25">
      <c r="A89" s="40">
        <v>42692</v>
      </c>
      <c r="B89" s="39">
        <v>0.41666666666666669</v>
      </c>
      <c r="C89" s="40">
        <v>42693</v>
      </c>
      <c r="D89" s="39">
        <v>0.39583333333333331</v>
      </c>
      <c r="E89" s="41">
        <v>23.5</v>
      </c>
      <c r="F89" s="42">
        <v>1.5</v>
      </c>
      <c r="G89" s="42">
        <v>1.9</v>
      </c>
      <c r="H89" s="4">
        <v>785</v>
      </c>
      <c r="I89" s="4">
        <v>2548</v>
      </c>
      <c r="J89" s="41">
        <f t="shared" si="6"/>
        <v>31.073099415204684</v>
      </c>
      <c r="K89" s="4">
        <v>5000</v>
      </c>
      <c r="L89" s="4">
        <v>58</v>
      </c>
      <c r="M89" s="43">
        <v>8.6</v>
      </c>
      <c r="P89" s="4">
        <v>0</v>
      </c>
      <c r="Q89" s="4">
        <v>0</v>
      </c>
      <c r="R89" s="4">
        <v>0</v>
      </c>
      <c r="S89" s="4">
        <v>0</v>
      </c>
      <c r="T89" s="4">
        <v>0</v>
      </c>
      <c r="U89" s="4">
        <v>0</v>
      </c>
      <c r="V89" s="4">
        <v>0</v>
      </c>
      <c r="W89" s="4">
        <v>0</v>
      </c>
      <c r="X89" s="44">
        <v>0</v>
      </c>
      <c r="Y89" s="44">
        <v>0</v>
      </c>
      <c r="Z89" s="4">
        <f t="shared" si="7"/>
        <v>0</v>
      </c>
      <c r="AA89" s="4">
        <f t="shared" si="8"/>
        <v>0</v>
      </c>
      <c r="AB89" s="4">
        <f t="shared" si="9"/>
        <v>0</v>
      </c>
      <c r="AC89" s="4">
        <f t="shared" si="10"/>
        <v>0</v>
      </c>
      <c r="AD89" s="4">
        <f t="shared" si="11"/>
        <v>0</v>
      </c>
    </row>
    <row r="90" spans="1:30" x14ac:dyDescent="0.25">
      <c r="A90" s="40">
        <v>42693</v>
      </c>
      <c r="B90" s="39">
        <v>0.39583333333333331</v>
      </c>
      <c r="C90" s="40">
        <v>42694</v>
      </c>
      <c r="D90" s="39">
        <v>0.4375</v>
      </c>
      <c r="E90" s="41">
        <v>25</v>
      </c>
      <c r="F90" s="42">
        <v>1.5</v>
      </c>
      <c r="G90" s="42">
        <v>1.8</v>
      </c>
      <c r="H90" s="4">
        <v>2369</v>
      </c>
      <c r="I90" s="4">
        <v>1589</v>
      </c>
      <c r="J90" s="41">
        <f t="shared" si="6"/>
        <v>41.035185185185178</v>
      </c>
      <c r="K90" s="4">
        <v>5870</v>
      </c>
      <c r="L90" s="4">
        <v>58</v>
      </c>
      <c r="M90" s="43">
        <v>8.9600000000000009</v>
      </c>
      <c r="P90" s="4">
        <v>0</v>
      </c>
      <c r="Q90" s="4">
        <v>0</v>
      </c>
      <c r="R90" s="4">
        <v>0</v>
      </c>
      <c r="S90" s="4">
        <v>0</v>
      </c>
      <c r="T90" s="4">
        <v>0</v>
      </c>
      <c r="U90" s="4">
        <v>0</v>
      </c>
      <c r="V90" s="4">
        <v>0</v>
      </c>
      <c r="W90" s="4">
        <v>0</v>
      </c>
      <c r="X90" s="44">
        <v>0</v>
      </c>
      <c r="Y90" s="44">
        <v>0</v>
      </c>
      <c r="Z90" s="4">
        <f t="shared" si="7"/>
        <v>0</v>
      </c>
      <c r="AA90" s="4">
        <f t="shared" si="8"/>
        <v>0</v>
      </c>
      <c r="AB90" s="4">
        <f t="shared" si="9"/>
        <v>0</v>
      </c>
      <c r="AC90" s="4">
        <f t="shared" si="10"/>
        <v>0</v>
      </c>
      <c r="AD90" s="4">
        <f t="shared" si="11"/>
        <v>0</v>
      </c>
    </row>
    <row r="91" spans="1:30" x14ac:dyDescent="0.25">
      <c r="A91" s="40">
        <v>42694</v>
      </c>
      <c r="B91" s="39">
        <v>0.4375</v>
      </c>
      <c r="C91" s="40">
        <v>42695</v>
      </c>
      <c r="D91" s="39">
        <v>0.4375</v>
      </c>
      <c r="E91" s="41">
        <v>25</v>
      </c>
      <c r="F91" s="42">
        <v>1.7</v>
      </c>
      <c r="G91" s="42">
        <v>2.1</v>
      </c>
      <c r="H91" s="4">
        <v>1493</v>
      </c>
      <c r="I91" s="4">
        <v>1812</v>
      </c>
      <c r="J91" s="41">
        <f t="shared" si="6"/>
        <v>29.018207282913167</v>
      </c>
      <c r="K91" s="4">
        <v>9280</v>
      </c>
      <c r="L91" s="4">
        <v>56</v>
      </c>
      <c r="M91" s="43">
        <v>19.399999999999999</v>
      </c>
      <c r="P91" s="4">
        <v>0</v>
      </c>
      <c r="Q91" s="4">
        <v>0</v>
      </c>
      <c r="R91" s="4">
        <v>0</v>
      </c>
      <c r="S91" s="4">
        <v>0</v>
      </c>
      <c r="T91" s="4">
        <v>0</v>
      </c>
      <c r="U91" s="4">
        <v>0</v>
      </c>
      <c r="V91" s="4">
        <v>0</v>
      </c>
      <c r="W91" s="4">
        <v>0</v>
      </c>
      <c r="X91" s="44">
        <v>0</v>
      </c>
      <c r="Y91" s="44">
        <v>0</v>
      </c>
      <c r="Z91" s="4">
        <f t="shared" si="7"/>
        <v>0</v>
      </c>
      <c r="AA91" s="4">
        <f t="shared" si="8"/>
        <v>0</v>
      </c>
      <c r="AB91" s="4">
        <f t="shared" si="9"/>
        <v>0</v>
      </c>
      <c r="AC91" s="4">
        <f t="shared" si="10"/>
        <v>0</v>
      </c>
      <c r="AD91" s="4">
        <f t="shared" si="11"/>
        <v>0</v>
      </c>
    </row>
    <row r="92" spans="1:30" x14ac:dyDescent="0.25">
      <c r="A92" s="40">
        <v>42695</v>
      </c>
      <c r="B92" s="39">
        <v>0.4375</v>
      </c>
      <c r="C92" s="40">
        <v>42696</v>
      </c>
      <c r="D92" s="39">
        <v>8.3333333333333329E-2</v>
      </c>
      <c r="E92" s="41">
        <v>27.5</v>
      </c>
      <c r="F92" s="42">
        <v>1.8</v>
      </c>
      <c r="G92" s="42">
        <v>1.8</v>
      </c>
      <c r="H92" s="4">
        <v>923</v>
      </c>
      <c r="I92" s="4">
        <v>1511</v>
      </c>
      <c r="J92" s="41">
        <f t="shared" si="6"/>
        <v>22.537037037037035</v>
      </c>
      <c r="K92" s="4">
        <v>15100</v>
      </c>
      <c r="L92" s="4">
        <v>56</v>
      </c>
      <c r="M92" s="43">
        <v>32.1</v>
      </c>
      <c r="P92" s="4">
        <v>0</v>
      </c>
      <c r="Q92" s="4">
        <v>0</v>
      </c>
      <c r="R92" s="4">
        <v>0</v>
      </c>
      <c r="S92" s="4">
        <v>0</v>
      </c>
      <c r="T92" s="4">
        <v>0</v>
      </c>
      <c r="U92" s="4">
        <v>0</v>
      </c>
      <c r="V92" s="4">
        <v>0</v>
      </c>
      <c r="W92" s="4">
        <v>0</v>
      </c>
      <c r="X92" s="44">
        <v>0</v>
      </c>
      <c r="Y92" s="44">
        <v>0</v>
      </c>
      <c r="Z92" s="4">
        <f t="shared" si="7"/>
        <v>0</v>
      </c>
      <c r="AA92" s="4">
        <f t="shared" si="8"/>
        <v>0</v>
      </c>
      <c r="AB92" s="4">
        <f t="shared" si="9"/>
        <v>0</v>
      </c>
      <c r="AC92" s="4">
        <f t="shared" si="10"/>
        <v>0</v>
      </c>
      <c r="AD92" s="4">
        <f t="shared" si="11"/>
        <v>0</v>
      </c>
    </row>
    <row r="93" spans="1:30" x14ac:dyDescent="0.25">
      <c r="A93" s="40">
        <v>42696</v>
      </c>
      <c r="B93" s="39">
        <v>8.3333333333333329E-2</v>
      </c>
      <c r="C93" s="40">
        <v>42697</v>
      </c>
      <c r="D93" s="39">
        <v>0.41666666666666669</v>
      </c>
      <c r="E93" s="41">
        <v>20</v>
      </c>
      <c r="F93" s="42">
        <v>2.2000000000000002</v>
      </c>
      <c r="G93" s="42">
        <v>2.2000000000000002</v>
      </c>
      <c r="H93" s="4">
        <v>479</v>
      </c>
      <c r="I93" s="4">
        <v>933</v>
      </c>
      <c r="J93" s="41">
        <f t="shared" si="6"/>
        <v>10.696969696969695</v>
      </c>
      <c r="K93" s="4">
        <v>12300</v>
      </c>
      <c r="L93" s="4">
        <v>58</v>
      </c>
      <c r="M93" s="43">
        <v>54.1</v>
      </c>
      <c r="N93" s="4">
        <v>35</v>
      </c>
      <c r="O93" s="4">
        <v>59</v>
      </c>
      <c r="P93" s="4">
        <v>0</v>
      </c>
      <c r="Q93" s="4">
        <v>1</v>
      </c>
      <c r="R93" s="4">
        <v>1</v>
      </c>
      <c r="S93" s="4">
        <v>0</v>
      </c>
      <c r="T93" s="4">
        <v>0</v>
      </c>
      <c r="U93" s="4">
        <v>0</v>
      </c>
      <c r="V93" s="4">
        <v>0</v>
      </c>
      <c r="W93" s="4">
        <v>0</v>
      </c>
      <c r="X93" s="44">
        <v>0</v>
      </c>
      <c r="Y93" s="44">
        <v>0</v>
      </c>
      <c r="Z93" s="4">
        <f t="shared" si="7"/>
        <v>0</v>
      </c>
      <c r="AA93" s="4">
        <f t="shared" si="8"/>
        <v>9.3484419263456103E-2</v>
      </c>
      <c r="AB93" s="4">
        <f t="shared" si="9"/>
        <v>9.3484419263456103E-2</v>
      </c>
      <c r="AC93" s="4">
        <f t="shared" si="10"/>
        <v>0</v>
      </c>
      <c r="AD93" s="4">
        <f t="shared" si="11"/>
        <v>0</v>
      </c>
    </row>
    <row r="94" spans="1:30" x14ac:dyDescent="0.25">
      <c r="A94" s="40">
        <v>42697</v>
      </c>
      <c r="B94" s="39">
        <v>0.41666666666666669</v>
      </c>
      <c r="C94" s="40">
        <v>42697</v>
      </c>
      <c r="D94" s="39">
        <v>0.625</v>
      </c>
      <c r="E94" s="41">
        <v>7</v>
      </c>
      <c r="F94" s="42">
        <v>2.2999999999999998</v>
      </c>
      <c r="G94" s="42">
        <v>2.6</v>
      </c>
      <c r="H94" s="4">
        <v>609</v>
      </c>
      <c r="I94" s="4">
        <v>1577</v>
      </c>
      <c r="J94" s="41">
        <f xml:space="preserve"> (((H94/F94)+(I94/G94))/60)</f>
        <v>14.522017837235229</v>
      </c>
      <c r="K94" s="4">
        <v>11600</v>
      </c>
      <c r="L94" s="4">
        <v>56</v>
      </c>
      <c r="M94" s="43">
        <v>41.7</v>
      </c>
      <c r="N94" s="4">
        <v>62</v>
      </c>
      <c r="O94" s="4">
        <v>65</v>
      </c>
      <c r="P94" s="4">
        <v>0</v>
      </c>
      <c r="Q94" s="4">
        <v>0</v>
      </c>
      <c r="R94" s="4">
        <v>2</v>
      </c>
      <c r="S94" s="4">
        <v>0</v>
      </c>
      <c r="T94" s="4">
        <v>0</v>
      </c>
      <c r="U94" s="4">
        <v>0</v>
      </c>
      <c r="V94" s="4">
        <v>0</v>
      </c>
      <c r="W94" s="4">
        <v>0</v>
      </c>
      <c r="X94" s="44">
        <v>0</v>
      </c>
      <c r="Y94" s="44">
        <v>0</v>
      </c>
      <c r="Z94" s="4">
        <f t="shared" si="7"/>
        <v>0</v>
      </c>
      <c r="AA94" s="4">
        <f t="shared" si="8"/>
        <v>0</v>
      </c>
      <c r="AB94" s="4">
        <f t="shared" si="9"/>
        <v>0.13772190768640247</v>
      </c>
      <c r="AC94" s="4">
        <f t="shared" si="10"/>
        <v>0</v>
      </c>
      <c r="AD94" s="4">
        <f t="shared" si="11"/>
        <v>0</v>
      </c>
    </row>
    <row r="95" spans="1:30" x14ac:dyDescent="0.25">
      <c r="A95" s="40">
        <v>42697</v>
      </c>
      <c r="B95" s="39">
        <v>0.625</v>
      </c>
      <c r="C95" s="40">
        <v>42698</v>
      </c>
      <c r="D95" s="39">
        <v>0.38541666666666669</v>
      </c>
      <c r="E95" s="41">
        <v>18.25</v>
      </c>
      <c r="F95" s="42">
        <v>1.1000000000000001</v>
      </c>
      <c r="G95" s="42">
        <v>2.7</v>
      </c>
      <c r="H95" s="4">
        <v>431</v>
      </c>
      <c r="I95" s="4">
        <v>2769</v>
      </c>
      <c r="J95" s="41">
        <f t="shared" si="6"/>
        <v>23.622895622895619</v>
      </c>
      <c r="K95" s="4">
        <v>10000</v>
      </c>
      <c r="L95" s="4">
        <v>55</v>
      </c>
      <c r="M95" s="43">
        <v>43.1</v>
      </c>
      <c r="N95" s="4">
        <v>34</v>
      </c>
      <c r="O95" s="4">
        <v>103</v>
      </c>
      <c r="P95" s="4">
        <v>0</v>
      </c>
      <c r="Q95" s="4">
        <v>3</v>
      </c>
      <c r="R95" s="4">
        <v>2</v>
      </c>
      <c r="S95" s="4">
        <v>1</v>
      </c>
      <c r="T95" s="4">
        <v>0</v>
      </c>
      <c r="U95" s="4">
        <v>0</v>
      </c>
      <c r="V95" s="4">
        <v>0</v>
      </c>
      <c r="W95" s="4">
        <v>0</v>
      </c>
      <c r="X95" s="44">
        <v>0</v>
      </c>
      <c r="Y95" s="44">
        <v>0</v>
      </c>
      <c r="Z95" s="4">
        <f t="shared" si="7"/>
        <v>0</v>
      </c>
      <c r="AA95" s="4">
        <f t="shared" si="8"/>
        <v>0.12699543899657928</v>
      </c>
      <c r="AB95" s="4">
        <f t="shared" si="9"/>
        <v>8.466362599771951E-2</v>
      </c>
      <c r="AC95" s="4">
        <f t="shared" si="10"/>
        <v>4.2331812998859755E-2</v>
      </c>
      <c r="AD95" s="4">
        <f t="shared" si="11"/>
        <v>0</v>
      </c>
    </row>
    <row r="96" spans="1:30" x14ac:dyDescent="0.25">
      <c r="A96" s="40">
        <v>42698</v>
      </c>
      <c r="B96" s="39">
        <v>0.38541666666666669</v>
      </c>
      <c r="C96" s="40">
        <v>42699</v>
      </c>
      <c r="D96" s="39">
        <v>0.38541666666666669</v>
      </c>
      <c r="E96" s="41">
        <v>24</v>
      </c>
      <c r="F96" s="42">
        <v>1.8</v>
      </c>
      <c r="G96" s="42">
        <v>2.4</v>
      </c>
      <c r="H96" s="4">
        <v>2773</v>
      </c>
      <c r="I96" s="4">
        <v>3373</v>
      </c>
      <c r="J96" s="41">
        <f t="shared" si="6"/>
        <v>49.099537037037038</v>
      </c>
      <c r="K96" s="4">
        <v>10500</v>
      </c>
      <c r="L96" s="4">
        <v>56</v>
      </c>
      <c r="M96" s="43">
        <v>29.3</v>
      </c>
      <c r="N96" s="4">
        <v>54</v>
      </c>
      <c r="O96" s="4">
        <v>79</v>
      </c>
      <c r="P96" s="4">
        <v>0</v>
      </c>
      <c r="Q96" s="4">
        <v>0</v>
      </c>
      <c r="R96" s="4">
        <v>6</v>
      </c>
      <c r="S96" s="4">
        <v>0</v>
      </c>
      <c r="T96" s="4">
        <v>0</v>
      </c>
      <c r="U96" s="4">
        <v>0</v>
      </c>
      <c r="V96" s="4">
        <v>0</v>
      </c>
      <c r="W96" s="4">
        <v>0</v>
      </c>
      <c r="X96" s="44">
        <v>0</v>
      </c>
      <c r="Y96" s="44">
        <v>0</v>
      </c>
      <c r="Z96" s="4">
        <f t="shared" si="7"/>
        <v>0</v>
      </c>
      <c r="AA96" s="4">
        <f t="shared" si="8"/>
        <v>0</v>
      </c>
      <c r="AB96" s="4">
        <f t="shared" si="9"/>
        <v>0.12220074489651596</v>
      </c>
      <c r="AC96" s="4">
        <f t="shared" si="10"/>
        <v>0</v>
      </c>
      <c r="AD96" s="4">
        <f t="shared" si="11"/>
        <v>0</v>
      </c>
    </row>
    <row r="97" spans="1:30" x14ac:dyDescent="0.25">
      <c r="A97" s="40">
        <v>42699</v>
      </c>
      <c r="B97" s="39">
        <v>0.38541666666666669</v>
      </c>
      <c r="C97" s="40">
        <v>42700</v>
      </c>
      <c r="D97" s="39">
        <v>0.375</v>
      </c>
      <c r="E97" s="41">
        <v>23.75</v>
      </c>
      <c r="F97" s="42">
        <v>1.5</v>
      </c>
      <c r="G97" s="42">
        <v>2.4</v>
      </c>
      <c r="H97" s="4">
        <v>700</v>
      </c>
      <c r="I97" s="4">
        <v>3637</v>
      </c>
      <c r="J97" s="41">
        <f t="shared" si="6"/>
        <v>33.034722222222221</v>
      </c>
      <c r="K97" s="4">
        <v>9330</v>
      </c>
      <c r="L97" s="4">
        <v>54</v>
      </c>
      <c r="M97" s="43">
        <v>16.739999999999998</v>
      </c>
      <c r="N97" s="4">
        <v>35</v>
      </c>
      <c r="O97" s="4">
        <v>71</v>
      </c>
      <c r="P97" s="4">
        <v>0</v>
      </c>
      <c r="Q97" s="4">
        <v>1</v>
      </c>
      <c r="R97" s="4">
        <v>5</v>
      </c>
      <c r="S97" s="4">
        <v>0</v>
      </c>
      <c r="T97" s="4">
        <v>0</v>
      </c>
      <c r="U97" s="4">
        <v>0</v>
      </c>
      <c r="V97" s="4">
        <v>0</v>
      </c>
      <c r="W97" s="4">
        <v>0</v>
      </c>
      <c r="X97" s="44">
        <v>0</v>
      </c>
      <c r="Y97" s="44">
        <v>0</v>
      </c>
      <c r="Z97" s="4">
        <f t="shared" si="7"/>
        <v>0</v>
      </c>
      <c r="AA97" s="4">
        <f t="shared" si="8"/>
        <v>3.0271179314694134E-2</v>
      </c>
      <c r="AB97" s="4">
        <f t="shared" si="9"/>
        <v>0.15135589657347068</v>
      </c>
      <c r="AC97" s="4">
        <f t="shared" si="10"/>
        <v>0</v>
      </c>
      <c r="AD97" s="4">
        <f t="shared" si="11"/>
        <v>0</v>
      </c>
    </row>
    <row r="98" spans="1:30" x14ac:dyDescent="0.25">
      <c r="A98" s="40">
        <v>42700</v>
      </c>
      <c r="B98" s="39">
        <v>0.375</v>
      </c>
      <c r="C98" s="40">
        <v>42701</v>
      </c>
      <c r="D98" s="39">
        <v>0.38541666666666669</v>
      </c>
      <c r="E98" s="41">
        <v>24.25</v>
      </c>
      <c r="F98" s="42">
        <v>1.9</v>
      </c>
      <c r="G98" s="42">
        <v>2.6</v>
      </c>
      <c r="H98" s="4">
        <v>655</v>
      </c>
      <c r="I98" s="4">
        <v>2596</v>
      </c>
      <c r="J98" s="41">
        <f t="shared" si="6"/>
        <v>22.386639676113361</v>
      </c>
      <c r="K98" s="4">
        <v>9225</v>
      </c>
      <c r="L98" s="4">
        <v>54</v>
      </c>
      <c r="M98" s="43">
        <v>19.079999999999998</v>
      </c>
      <c r="P98" s="4">
        <v>0</v>
      </c>
      <c r="Q98" s="4">
        <v>0</v>
      </c>
      <c r="R98" s="4">
        <v>0</v>
      </c>
      <c r="S98" s="4">
        <v>0</v>
      </c>
      <c r="T98" s="4">
        <v>0</v>
      </c>
      <c r="U98" s="4">
        <v>0</v>
      </c>
      <c r="V98" s="4">
        <v>0</v>
      </c>
      <c r="W98" s="4">
        <v>0</v>
      </c>
      <c r="X98" s="44">
        <v>0</v>
      </c>
      <c r="Y98" s="44">
        <v>0</v>
      </c>
      <c r="Z98" s="4">
        <f t="shared" si="7"/>
        <v>0</v>
      </c>
      <c r="AA98" s="4">
        <f t="shared" si="8"/>
        <v>0</v>
      </c>
      <c r="AB98" s="4">
        <f t="shared" si="9"/>
        <v>0</v>
      </c>
      <c r="AC98" s="4">
        <f t="shared" si="10"/>
        <v>0</v>
      </c>
      <c r="AD98" s="4">
        <f t="shared" si="11"/>
        <v>0</v>
      </c>
    </row>
    <row r="99" spans="1:30" x14ac:dyDescent="0.25">
      <c r="A99" s="40">
        <v>42701</v>
      </c>
      <c r="B99" s="39">
        <v>0.38541666666666669</v>
      </c>
      <c r="C99" s="40">
        <v>42702</v>
      </c>
      <c r="D99" s="39">
        <v>0.44791666666666669</v>
      </c>
      <c r="E99" s="41">
        <v>25.5</v>
      </c>
      <c r="F99" s="42">
        <v>1.7</v>
      </c>
      <c r="G99" s="42">
        <v>2.2999999999999998</v>
      </c>
      <c r="H99" s="4">
        <v>2946</v>
      </c>
      <c r="I99" s="4">
        <v>3608</v>
      </c>
      <c r="J99" s="41">
        <f t="shared" si="6"/>
        <v>55.027280477408354</v>
      </c>
      <c r="K99" s="4">
        <v>11700</v>
      </c>
      <c r="L99" s="4">
        <v>54</v>
      </c>
      <c r="M99" s="43">
        <v>16.399999999999999</v>
      </c>
      <c r="N99" s="4">
        <v>33</v>
      </c>
      <c r="O99" s="4">
        <v>77</v>
      </c>
      <c r="P99" s="4">
        <v>0</v>
      </c>
      <c r="Q99" s="4">
        <v>1</v>
      </c>
      <c r="R99" s="4">
        <v>2</v>
      </c>
      <c r="S99" s="4">
        <v>0</v>
      </c>
      <c r="T99" s="4">
        <v>0</v>
      </c>
      <c r="U99" s="4">
        <v>0</v>
      </c>
      <c r="V99" s="4">
        <v>0</v>
      </c>
      <c r="W99" s="4">
        <v>0</v>
      </c>
      <c r="X99" s="44">
        <v>0</v>
      </c>
      <c r="Y99" s="44">
        <v>0</v>
      </c>
      <c r="Z99" s="4">
        <f t="shared" si="7"/>
        <v>0</v>
      </c>
      <c r="AA99" s="4">
        <f t="shared" si="8"/>
        <v>1.8172804313136164E-2</v>
      </c>
      <c r="AB99" s="4">
        <f t="shared" si="9"/>
        <v>3.6345608626272327E-2</v>
      </c>
      <c r="AC99" s="4">
        <f t="shared" si="10"/>
        <v>0</v>
      </c>
      <c r="AD99" s="4">
        <f t="shared" si="11"/>
        <v>0</v>
      </c>
    </row>
    <row r="100" spans="1:30" s="50" customFormat="1" x14ac:dyDescent="0.25">
      <c r="A100" s="46">
        <v>42702</v>
      </c>
      <c r="B100" s="47">
        <v>0.44791666666666669</v>
      </c>
      <c r="C100" s="46">
        <v>42703</v>
      </c>
      <c r="D100" s="47">
        <v>0.40625</v>
      </c>
      <c r="E100" s="48">
        <v>23</v>
      </c>
      <c r="F100" s="49">
        <v>2.1</v>
      </c>
      <c r="G100" s="49">
        <v>2.6</v>
      </c>
      <c r="H100" s="50">
        <v>3295</v>
      </c>
      <c r="I100" s="50">
        <v>1431</v>
      </c>
      <c r="J100" s="48">
        <f t="shared" si="6"/>
        <v>35.323870573870572</v>
      </c>
      <c r="K100" s="50">
        <v>12400</v>
      </c>
      <c r="L100" s="50">
        <v>53</v>
      </c>
      <c r="M100" s="51">
        <v>25.45</v>
      </c>
      <c r="N100" s="50">
        <v>67</v>
      </c>
      <c r="O100" s="50">
        <v>67</v>
      </c>
      <c r="P100" s="50">
        <v>0</v>
      </c>
      <c r="Q100" s="50">
        <v>0</v>
      </c>
      <c r="R100" s="50">
        <v>1</v>
      </c>
      <c r="S100" s="50">
        <v>0</v>
      </c>
      <c r="T100" s="50">
        <v>0</v>
      </c>
      <c r="U100" s="50">
        <v>0</v>
      </c>
      <c r="V100" s="50">
        <v>0</v>
      </c>
      <c r="W100" s="50">
        <v>0</v>
      </c>
      <c r="X100" s="52">
        <v>0</v>
      </c>
      <c r="Y100" s="52">
        <v>0</v>
      </c>
      <c r="Z100" s="50">
        <f t="shared" si="7"/>
        <v>0</v>
      </c>
      <c r="AA100" s="50">
        <f t="shared" si="8"/>
        <v>0</v>
      </c>
      <c r="AB100" s="50">
        <f t="shared" si="9"/>
        <v>2.830946846294104E-2</v>
      </c>
      <c r="AC100" s="50">
        <f t="shared" si="10"/>
        <v>0</v>
      </c>
      <c r="AD100" s="50">
        <f t="shared" si="11"/>
        <v>0</v>
      </c>
    </row>
    <row r="101" spans="1:30" s="50" customFormat="1" x14ac:dyDescent="0.25">
      <c r="A101" s="46">
        <v>42703</v>
      </c>
      <c r="B101" s="47">
        <v>0.40625</v>
      </c>
      <c r="C101" s="46">
        <v>42704</v>
      </c>
      <c r="D101" s="47">
        <v>0.48958333333333331</v>
      </c>
      <c r="E101" s="48">
        <v>26</v>
      </c>
      <c r="F101" s="49">
        <v>2.2999999999999998</v>
      </c>
      <c r="G101" s="49">
        <v>2.7</v>
      </c>
      <c r="H101" s="50">
        <v>701</v>
      </c>
      <c r="I101" s="50">
        <v>2785</v>
      </c>
      <c r="J101" s="48">
        <f t="shared" si="6"/>
        <v>22.271068169618896</v>
      </c>
      <c r="K101" s="50">
        <v>10700</v>
      </c>
      <c r="L101" s="50">
        <v>53</v>
      </c>
      <c r="M101" s="51">
        <v>27.3</v>
      </c>
      <c r="N101" s="50">
        <v>65</v>
      </c>
      <c r="O101" s="50">
        <v>70</v>
      </c>
      <c r="P101" s="50">
        <v>0</v>
      </c>
      <c r="Q101" s="50">
        <v>0</v>
      </c>
      <c r="R101" s="50">
        <v>2</v>
      </c>
      <c r="S101" s="50">
        <v>0</v>
      </c>
      <c r="T101" s="50">
        <v>0</v>
      </c>
      <c r="U101" s="50">
        <v>0</v>
      </c>
      <c r="V101" s="50">
        <v>0</v>
      </c>
      <c r="W101" s="50">
        <v>0</v>
      </c>
      <c r="X101" s="52">
        <v>0</v>
      </c>
      <c r="Y101" s="52">
        <v>0</v>
      </c>
      <c r="Z101" s="50">
        <f t="shared" si="7"/>
        <v>0</v>
      </c>
      <c r="AA101" s="50">
        <f t="shared" si="8"/>
        <v>0</v>
      </c>
      <c r="AB101" s="50">
        <f t="shared" si="9"/>
        <v>8.9802607794461448E-2</v>
      </c>
      <c r="AC101" s="50">
        <f t="shared" si="10"/>
        <v>0</v>
      </c>
      <c r="AD101" s="50">
        <f t="shared" si="11"/>
        <v>0</v>
      </c>
    </row>
    <row r="102" spans="1:30" s="50" customFormat="1" x14ac:dyDescent="0.25">
      <c r="A102" s="46">
        <v>42704</v>
      </c>
      <c r="B102" s="47">
        <v>0.48958333333333331</v>
      </c>
      <c r="C102" s="46">
        <v>42705</v>
      </c>
      <c r="D102" s="47">
        <v>0.41666666666666669</v>
      </c>
      <c r="E102" s="48">
        <v>20.5</v>
      </c>
      <c r="F102" s="49">
        <v>2.2000000000000002</v>
      </c>
      <c r="G102" s="49">
        <v>2.6</v>
      </c>
      <c r="H102" s="50">
        <v>2513</v>
      </c>
      <c r="I102" s="50">
        <v>3003</v>
      </c>
      <c r="J102" s="48">
        <f t="shared" si="6"/>
        <v>38.287878787878782</v>
      </c>
      <c r="K102" s="50">
        <v>9610</v>
      </c>
      <c r="L102" s="50">
        <v>52</v>
      </c>
      <c r="M102" s="51">
        <v>22.9</v>
      </c>
      <c r="N102" s="50">
        <v>37</v>
      </c>
      <c r="O102" s="50">
        <v>81</v>
      </c>
      <c r="P102" s="50">
        <v>0</v>
      </c>
      <c r="Q102" s="50">
        <v>1</v>
      </c>
      <c r="R102" s="50">
        <v>4</v>
      </c>
      <c r="S102" s="50">
        <v>0</v>
      </c>
      <c r="T102" s="50">
        <v>0</v>
      </c>
      <c r="U102" s="50">
        <v>0</v>
      </c>
      <c r="V102" s="50">
        <v>0</v>
      </c>
      <c r="W102" s="50">
        <v>0</v>
      </c>
      <c r="X102" s="52">
        <v>0</v>
      </c>
      <c r="Y102" s="52">
        <v>0</v>
      </c>
      <c r="Z102" s="50">
        <f t="shared" si="7"/>
        <v>0</v>
      </c>
      <c r="AA102" s="50">
        <f t="shared" si="8"/>
        <v>2.611792639493471E-2</v>
      </c>
      <c r="AB102" s="50">
        <f t="shared" si="9"/>
        <v>0.10447170557973884</v>
      </c>
      <c r="AC102" s="50">
        <f t="shared" si="10"/>
        <v>0</v>
      </c>
      <c r="AD102" s="50">
        <f t="shared" si="11"/>
        <v>0</v>
      </c>
    </row>
    <row r="103" spans="1:30" s="50" customFormat="1" x14ac:dyDescent="0.25">
      <c r="A103" s="46">
        <v>42705</v>
      </c>
      <c r="B103" s="47">
        <v>0.41666666666666669</v>
      </c>
      <c r="C103" s="46">
        <v>42706</v>
      </c>
      <c r="D103" s="47">
        <v>0.40625</v>
      </c>
      <c r="E103" s="48">
        <v>23.75</v>
      </c>
      <c r="F103" s="49">
        <v>2.1</v>
      </c>
      <c r="G103" s="49">
        <v>2.5</v>
      </c>
      <c r="H103" s="50">
        <v>3072</v>
      </c>
      <c r="I103" s="50">
        <v>3376</v>
      </c>
      <c r="J103" s="48">
        <f t="shared" si="6"/>
        <v>46.887619047619047</v>
      </c>
      <c r="K103" s="50">
        <v>8750</v>
      </c>
      <c r="L103" s="50">
        <v>52</v>
      </c>
      <c r="M103" s="51">
        <v>15.5</v>
      </c>
      <c r="N103" s="50">
        <v>33</v>
      </c>
      <c r="O103" s="50">
        <v>92</v>
      </c>
      <c r="P103" s="50">
        <v>0</v>
      </c>
      <c r="Q103" s="50">
        <v>1</v>
      </c>
      <c r="R103" s="50">
        <v>3</v>
      </c>
      <c r="S103" s="50">
        <v>1</v>
      </c>
      <c r="T103" s="50">
        <v>0</v>
      </c>
      <c r="U103" s="50">
        <v>0</v>
      </c>
      <c r="V103" s="50">
        <v>0</v>
      </c>
      <c r="W103" s="50">
        <v>0</v>
      </c>
      <c r="X103" s="52">
        <v>0</v>
      </c>
      <c r="Y103" s="52">
        <v>0</v>
      </c>
      <c r="Z103" s="50">
        <f t="shared" si="7"/>
        <v>0</v>
      </c>
      <c r="AA103" s="50">
        <f t="shared" si="8"/>
        <v>2.1327591810204743E-2</v>
      </c>
      <c r="AB103" s="50">
        <f t="shared" si="9"/>
        <v>6.398277543061423E-2</v>
      </c>
      <c r="AC103" s="50">
        <f t="shared" si="10"/>
        <v>2.1327591810204743E-2</v>
      </c>
      <c r="AD103" s="50">
        <f t="shared" si="11"/>
        <v>0</v>
      </c>
    </row>
    <row r="104" spans="1:30" s="50" customFormat="1" x14ac:dyDescent="0.25">
      <c r="A104" s="53">
        <v>42706</v>
      </c>
      <c r="B104" s="47">
        <v>0.40625</v>
      </c>
      <c r="C104" s="46">
        <v>42707</v>
      </c>
      <c r="D104" s="47">
        <v>0.38541666666666669</v>
      </c>
      <c r="E104" s="48">
        <v>23.5</v>
      </c>
      <c r="F104" s="49">
        <v>2.1</v>
      </c>
      <c r="G104" s="49">
        <v>2.5</v>
      </c>
      <c r="H104" s="50">
        <v>2847</v>
      </c>
      <c r="I104" s="50">
        <v>3259</v>
      </c>
      <c r="J104" s="48">
        <f t="shared" si="6"/>
        <v>44.321904761904761</v>
      </c>
      <c r="K104" s="50">
        <v>8100</v>
      </c>
      <c r="L104" s="50">
        <v>52</v>
      </c>
      <c r="M104" s="51">
        <v>10.93</v>
      </c>
      <c r="N104" s="50">
        <v>35</v>
      </c>
      <c r="O104" s="50">
        <v>61</v>
      </c>
      <c r="P104" s="50">
        <v>0</v>
      </c>
      <c r="Q104" s="50">
        <v>1</v>
      </c>
      <c r="R104" s="50">
        <v>1</v>
      </c>
      <c r="S104" s="50">
        <v>0</v>
      </c>
      <c r="T104" s="50">
        <v>0</v>
      </c>
      <c r="U104" s="50">
        <v>0</v>
      </c>
      <c r="V104" s="50">
        <v>0</v>
      </c>
      <c r="W104" s="50">
        <v>0</v>
      </c>
      <c r="X104" s="52">
        <v>0</v>
      </c>
      <c r="Y104" s="52">
        <v>0</v>
      </c>
      <c r="Z104" s="50">
        <f t="shared" si="7"/>
        <v>0</v>
      </c>
      <c r="AA104" s="50">
        <f t="shared" si="8"/>
        <v>2.2562207228501441E-2</v>
      </c>
      <c r="AB104" s="50">
        <f t="shared" si="9"/>
        <v>2.2562207228501441E-2</v>
      </c>
      <c r="AC104" s="50">
        <f t="shared" si="10"/>
        <v>0</v>
      </c>
      <c r="AD104" s="50">
        <f t="shared" si="11"/>
        <v>0</v>
      </c>
    </row>
    <row r="105" spans="1:30" s="50" customFormat="1" x14ac:dyDescent="0.25">
      <c r="A105" s="53">
        <v>42707</v>
      </c>
      <c r="B105" s="47">
        <v>0.38541666666666669</v>
      </c>
      <c r="C105" s="46">
        <v>42708</v>
      </c>
      <c r="D105" s="47">
        <v>0.38541666666666669</v>
      </c>
      <c r="E105" s="48">
        <v>24</v>
      </c>
      <c r="F105" s="49">
        <v>1.9</v>
      </c>
      <c r="G105" s="49">
        <v>2.2000000000000002</v>
      </c>
      <c r="H105" s="50">
        <v>2569</v>
      </c>
      <c r="I105" s="50">
        <v>2936</v>
      </c>
      <c r="J105" s="48">
        <f t="shared" si="6"/>
        <v>44.777511961722482</v>
      </c>
      <c r="K105" s="50">
        <v>7530</v>
      </c>
      <c r="L105" s="50">
        <v>51</v>
      </c>
      <c r="M105" s="51">
        <v>13.1</v>
      </c>
      <c r="P105" s="50">
        <v>0</v>
      </c>
      <c r="Q105" s="50">
        <v>0</v>
      </c>
      <c r="R105" s="50">
        <v>0</v>
      </c>
      <c r="S105" s="50">
        <v>0</v>
      </c>
      <c r="T105" s="50">
        <v>0</v>
      </c>
      <c r="U105" s="50">
        <v>0</v>
      </c>
      <c r="V105" s="50">
        <v>0</v>
      </c>
      <c r="W105" s="50">
        <v>0</v>
      </c>
      <c r="X105" s="52">
        <v>0</v>
      </c>
      <c r="Y105" s="52">
        <v>0</v>
      </c>
      <c r="Z105" s="50">
        <f t="shared" si="7"/>
        <v>0</v>
      </c>
      <c r="AA105" s="50">
        <f t="shared" si="8"/>
        <v>0</v>
      </c>
      <c r="AB105" s="50">
        <f t="shared" si="9"/>
        <v>0</v>
      </c>
      <c r="AC105" s="50">
        <f t="shared" si="10"/>
        <v>0</v>
      </c>
      <c r="AD105" s="50">
        <f t="shared" si="11"/>
        <v>0</v>
      </c>
    </row>
    <row r="106" spans="1:30" s="50" customFormat="1" x14ac:dyDescent="0.25">
      <c r="A106" s="53">
        <v>42708</v>
      </c>
      <c r="B106" s="47">
        <v>0.38541666666666669</v>
      </c>
      <c r="C106" s="46">
        <v>42709</v>
      </c>
      <c r="D106" s="47">
        <v>0.38541666666666669</v>
      </c>
      <c r="E106" s="48">
        <v>24</v>
      </c>
      <c r="F106" s="49">
        <v>1.8</v>
      </c>
      <c r="G106" s="49">
        <v>2</v>
      </c>
      <c r="H106" s="50">
        <v>2579</v>
      </c>
      <c r="I106" s="50">
        <v>2940</v>
      </c>
      <c r="J106" s="48">
        <f t="shared" si="6"/>
        <v>48.379629629629633</v>
      </c>
      <c r="K106" s="50">
        <v>7100</v>
      </c>
      <c r="L106" s="50">
        <v>52</v>
      </c>
      <c r="M106" s="51">
        <v>12.27</v>
      </c>
      <c r="N106" s="50">
        <v>38</v>
      </c>
      <c r="O106" s="50">
        <v>38</v>
      </c>
      <c r="P106" s="50">
        <v>0</v>
      </c>
      <c r="Q106" s="50">
        <v>1</v>
      </c>
      <c r="R106" s="50">
        <v>0</v>
      </c>
      <c r="S106" s="50">
        <v>0</v>
      </c>
      <c r="T106" s="50">
        <v>0</v>
      </c>
      <c r="U106" s="50">
        <v>0</v>
      </c>
      <c r="V106" s="50">
        <v>0</v>
      </c>
      <c r="W106" s="50">
        <v>0</v>
      </c>
      <c r="X106" s="52">
        <v>0</v>
      </c>
      <c r="Y106" s="52">
        <v>0</v>
      </c>
      <c r="Z106" s="50">
        <f t="shared" si="7"/>
        <v>0</v>
      </c>
      <c r="AA106" s="50">
        <f t="shared" si="8"/>
        <v>2.066985645933014E-2</v>
      </c>
      <c r="AB106" s="50">
        <f t="shared" si="9"/>
        <v>0</v>
      </c>
      <c r="AC106" s="50">
        <f t="shared" si="10"/>
        <v>0</v>
      </c>
      <c r="AD106" s="50">
        <f t="shared" si="11"/>
        <v>0</v>
      </c>
    </row>
    <row r="107" spans="1:30" s="50" customFormat="1" x14ac:dyDescent="0.25">
      <c r="A107" s="46">
        <v>42709</v>
      </c>
      <c r="B107" s="47">
        <v>0.38541666666666669</v>
      </c>
      <c r="C107" s="46">
        <v>42710</v>
      </c>
      <c r="D107" s="47">
        <v>0.39583333333333331</v>
      </c>
      <c r="E107" s="48">
        <v>24.25</v>
      </c>
      <c r="F107" s="49">
        <v>1.9</v>
      </c>
      <c r="G107" s="49">
        <v>2.1</v>
      </c>
      <c r="H107" s="50">
        <v>2569</v>
      </c>
      <c r="I107" s="50">
        <v>2858</v>
      </c>
      <c r="J107" s="48">
        <f t="shared" si="6"/>
        <v>45.21762740183793</v>
      </c>
      <c r="K107" s="50">
        <v>6910</v>
      </c>
      <c r="L107" s="50">
        <v>51</v>
      </c>
      <c r="M107" s="51">
        <v>13</v>
      </c>
      <c r="P107" s="50">
        <v>0</v>
      </c>
      <c r="Q107" s="50">
        <v>0</v>
      </c>
      <c r="R107" s="50">
        <v>0</v>
      </c>
      <c r="S107" s="50">
        <v>0</v>
      </c>
      <c r="T107" s="50">
        <v>0</v>
      </c>
      <c r="U107" s="50">
        <v>0</v>
      </c>
      <c r="V107" s="50">
        <v>0</v>
      </c>
      <c r="W107" s="50">
        <v>0</v>
      </c>
      <c r="X107" s="52">
        <v>0</v>
      </c>
      <c r="Y107" s="52">
        <v>0</v>
      </c>
      <c r="Z107" s="50">
        <f t="shared" si="7"/>
        <v>0</v>
      </c>
      <c r="AA107" s="50">
        <f t="shared" si="8"/>
        <v>0</v>
      </c>
      <c r="AB107" s="50">
        <f t="shared" si="9"/>
        <v>0</v>
      </c>
      <c r="AC107" s="50">
        <f t="shared" si="10"/>
        <v>0</v>
      </c>
      <c r="AD107" s="50">
        <f t="shared" si="11"/>
        <v>0</v>
      </c>
    </row>
    <row r="108" spans="1:30" s="50" customFormat="1" x14ac:dyDescent="0.25">
      <c r="A108" s="46">
        <v>42710</v>
      </c>
      <c r="B108" s="47">
        <v>0.39583333333333331</v>
      </c>
      <c r="C108" s="46">
        <v>42711</v>
      </c>
      <c r="D108" s="47">
        <v>0.46875</v>
      </c>
      <c r="E108" s="48">
        <v>25.75</v>
      </c>
      <c r="F108" s="49">
        <v>1.9</v>
      </c>
      <c r="G108" s="49">
        <v>2.2000000000000002</v>
      </c>
      <c r="H108" s="50">
        <v>323</v>
      </c>
      <c r="I108" s="50">
        <v>3292</v>
      </c>
      <c r="J108" s="48">
        <f t="shared" si="6"/>
        <v>27.77272727272727</v>
      </c>
      <c r="K108" s="50">
        <v>6790</v>
      </c>
      <c r="L108" s="50">
        <v>50</v>
      </c>
      <c r="M108" s="51">
        <v>10.41</v>
      </c>
      <c r="P108" s="50">
        <v>0</v>
      </c>
      <c r="Q108" s="50">
        <v>0</v>
      </c>
      <c r="R108" s="50">
        <v>0</v>
      </c>
      <c r="S108" s="50">
        <v>0</v>
      </c>
      <c r="T108" s="50">
        <v>0</v>
      </c>
      <c r="U108" s="50">
        <v>0</v>
      </c>
      <c r="V108" s="50">
        <v>0</v>
      </c>
      <c r="W108" s="50">
        <v>0</v>
      </c>
      <c r="X108" s="52">
        <v>0</v>
      </c>
      <c r="Y108" s="52">
        <v>0</v>
      </c>
      <c r="Z108" s="50">
        <f t="shared" si="7"/>
        <v>0</v>
      </c>
      <c r="AA108" s="50">
        <f t="shared" si="8"/>
        <v>0</v>
      </c>
      <c r="AB108" s="50">
        <f t="shared" si="9"/>
        <v>0</v>
      </c>
      <c r="AC108" s="50">
        <f t="shared" si="10"/>
        <v>0</v>
      </c>
      <c r="AD108" s="50">
        <f t="shared" si="11"/>
        <v>0</v>
      </c>
    </row>
    <row r="109" spans="1:30" s="50" customFormat="1" x14ac:dyDescent="0.25">
      <c r="A109" s="46">
        <v>42711</v>
      </c>
      <c r="B109" s="47">
        <v>0.46875</v>
      </c>
      <c r="C109" s="46">
        <v>42712</v>
      </c>
      <c r="D109" s="47">
        <v>0.40625</v>
      </c>
      <c r="E109" s="48">
        <v>22.5</v>
      </c>
      <c r="F109" s="49">
        <v>2</v>
      </c>
      <c r="G109" s="49">
        <v>2.2000000000000002</v>
      </c>
      <c r="H109" s="50">
        <v>2503</v>
      </c>
      <c r="I109" s="50">
        <v>2818</v>
      </c>
      <c r="J109" s="48">
        <f t="shared" si="6"/>
        <v>42.206818181818186</v>
      </c>
      <c r="K109" s="50">
        <v>6700</v>
      </c>
      <c r="L109" s="50">
        <v>50</v>
      </c>
      <c r="M109" s="51">
        <v>9.1300000000000008</v>
      </c>
      <c r="P109" s="50">
        <v>0</v>
      </c>
      <c r="Q109" s="50">
        <v>0</v>
      </c>
      <c r="R109" s="50">
        <v>0</v>
      </c>
      <c r="S109" s="50">
        <v>0</v>
      </c>
      <c r="T109" s="50">
        <v>0</v>
      </c>
      <c r="U109" s="50">
        <v>0</v>
      </c>
      <c r="V109" s="50">
        <v>0</v>
      </c>
      <c r="W109" s="50">
        <v>0</v>
      </c>
      <c r="X109" s="52">
        <v>0</v>
      </c>
      <c r="Y109" s="52">
        <v>0</v>
      </c>
      <c r="Z109" s="50">
        <f t="shared" si="7"/>
        <v>0</v>
      </c>
      <c r="AA109" s="50">
        <f t="shared" si="8"/>
        <v>0</v>
      </c>
      <c r="AB109" s="50">
        <f t="shared" si="9"/>
        <v>0</v>
      </c>
      <c r="AC109" s="50">
        <f t="shared" si="10"/>
        <v>0</v>
      </c>
      <c r="AD109" s="50">
        <f t="shared" si="11"/>
        <v>0</v>
      </c>
    </row>
    <row r="110" spans="1:30" s="50" customFormat="1" x14ac:dyDescent="0.25">
      <c r="A110" s="46">
        <v>42712</v>
      </c>
      <c r="B110" s="47">
        <v>0.40625</v>
      </c>
      <c r="C110" s="46">
        <v>42713</v>
      </c>
      <c r="D110" s="47">
        <v>0.41666666666666669</v>
      </c>
      <c r="E110" s="48">
        <v>24.25</v>
      </c>
      <c r="F110" s="49">
        <v>2</v>
      </c>
      <c r="G110" s="49">
        <v>2</v>
      </c>
      <c r="H110" s="50">
        <v>2706</v>
      </c>
      <c r="I110" s="50">
        <v>2889</v>
      </c>
      <c r="J110" s="48">
        <f t="shared" si="6"/>
        <v>46.625</v>
      </c>
      <c r="K110" s="50">
        <v>6790</v>
      </c>
      <c r="L110" s="50">
        <v>50</v>
      </c>
      <c r="M110" s="51">
        <v>9.17</v>
      </c>
      <c r="P110" s="50">
        <v>0</v>
      </c>
      <c r="Q110" s="50">
        <v>0</v>
      </c>
      <c r="R110" s="50">
        <v>0</v>
      </c>
      <c r="S110" s="50">
        <v>0</v>
      </c>
      <c r="T110" s="50">
        <v>0</v>
      </c>
      <c r="U110" s="50">
        <v>0</v>
      </c>
      <c r="V110" s="50">
        <v>0</v>
      </c>
      <c r="W110" s="50">
        <v>0</v>
      </c>
      <c r="X110" s="52">
        <v>0</v>
      </c>
      <c r="Y110" s="52">
        <v>0</v>
      </c>
      <c r="Z110" s="50">
        <f t="shared" si="7"/>
        <v>0</v>
      </c>
      <c r="AA110" s="50">
        <f t="shared" si="8"/>
        <v>0</v>
      </c>
      <c r="AB110" s="50">
        <f t="shared" si="9"/>
        <v>0</v>
      </c>
      <c r="AC110" s="50">
        <f t="shared" si="10"/>
        <v>0</v>
      </c>
      <c r="AD110" s="50">
        <f t="shared" si="11"/>
        <v>0</v>
      </c>
    </row>
    <row r="111" spans="1:30" s="50" customFormat="1" x14ac:dyDescent="0.25">
      <c r="A111" s="46">
        <v>42713</v>
      </c>
      <c r="B111" s="47">
        <v>0.41666666666666669</v>
      </c>
      <c r="C111" s="46">
        <v>42714</v>
      </c>
      <c r="D111" s="47">
        <v>0.45833333333333331</v>
      </c>
      <c r="E111" s="48">
        <v>25</v>
      </c>
      <c r="F111" s="49">
        <v>1.8</v>
      </c>
      <c r="G111" s="49">
        <v>1.9</v>
      </c>
      <c r="H111" s="50">
        <v>1978</v>
      </c>
      <c r="I111" s="50">
        <v>2238</v>
      </c>
      <c r="J111" s="48">
        <f t="shared" si="6"/>
        <v>37.946393762183241</v>
      </c>
      <c r="K111" s="50">
        <v>10100</v>
      </c>
      <c r="L111" s="50">
        <v>51</v>
      </c>
      <c r="M111" s="51">
        <v>15.1</v>
      </c>
      <c r="P111" s="50">
        <v>0</v>
      </c>
      <c r="Q111" s="50">
        <v>0</v>
      </c>
      <c r="R111" s="50">
        <v>0</v>
      </c>
      <c r="S111" s="50">
        <v>0</v>
      </c>
      <c r="T111" s="50">
        <v>0</v>
      </c>
      <c r="U111" s="50">
        <v>0</v>
      </c>
      <c r="V111" s="50">
        <v>0</v>
      </c>
      <c r="W111" s="50">
        <v>0</v>
      </c>
      <c r="X111" s="52">
        <v>0</v>
      </c>
      <c r="Y111" s="52">
        <v>0</v>
      </c>
      <c r="Z111" s="50">
        <f t="shared" si="7"/>
        <v>0</v>
      </c>
      <c r="AA111" s="50">
        <f t="shared" si="8"/>
        <v>0</v>
      </c>
      <c r="AB111" s="50">
        <f t="shared" si="9"/>
        <v>0</v>
      </c>
      <c r="AC111" s="50">
        <f t="shared" si="10"/>
        <v>0</v>
      </c>
      <c r="AD111" s="50">
        <f t="shared" si="11"/>
        <v>0</v>
      </c>
    </row>
    <row r="112" spans="1:30" s="50" customFormat="1" x14ac:dyDescent="0.25">
      <c r="A112" s="46">
        <v>42714</v>
      </c>
      <c r="B112" s="47">
        <v>0.45833333333333331</v>
      </c>
      <c r="C112" s="46">
        <v>42715</v>
      </c>
      <c r="D112" s="47">
        <v>0.45833333333333331</v>
      </c>
      <c r="E112" s="48">
        <v>24</v>
      </c>
      <c r="F112" s="49">
        <v>2</v>
      </c>
      <c r="G112" s="49">
        <v>2.5</v>
      </c>
      <c r="H112" s="50">
        <v>276</v>
      </c>
      <c r="I112" s="50">
        <v>1702</v>
      </c>
      <c r="J112" s="48">
        <f t="shared" si="6"/>
        <v>13.646666666666667</v>
      </c>
      <c r="K112" s="50">
        <v>17600</v>
      </c>
      <c r="L112" s="50">
        <v>51</v>
      </c>
      <c r="M112" s="51">
        <v>21.05</v>
      </c>
      <c r="P112" s="50">
        <v>0</v>
      </c>
      <c r="Q112" s="50">
        <v>0</v>
      </c>
      <c r="R112" s="50">
        <v>0</v>
      </c>
      <c r="S112" s="50">
        <v>0</v>
      </c>
      <c r="T112" s="50">
        <v>0</v>
      </c>
      <c r="U112" s="50">
        <v>0</v>
      </c>
      <c r="V112" s="50">
        <v>0</v>
      </c>
      <c r="W112" s="50">
        <v>0</v>
      </c>
      <c r="X112" s="52">
        <v>0</v>
      </c>
      <c r="Y112" s="52">
        <v>0</v>
      </c>
      <c r="Z112" s="50">
        <f t="shared" si="7"/>
        <v>0</v>
      </c>
      <c r="AA112" s="50">
        <f t="shared" si="8"/>
        <v>0</v>
      </c>
      <c r="AB112" s="50">
        <f t="shared" si="9"/>
        <v>0</v>
      </c>
      <c r="AC112" s="50">
        <f t="shared" si="10"/>
        <v>0</v>
      </c>
      <c r="AD112" s="50">
        <f t="shared" si="11"/>
        <v>0</v>
      </c>
    </row>
    <row r="113" spans="1:31" s="50" customFormat="1" x14ac:dyDescent="0.25">
      <c r="A113" s="46">
        <v>42715</v>
      </c>
      <c r="B113" s="47">
        <v>0.45833333333333331</v>
      </c>
      <c r="C113" s="46">
        <v>42715</v>
      </c>
      <c r="D113" s="47">
        <v>0.15625</v>
      </c>
      <c r="E113" s="48">
        <v>4.75</v>
      </c>
      <c r="F113" s="49">
        <v>1.5</v>
      </c>
      <c r="G113" s="49">
        <v>1.7</v>
      </c>
      <c r="H113" s="50">
        <v>362</v>
      </c>
      <c r="I113" s="50">
        <v>397</v>
      </c>
      <c r="J113" s="48">
        <f t="shared" si="6"/>
        <v>7.9143790849673206</v>
      </c>
      <c r="K113" s="50">
        <v>21000</v>
      </c>
      <c r="M113" s="51"/>
      <c r="P113" s="50">
        <v>0</v>
      </c>
      <c r="Q113" s="50">
        <v>0</v>
      </c>
      <c r="R113" s="50">
        <v>0</v>
      </c>
      <c r="S113" s="50">
        <v>0</v>
      </c>
      <c r="T113" s="50">
        <v>0</v>
      </c>
      <c r="U113" s="50">
        <v>0</v>
      </c>
      <c r="V113" s="50">
        <v>0</v>
      </c>
      <c r="W113" s="50">
        <v>0</v>
      </c>
      <c r="X113" s="52">
        <v>0</v>
      </c>
      <c r="Y113" s="52">
        <v>0</v>
      </c>
      <c r="Z113" s="50">
        <f t="shared" si="7"/>
        <v>0</v>
      </c>
      <c r="AA113" s="50">
        <f t="shared" si="8"/>
        <v>0</v>
      </c>
      <c r="AB113" s="50">
        <f t="shared" si="9"/>
        <v>0</v>
      </c>
      <c r="AC113" s="50">
        <f t="shared" si="10"/>
        <v>0</v>
      </c>
      <c r="AD113" s="50">
        <f t="shared" si="11"/>
        <v>0</v>
      </c>
      <c r="AE113" s="50" t="s">
        <v>34</v>
      </c>
    </row>
    <row r="114" spans="1:31" s="50" customFormat="1" x14ac:dyDescent="0.25">
      <c r="A114" s="46">
        <v>42716</v>
      </c>
      <c r="B114" s="47">
        <v>0.47916666666666669</v>
      </c>
      <c r="C114" s="46">
        <v>42716</v>
      </c>
      <c r="D114" s="47">
        <v>0.13541666666666666</v>
      </c>
      <c r="E114" s="48">
        <v>3.75</v>
      </c>
      <c r="F114" s="49">
        <v>2.2000000000000002</v>
      </c>
      <c r="G114" s="49">
        <v>2.4</v>
      </c>
      <c r="H114" s="50">
        <v>325</v>
      </c>
      <c r="I114" s="50">
        <v>421</v>
      </c>
      <c r="J114" s="48">
        <f t="shared" si="6"/>
        <v>5.3857323232323226</v>
      </c>
      <c r="K114" s="50">
        <v>24600</v>
      </c>
      <c r="L114" s="50">
        <v>53</v>
      </c>
      <c r="M114" s="54">
        <v>308.5</v>
      </c>
      <c r="N114" s="50">
        <v>32</v>
      </c>
      <c r="O114" s="50">
        <v>170</v>
      </c>
      <c r="P114" s="50">
        <f>4+9</f>
        <v>13</v>
      </c>
      <c r="Q114" s="50">
        <f>7+10</f>
        <v>17</v>
      </c>
      <c r="R114" s="50">
        <f>4+9</f>
        <v>13</v>
      </c>
      <c r="S114" s="50">
        <f>2+2</f>
        <v>4</v>
      </c>
      <c r="T114" s="50">
        <v>0</v>
      </c>
      <c r="U114" s="50">
        <v>0</v>
      </c>
      <c r="V114" s="50">
        <v>0</v>
      </c>
      <c r="W114" s="50">
        <f>4+7</f>
        <v>11</v>
      </c>
      <c r="X114" s="52">
        <v>0</v>
      </c>
      <c r="Y114" s="52">
        <v>0</v>
      </c>
      <c r="Z114" s="50">
        <f t="shared" si="7"/>
        <v>2.4137850193412262</v>
      </c>
      <c r="AA114" s="50">
        <f t="shared" si="8"/>
        <v>3.1564881022154498</v>
      </c>
      <c r="AB114" s="50">
        <f t="shared" si="9"/>
        <v>2.4137850193412262</v>
      </c>
      <c r="AC114" s="50">
        <f t="shared" si="10"/>
        <v>0.74270308287422349</v>
      </c>
      <c r="AD114" s="50">
        <f t="shared" si="11"/>
        <v>0</v>
      </c>
      <c r="AE114" s="50" t="s">
        <v>35</v>
      </c>
    </row>
    <row r="115" spans="1:31" s="50" customFormat="1" x14ac:dyDescent="0.25">
      <c r="A115" s="46">
        <v>42716</v>
      </c>
      <c r="B115" s="47">
        <v>0.13541666666666666</v>
      </c>
      <c r="C115" s="46">
        <v>42717</v>
      </c>
      <c r="D115" s="47">
        <v>0.42708333333333331</v>
      </c>
      <c r="E115" s="48">
        <v>19</v>
      </c>
      <c r="F115" s="49">
        <v>2.5</v>
      </c>
      <c r="G115" s="49">
        <v>2.6</v>
      </c>
      <c r="H115" s="50">
        <v>1905</v>
      </c>
      <c r="I115" s="50">
        <v>2444</v>
      </c>
      <c r="J115" s="48">
        <f t="shared" si="6"/>
        <v>28.366666666666667</v>
      </c>
      <c r="K115" s="50">
        <v>22000</v>
      </c>
      <c r="L115" s="50">
        <v>51</v>
      </c>
      <c r="M115" s="51">
        <v>175.8</v>
      </c>
      <c r="N115" s="50">
        <v>32</v>
      </c>
      <c r="O115" s="50">
        <v>181</v>
      </c>
      <c r="P115" s="50">
        <f>10+9</f>
        <v>19</v>
      </c>
      <c r="Q115" s="50">
        <f>4+4</f>
        <v>8</v>
      </c>
      <c r="R115" s="50">
        <f>5+1</f>
        <v>6</v>
      </c>
      <c r="S115" s="50">
        <f>3+1</f>
        <v>4</v>
      </c>
      <c r="T115" s="50">
        <f>1+2</f>
        <v>3</v>
      </c>
      <c r="U115" s="50">
        <v>0</v>
      </c>
      <c r="V115" s="50">
        <v>0</v>
      </c>
      <c r="W115" s="50">
        <f>21+23</f>
        <v>44</v>
      </c>
      <c r="X115" s="52">
        <v>0</v>
      </c>
      <c r="Y115" s="52">
        <v>0</v>
      </c>
      <c r="Z115" s="50">
        <f t="shared" si="7"/>
        <v>0.66980023501762631</v>
      </c>
      <c r="AA115" s="50">
        <f t="shared" si="8"/>
        <v>0.28202115158636898</v>
      </c>
      <c r="AB115" s="50">
        <f t="shared" si="9"/>
        <v>0.21151586368977673</v>
      </c>
      <c r="AC115" s="50">
        <f t="shared" si="10"/>
        <v>0.14101057579318449</v>
      </c>
      <c r="AD115" s="50">
        <f t="shared" si="11"/>
        <v>0</v>
      </c>
      <c r="AE115" s="50" t="s">
        <v>36</v>
      </c>
    </row>
    <row r="116" spans="1:31" s="50" customFormat="1" x14ac:dyDescent="0.25">
      <c r="A116" s="46">
        <v>42717</v>
      </c>
      <c r="B116" s="47">
        <v>0.42708333333333331</v>
      </c>
      <c r="C116" s="46">
        <v>42718</v>
      </c>
      <c r="D116" s="47">
        <v>0.40625</v>
      </c>
      <c r="E116" s="48">
        <v>23.5</v>
      </c>
      <c r="F116" s="49">
        <v>1.5</v>
      </c>
      <c r="G116" s="49">
        <v>2</v>
      </c>
      <c r="H116" s="50">
        <v>1938</v>
      </c>
      <c r="I116" s="50">
        <v>3107</v>
      </c>
      <c r="J116" s="48">
        <f t="shared" si="6"/>
        <v>47.424999999999997</v>
      </c>
      <c r="K116" s="50">
        <v>17500</v>
      </c>
      <c r="L116" s="50">
        <v>50</v>
      </c>
      <c r="M116" s="51">
        <v>87</v>
      </c>
      <c r="N116" s="50">
        <v>33</v>
      </c>
      <c r="O116" s="50">
        <v>170</v>
      </c>
      <c r="P116" s="50">
        <f>6+9</f>
        <v>15</v>
      </c>
      <c r="Q116" s="50">
        <f>4+10</f>
        <v>14</v>
      </c>
      <c r="R116" s="50">
        <f>1+2</f>
        <v>3</v>
      </c>
      <c r="S116" s="50">
        <f>0+4</f>
        <v>4</v>
      </c>
      <c r="T116" s="50">
        <f>1</f>
        <v>1</v>
      </c>
      <c r="U116" s="50">
        <f>0</f>
        <v>0</v>
      </c>
      <c r="V116" s="50">
        <v>0</v>
      </c>
      <c r="W116" s="50">
        <f>6+13</f>
        <v>19</v>
      </c>
      <c r="X116" s="52">
        <v>0</v>
      </c>
      <c r="Y116" s="52">
        <v>0</v>
      </c>
      <c r="Z116" s="50">
        <f t="shared" si="7"/>
        <v>0.31628887717448606</v>
      </c>
      <c r="AA116" s="50">
        <f t="shared" si="8"/>
        <v>0.29520295202952029</v>
      </c>
      <c r="AB116" s="50">
        <f t="shared" si="9"/>
        <v>6.3257775434897204E-2</v>
      </c>
      <c r="AC116" s="50">
        <f t="shared" si="10"/>
        <v>8.4343700579862943E-2</v>
      </c>
      <c r="AD116" s="50">
        <f t="shared" si="11"/>
        <v>0</v>
      </c>
      <c r="AE116" s="50" t="s">
        <v>37</v>
      </c>
    </row>
    <row r="117" spans="1:31" s="50" customFormat="1" x14ac:dyDescent="0.25">
      <c r="A117" s="46">
        <v>42718</v>
      </c>
      <c r="B117" s="47">
        <v>0.40625</v>
      </c>
      <c r="C117" s="46">
        <v>42719</v>
      </c>
      <c r="D117" s="47">
        <v>0.40625</v>
      </c>
      <c r="E117" s="48">
        <v>24</v>
      </c>
      <c r="F117" s="49">
        <v>1.5</v>
      </c>
      <c r="G117" s="49">
        <v>1.9</v>
      </c>
      <c r="H117" s="50">
        <v>1453</v>
      </c>
      <c r="I117" s="50">
        <v>2659</v>
      </c>
      <c r="J117" s="48">
        <f t="shared" si="6"/>
        <v>39.46900584795322</v>
      </c>
      <c r="K117" s="50">
        <v>17900</v>
      </c>
      <c r="L117" s="50">
        <v>52</v>
      </c>
      <c r="M117" s="51">
        <v>62.4</v>
      </c>
      <c r="N117" s="50">
        <v>32</v>
      </c>
      <c r="O117" s="50">
        <v>171</v>
      </c>
      <c r="P117" s="50">
        <f>0+3</f>
        <v>3</v>
      </c>
      <c r="Q117" s="50">
        <f>3+3</f>
        <v>6</v>
      </c>
      <c r="R117" s="50">
        <f>1+2</f>
        <v>3</v>
      </c>
      <c r="S117" s="50">
        <f>1+1</f>
        <v>2</v>
      </c>
      <c r="T117" s="50">
        <v>0</v>
      </c>
      <c r="U117" s="50">
        <v>0</v>
      </c>
      <c r="V117" s="50">
        <v>0</v>
      </c>
      <c r="W117" s="50">
        <v>2</v>
      </c>
      <c r="X117" s="52">
        <v>0</v>
      </c>
      <c r="Y117" s="52">
        <v>0</v>
      </c>
      <c r="Z117" s="50">
        <f t="shared" si="7"/>
        <v>7.6009008475078521E-2</v>
      </c>
      <c r="AA117" s="50">
        <f t="shared" si="8"/>
        <v>0.15201801695015704</v>
      </c>
      <c r="AB117" s="50">
        <f t="shared" si="9"/>
        <v>7.6009008475078521E-2</v>
      </c>
      <c r="AC117" s="50">
        <f t="shared" si="10"/>
        <v>5.0672672316719014E-2</v>
      </c>
      <c r="AD117" s="50">
        <f t="shared" si="11"/>
        <v>0</v>
      </c>
    </row>
    <row r="118" spans="1:31" s="50" customFormat="1" x14ac:dyDescent="0.25">
      <c r="A118" s="46">
        <v>42719</v>
      </c>
      <c r="B118" s="47">
        <v>0.40625</v>
      </c>
      <c r="C118" s="46">
        <v>42720</v>
      </c>
      <c r="D118" s="47">
        <v>0.40625</v>
      </c>
      <c r="E118" s="48">
        <v>24</v>
      </c>
      <c r="F118" s="49">
        <v>2</v>
      </c>
      <c r="G118" s="49">
        <v>2</v>
      </c>
      <c r="H118" s="50">
        <v>1670</v>
      </c>
      <c r="I118" s="50">
        <v>1929</v>
      </c>
      <c r="J118" s="48">
        <f t="shared" si="6"/>
        <v>29.991666666666667</v>
      </c>
      <c r="K118" s="50">
        <v>24900</v>
      </c>
      <c r="L118" s="50">
        <v>50</v>
      </c>
      <c r="M118" s="51">
        <v>63.7</v>
      </c>
      <c r="N118" s="50">
        <v>34</v>
      </c>
      <c r="O118" s="50">
        <v>82</v>
      </c>
      <c r="P118" s="50">
        <f>0+5</f>
        <v>5</v>
      </c>
      <c r="Q118" s="50">
        <f>5+0</f>
        <v>5</v>
      </c>
      <c r="R118" s="50">
        <f>5+1</f>
        <v>6</v>
      </c>
      <c r="S118" s="50">
        <v>0</v>
      </c>
      <c r="T118" s="50">
        <v>1</v>
      </c>
      <c r="U118" s="50">
        <v>0</v>
      </c>
      <c r="V118" s="50">
        <v>0</v>
      </c>
      <c r="W118" s="50">
        <v>5</v>
      </c>
      <c r="X118" s="52">
        <v>0</v>
      </c>
      <c r="Y118" s="52">
        <v>0</v>
      </c>
      <c r="Z118" s="50">
        <f t="shared" si="7"/>
        <v>0.16671297582661851</v>
      </c>
      <c r="AA118" s="50">
        <f t="shared" si="8"/>
        <v>0.16671297582661851</v>
      </c>
      <c r="AB118" s="50">
        <f t="shared" si="9"/>
        <v>0.20005557099194221</v>
      </c>
      <c r="AC118" s="50">
        <f t="shared" si="10"/>
        <v>0</v>
      </c>
      <c r="AD118" s="50">
        <f t="shared" si="11"/>
        <v>0</v>
      </c>
      <c r="AE118" s="50" t="s">
        <v>38</v>
      </c>
    </row>
    <row r="119" spans="1:31" s="50" customFormat="1" x14ac:dyDescent="0.25">
      <c r="A119" s="46">
        <v>42720</v>
      </c>
      <c r="B119" s="47">
        <v>0.40625</v>
      </c>
      <c r="C119" s="46">
        <v>42721</v>
      </c>
      <c r="D119" s="47">
        <v>0.41666666666666669</v>
      </c>
      <c r="E119" s="48">
        <v>24.25</v>
      </c>
      <c r="F119" s="49">
        <v>2.1</v>
      </c>
      <c r="G119" s="49">
        <v>2.6</v>
      </c>
      <c r="H119" s="50">
        <v>950</v>
      </c>
      <c r="I119" s="50">
        <v>739</v>
      </c>
      <c r="J119" s="48">
        <f t="shared" si="6"/>
        <v>12.276862026862027</v>
      </c>
      <c r="K119" s="50">
        <v>26700</v>
      </c>
      <c r="L119" s="50">
        <v>50</v>
      </c>
      <c r="M119" s="51">
        <v>263</v>
      </c>
      <c r="N119" s="50">
        <v>36</v>
      </c>
      <c r="O119" s="50">
        <v>82</v>
      </c>
      <c r="P119" s="50">
        <f>1+3</f>
        <v>4</v>
      </c>
      <c r="Q119" s="50">
        <f>2</f>
        <v>2</v>
      </c>
      <c r="R119" s="50">
        <v>4</v>
      </c>
      <c r="S119" s="50">
        <v>0</v>
      </c>
      <c r="T119" s="50">
        <v>0</v>
      </c>
      <c r="U119" s="50">
        <v>0</v>
      </c>
      <c r="V119" s="50">
        <v>0</v>
      </c>
      <c r="W119" s="50">
        <v>0</v>
      </c>
      <c r="X119" s="52">
        <v>0</v>
      </c>
      <c r="Y119" s="52">
        <v>0</v>
      </c>
      <c r="Z119" s="50">
        <f t="shared" si="7"/>
        <v>0.32581615654292745</v>
      </c>
      <c r="AA119" s="50">
        <f t="shared" si="8"/>
        <v>0.16290807827146372</v>
      </c>
      <c r="AB119" s="50">
        <f t="shared" si="9"/>
        <v>0.32581615654292745</v>
      </c>
      <c r="AC119" s="50">
        <f t="shared" si="10"/>
        <v>0</v>
      </c>
      <c r="AD119" s="50">
        <f t="shared" si="11"/>
        <v>0</v>
      </c>
    </row>
    <row r="120" spans="1:31" s="50" customFormat="1" x14ac:dyDescent="0.25">
      <c r="A120" s="46">
        <v>42721</v>
      </c>
      <c r="B120" s="47">
        <v>0.52083333333333337</v>
      </c>
      <c r="C120" s="46">
        <v>42721</v>
      </c>
      <c r="D120" s="47">
        <v>0.10416666666666667</v>
      </c>
      <c r="E120" s="48">
        <v>2</v>
      </c>
      <c r="F120" s="49">
        <v>2.5</v>
      </c>
      <c r="G120" s="49">
        <v>1.6</v>
      </c>
      <c r="H120" s="50">
        <v>99</v>
      </c>
      <c r="I120" s="50">
        <v>90</v>
      </c>
      <c r="J120" s="48">
        <f t="shared" si="6"/>
        <v>1.5974999999999999</v>
      </c>
      <c r="K120" s="50">
        <v>26900</v>
      </c>
      <c r="L120" s="50">
        <v>52</v>
      </c>
      <c r="M120" s="51">
        <v>263</v>
      </c>
      <c r="N120" s="50">
        <v>35</v>
      </c>
      <c r="O120" s="50">
        <v>39</v>
      </c>
      <c r="P120" s="50">
        <f>1+3</f>
        <v>4</v>
      </c>
      <c r="Q120" s="50">
        <f>2+2</f>
        <v>4</v>
      </c>
      <c r="R120" s="50">
        <v>0</v>
      </c>
      <c r="S120" s="50">
        <v>0</v>
      </c>
      <c r="T120" s="50">
        <v>0</v>
      </c>
      <c r="U120" s="50">
        <v>0</v>
      </c>
      <c r="V120" s="50">
        <v>0</v>
      </c>
      <c r="W120" s="50">
        <v>0</v>
      </c>
      <c r="X120" s="52">
        <v>0</v>
      </c>
      <c r="Y120" s="52">
        <v>0</v>
      </c>
      <c r="Z120" s="50">
        <f t="shared" si="7"/>
        <v>2.5039123630672928</v>
      </c>
      <c r="AA120" s="50">
        <f t="shared" si="8"/>
        <v>2.5039123630672928</v>
      </c>
      <c r="AB120" s="50">
        <f t="shared" si="9"/>
        <v>0</v>
      </c>
      <c r="AC120" s="50">
        <f t="shared" si="10"/>
        <v>0</v>
      </c>
      <c r="AD120" s="50">
        <f t="shared" si="11"/>
        <v>0</v>
      </c>
      <c r="AE120" s="50" t="s">
        <v>39</v>
      </c>
    </row>
    <row r="121" spans="1:31" s="50" customFormat="1" x14ac:dyDescent="0.25">
      <c r="A121" s="53">
        <v>42722</v>
      </c>
      <c r="B121" s="47">
        <v>0.375</v>
      </c>
      <c r="C121" s="46">
        <v>42722</v>
      </c>
      <c r="D121" s="47">
        <v>9.375E-2</v>
      </c>
      <c r="E121" s="48">
        <v>5.25</v>
      </c>
      <c r="F121" s="49">
        <v>1.9</v>
      </c>
      <c r="G121" s="49">
        <v>2.2999999999999998</v>
      </c>
      <c r="H121" s="50">
        <v>522</v>
      </c>
      <c r="I121" s="50">
        <v>663</v>
      </c>
      <c r="J121" s="48">
        <f t="shared" si="6"/>
        <v>9.3832951945080101</v>
      </c>
      <c r="K121" s="50">
        <v>26400</v>
      </c>
      <c r="L121" s="50">
        <v>49</v>
      </c>
      <c r="M121" s="51">
        <v>260</v>
      </c>
      <c r="N121" s="50">
        <v>33</v>
      </c>
      <c r="O121" s="50">
        <v>86</v>
      </c>
      <c r="P121" s="50">
        <f>8+3</f>
        <v>11</v>
      </c>
      <c r="Q121" s="50">
        <f>4+12</f>
        <v>16</v>
      </c>
      <c r="R121" s="50">
        <v>1</v>
      </c>
      <c r="S121" s="50">
        <v>0</v>
      </c>
      <c r="T121" s="50">
        <v>0</v>
      </c>
      <c r="U121" s="50">
        <v>0</v>
      </c>
      <c r="V121" s="50">
        <v>0</v>
      </c>
      <c r="W121" s="50">
        <v>0</v>
      </c>
      <c r="X121" s="52">
        <v>0</v>
      </c>
      <c r="Y121" s="52">
        <v>0</v>
      </c>
      <c r="Z121" s="50">
        <f t="shared" si="7"/>
        <v>1.1722960614559199</v>
      </c>
      <c r="AA121" s="50">
        <f t="shared" si="8"/>
        <v>1.7051579075722472</v>
      </c>
      <c r="AB121" s="50">
        <f t="shared" si="9"/>
        <v>0.10657236922326545</v>
      </c>
      <c r="AC121" s="50">
        <f t="shared" si="10"/>
        <v>0</v>
      </c>
      <c r="AD121" s="50">
        <f t="shared" si="11"/>
        <v>0</v>
      </c>
      <c r="AE121" s="50" t="s">
        <v>40</v>
      </c>
    </row>
    <row r="122" spans="1:31" s="50" customFormat="1" x14ac:dyDescent="0.25">
      <c r="A122" s="46">
        <v>42722</v>
      </c>
      <c r="B122" s="47">
        <v>9.375E-2</v>
      </c>
      <c r="C122" s="46">
        <v>42723</v>
      </c>
      <c r="D122" s="47">
        <v>0.40625</v>
      </c>
      <c r="E122" s="48">
        <v>19.5</v>
      </c>
      <c r="F122" s="49">
        <v>1.6</v>
      </c>
      <c r="G122" s="49">
        <v>2.2999999999999998</v>
      </c>
      <c r="H122" s="50">
        <v>1731</v>
      </c>
      <c r="I122" s="50">
        <v>202</v>
      </c>
      <c r="J122" s="48">
        <f t="shared" si="6"/>
        <v>19.495018115942027</v>
      </c>
      <c r="K122" s="50">
        <v>24800</v>
      </c>
      <c r="L122" s="50">
        <v>47</v>
      </c>
      <c r="M122" s="51">
        <v>142.25</v>
      </c>
      <c r="N122" s="50">
        <v>34</v>
      </c>
      <c r="O122" s="50">
        <v>86</v>
      </c>
      <c r="P122" s="50">
        <f>5+2</f>
        <v>7</v>
      </c>
      <c r="Q122" s="50">
        <f>6+5</f>
        <v>11</v>
      </c>
      <c r="R122" s="50">
        <f>2</f>
        <v>2</v>
      </c>
      <c r="S122" s="50">
        <v>0</v>
      </c>
      <c r="T122" s="50">
        <v>0</v>
      </c>
      <c r="U122" s="50">
        <v>0</v>
      </c>
      <c r="V122" s="50">
        <v>0</v>
      </c>
      <c r="W122" s="50">
        <v>1</v>
      </c>
      <c r="X122" s="52">
        <v>0</v>
      </c>
      <c r="Y122" s="52">
        <v>0</v>
      </c>
      <c r="Z122" s="50">
        <f t="shared" si="7"/>
        <v>0.35906609362295278</v>
      </c>
      <c r="AA122" s="50">
        <f t="shared" si="8"/>
        <v>0.56424671855035435</v>
      </c>
      <c r="AB122" s="50">
        <f t="shared" si="9"/>
        <v>0.10259031246370079</v>
      </c>
      <c r="AC122" s="50">
        <f t="shared" si="10"/>
        <v>0</v>
      </c>
      <c r="AD122" s="50">
        <f t="shared" si="11"/>
        <v>0</v>
      </c>
    </row>
    <row r="123" spans="1:31" s="50" customFormat="1" x14ac:dyDescent="0.25">
      <c r="A123" s="46">
        <v>42723</v>
      </c>
      <c r="B123" s="47">
        <v>0.40625</v>
      </c>
      <c r="C123" s="46">
        <v>42724</v>
      </c>
      <c r="D123" s="47">
        <v>0.45833333333333331</v>
      </c>
      <c r="E123" s="48">
        <v>25.25</v>
      </c>
      <c r="F123" s="49">
        <v>1.8</v>
      </c>
      <c r="G123" s="49">
        <v>2.5</v>
      </c>
      <c r="H123" s="50">
        <v>1744</v>
      </c>
      <c r="I123" s="50">
        <v>2423</v>
      </c>
      <c r="J123" s="48">
        <f t="shared" si="6"/>
        <v>32.301481481481481</v>
      </c>
      <c r="K123" s="50">
        <v>22500</v>
      </c>
      <c r="L123" s="50">
        <v>45</v>
      </c>
      <c r="M123" s="51">
        <v>78.900000000000006</v>
      </c>
      <c r="N123" s="50">
        <v>32</v>
      </c>
      <c r="O123" s="50">
        <v>80</v>
      </c>
      <c r="P123" s="50">
        <f>19+18</f>
        <v>37</v>
      </c>
      <c r="Q123" s="50">
        <f>10+18</f>
        <v>28</v>
      </c>
      <c r="R123" s="50">
        <f>1+2</f>
        <v>3</v>
      </c>
      <c r="S123" s="50">
        <v>0</v>
      </c>
      <c r="T123" s="50">
        <v>0</v>
      </c>
      <c r="U123" s="50">
        <v>0</v>
      </c>
      <c r="V123" s="50">
        <v>0</v>
      </c>
      <c r="W123" s="50">
        <v>1</v>
      </c>
      <c r="X123" s="52">
        <v>0</v>
      </c>
      <c r="Y123" s="52">
        <v>0</v>
      </c>
      <c r="Z123" s="50">
        <f t="shared" si="7"/>
        <v>1.1454582979796821</v>
      </c>
      <c r="AA123" s="50">
        <f t="shared" si="8"/>
        <v>0.86683330657921898</v>
      </c>
      <c r="AB123" s="50">
        <f t="shared" si="9"/>
        <v>9.2874997133487749E-2</v>
      </c>
      <c r="AC123" s="50">
        <f t="shared" si="10"/>
        <v>0</v>
      </c>
      <c r="AD123" s="50">
        <f t="shared" si="11"/>
        <v>0</v>
      </c>
    </row>
    <row r="124" spans="1:31" s="50" customFormat="1" x14ac:dyDescent="0.25">
      <c r="A124" s="46">
        <v>42724</v>
      </c>
      <c r="B124" s="47">
        <v>0.45833333333333331</v>
      </c>
      <c r="C124" s="46">
        <v>42725</v>
      </c>
      <c r="D124" s="47">
        <v>0.38541666666666669</v>
      </c>
      <c r="E124" s="48">
        <v>22.25</v>
      </c>
      <c r="F124" s="49">
        <v>1.7</v>
      </c>
      <c r="G124" s="49">
        <v>2.2000000000000002</v>
      </c>
      <c r="H124" s="50">
        <v>1645</v>
      </c>
      <c r="I124" s="50">
        <v>1948</v>
      </c>
      <c r="J124" s="48">
        <f t="shared" si="6"/>
        <v>30.885026737967912</v>
      </c>
      <c r="K124" s="50">
        <v>20800</v>
      </c>
      <c r="L124" s="50">
        <v>44</v>
      </c>
      <c r="M124" s="51">
        <v>48.4</v>
      </c>
      <c r="N124" s="50">
        <v>33</v>
      </c>
      <c r="O124" s="50">
        <v>39</v>
      </c>
      <c r="P124" s="50">
        <f>1+8</f>
        <v>9</v>
      </c>
      <c r="Q124" s="50">
        <f>0+4</f>
        <v>4</v>
      </c>
      <c r="R124" s="50">
        <v>0</v>
      </c>
      <c r="S124" s="50">
        <v>0</v>
      </c>
      <c r="T124" s="50">
        <v>0</v>
      </c>
      <c r="U124" s="50">
        <v>0</v>
      </c>
      <c r="V124" s="50">
        <v>0</v>
      </c>
      <c r="W124" s="50">
        <v>2</v>
      </c>
      <c r="X124" s="52">
        <v>0</v>
      </c>
      <c r="Y124" s="52">
        <v>0</v>
      </c>
      <c r="Z124" s="50">
        <f t="shared" si="7"/>
        <v>0.29140334170201715</v>
      </c>
      <c r="AA124" s="50">
        <f t="shared" si="8"/>
        <v>0.12951259631200762</v>
      </c>
      <c r="AB124" s="50">
        <f t="shared" si="9"/>
        <v>0</v>
      </c>
      <c r="AC124" s="50">
        <f t="shared" si="10"/>
        <v>0</v>
      </c>
      <c r="AD124" s="50">
        <f t="shared" si="11"/>
        <v>0</v>
      </c>
    </row>
    <row r="125" spans="1:31" s="50" customFormat="1" x14ac:dyDescent="0.25">
      <c r="A125" s="46">
        <v>42725</v>
      </c>
      <c r="B125" s="47">
        <v>0.38541666666666669</v>
      </c>
      <c r="C125" s="46">
        <v>42726</v>
      </c>
      <c r="D125" s="47">
        <v>0.38541666666666669</v>
      </c>
      <c r="E125" s="48">
        <v>24</v>
      </c>
      <c r="F125" s="49">
        <v>1.5</v>
      </c>
      <c r="G125" s="49">
        <v>1.7</v>
      </c>
      <c r="H125" s="50">
        <v>1882</v>
      </c>
      <c r="I125" s="50">
        <v>2209</v>
      </c>
      <c r="J125" s="48">
        <f t="shared" si="6"/>
        <v>42.56797385620915</v>
      </c>
      <c r="K125" s="50">
        <v>18900</v>
      </c>
      <c r="L125" s="50">
        <v>45</v>
      </c>
      <c r="M125" s="51">
        <v>46.3</v>
      </c>
      <c r="N125" s="50">
        <v>34</v>
      </c>
      <c r="O125" s="50">
        <v>54</v>
      </c>
      <c r="P125" s="50">
        <f>1+3</f>
        <v>4</v>
      </c>
      <c r="Q125" s="50">
        <f>2</f>
        <v>2</v>
      </c>
      <c r="R125" s="50">
        <v>1</v>
      </c>
      <c r="S125" s="50">
        <v>0</v>
      </c>
      <c r="T125" s="50">
        <v>0</v>
      </c>
      <c r="U125" s="50">
        <v>0</v>
      </c>
      <c r="V125" s="50">
        <v>0</v>
      </c>
      <c r="W125" s="50">
        <v>0</v>
      </c>
      <c r="X125" s="52">
        <v>0</v>
      </c>
      <c r="Y125" s="52">
        <v>0</v>
      </c>
      <c r="Z125" s="50">
        <f t="shared" si="7"/>
        <v>9.3967357091311085E-2</v>
      </c>
      <c r="AA125" s="50">
        <f t="shared" si="8"/>
        <v>4.6983678545655543E-2</v>
      </c>
      <c r="AB125" s="50">
        <f t="shared" si="9"/>
        <v>2.3491839272827771E-2</v>
      </c>
      <c r="AC125" s="50">
        <f t="shared" si="10"/>
        <v>0</v>
      </c>
      <c r="AD125" s="50">
        <f t="shared" si="11"/>
        <v>0</v>
      </c>
    </row>
    <row r="126" spans="1:31" s="50" customFormat="1" x14ac:dyDescent="0.25">
      <c r="A126" s="46">
        <v>42726</v>
      </c>
      <c r="B126" s="47">
        <v>0.38541666666666669</v>
      </c>
      <c r="C126" s="46">
        <v>42727</v>
      </c>
      <c r="D126" s="47">
        <v>0.40625</v>
      </c>
      <c r="E126" s="48">
        <v>24.5</v>
      </c>
      <c r="F126" s="49">
        <v>1.6</v>
      </c>
      <c r="G126" s="49">
        <v>2.4</v>
      </c>
      <c r="H126" s="50">
        <v>1922</v>
      </c>
      <c r="I126" s="50">
        <v>2152</v>
      </c>
      <c r="J126" s="48">
        <f t="shared" si="6"/>
        <v>34.965277777777786</v>
      </c>
      <c r="K126" s="50">
        <v>19100</v>
      </c>
      <c r="L126" s="50">
        <v>48</v>
      </c>
      <c r="M126" s="51">
        <v>38.9</v>
      </c>
      <c r="N126" s="50">
        <v>36</v>
      </c>
      <c r="O126" s="50">
        <v>39</v>
      </c>
      <c r="P126" s="50">
        <f>1+1</f>
        <v>2</v>
      </c>
      <c r="Q126" s="50">
        <f>1+2</f>
        <v>3</v>
      </c>
      <c r="R126" s="50">
        <v>0</v>
      </c>
      <c r="S126" s="50">
        <v>0</v>
      </c>
      <c r="T126" s="50">
        <v>0</v>
      </c>
      <c r="U126" s="50">
        <v>0</v>
      </c>
      <c r="V126" s="50">
        <v>0</v>
      </c>
      <c r="W126" s="50">
        <v>0</v>
      </c>
      <c r="X126" s="52">
        <v>0</v>
      </c>
      <c r="Y126" s="52">
        <v>0</v>
      </c>
      <c r="Z126" s="50">
        <f t="shared" si="7"/>
        <v>5.7199602780536235E-2</v>
      </c>
      <c r="AA126" s="50">
        <f t="shared" si="8"/>
        <v>8.5799404170804353E-2</v>
      </c>
      <c r="AB126" s="50">
        <f t="shared" si="9"/>
        <v>0</v>
      </c>
      <c r="AC126" s="50">
        <f t="shared" si="10"/>
        <v>0</v>
      </c>
      <c r="AD126" s="50">
        <f t="shared" si="11"/>
        <v>0</v>
      </c>
    </row>
    <row r="127" spans="1:31" s="50" customFormat="1" x14ac:dyDescent="0.25">
      <c r="A127" s="46">
        <v>42727</v>
      </c>
      <c r="B127" s="47">
        <v>0.40625</v>
      </c>
      <c r="C127" s="46">
        <v>42728</v>
      </c>
      <c r="D127" s="47">
        <v>0.33333333333333331</v>
      </c>
      <c r="E127" s="48">
        <v>22.25</v>
      </c>
      <c r="F127" s="49">
        <v>1.8</v>
      </c>
      <c r="G127" s="49">
        <v>2.5</v>
      </c>
      <c r="H127" s="50">
        <v>2054</v>
      </c>
      <c r="I127" s="50">
        <v>2988</v>
      </c>
      <c r="J127" s="48">
        <f t="shared" si="6"/>
        <v>38.938518518518521</v>
      </c>
      <c r="K127" s="50">
        <v>18700</v>
      </c>
      <c r="L127" s="50">
        <v>45</v>
      </c>
      <c r="M127" s="51">
        <v>36.799999999999997</v>
      </c>
      <c r="N127" s="50">
        <v>34</v>
      </c>
      <c r="O127" s="50">
        <v>85</v>
      </c>
      <c r="P127" s="50">
        <f>3+3</f>
        <v>6</v>
      </c>
      <c r="Q127" s="50">
        <v>0</v>
      </c>
      <c r="R127" s="50">
        <v>1</v>
      </c>
      <c r="S127" s="50">
        <v>0</v>
      </c>
      <c r="T127" s="50">
        <v>0</v>
      </c>
      <c r="U127" s="50">
        <v>0</v>
      </c>
      <c r="V127" s="50">
        <v>0</v>
      </c>
      <c r="W127" s="50">
        <v>0</v>
      </c>
      <c r="X127" s="52">
        <v>0</v>
      </c>
      <c r="Y127" s="52">
        <v>0</v>
      </c>
      <c r="Z127" s="50">
        <f t="shared" si="7"/>
        <v>0.15408906728555938</v>
      </c>
      <c r="AA127" s="50">
        <f t="shared" si="8"/>
        <v>0</v>
      </c>
      <c r="AB127" s="50">
        <f t="shared" si="9"/>
        <v>2.5681511214259895E-2</v>
      </c>
      <c r="AC127" s="50">
        <f t="shared" si="10"/>
        <v>0</v>
      </c>
      <c r="AD127" s="50">
        <f t="shared" si="11"/>
        <v>0</v>
      </c>
      <c r="AE127" s="50" t="s">
        <v>41</v>
      </c>
    </row>
    <row r="128" spans="1:31" s="50" customFormat="1" x14ac:dyDescent="0.25">
      <c r="A128" s="53">
        <v>42730</v>
      </c>
      <c r="B128" s="47">
        <v>0.38541666666666669</v>
      </c>
      <c r="C128" s="46">
        <v>42730</v>
      </c>
      <c r="D128" s="47">
        <v>0.53125</v>
      </c>
      <c r="E128" s="48">
        <v>3.5</v>
      </c>
      <c r="F128" s="49">
        <v>3</v>
      </c>
      <c r="G128" s="49">
        <v>2.8</v>
      </c>
      <c r="H128" s="50">
        <v>566</v>
      </c>
      <c r="I128" s="50">
        <v>682</v>
      </c>
      <c r="J128" s="48">
        <f t="shared" si="6"/>
        <v>7.2039682539682541</v>
      </c>
      <c r="K128" s="50">
        <v>21600</v>
      </c>
      <c r="L128" s="50">
        <v>46</v>
      </c>
      <c r="M128" s="51">
        <v>50.8</v>
      </c>
      <c r="N128" s="50">
        <v>36</v>
      </c>
      <c r="O128" s="50">
        <v>42</v>
      </c>
      <c r="P128" s="50">
        <f>4+5</f>
        <v>9</v>
      </c>
      <c r="Q128" s="50">
        <f>5+7</f>
        <v>12</v>
      </c>
      <c r="R128" s="50">
        <v>0</v>
      </c>
      <c r="S128" s="50">
        <v>0</v>
      </c>
      <c r="T128" s="50">
        <v>0</v>
      </c>
      <c r="U128" s="50">
        <v>0</v>
      </c>
      <c r="V128" s="50">
        <v>0</v>
      </c>
      <c r="W128" s="50">
        <v>0</v>
      </c>
      <c r="X128" s="52">
        <v>0</v>
      </c>
      <c r="Y128" s="52">
        <v>0</v>
      </c>
      <c r="Z128" s="50">
        <f t="shared" si="7"/>
        <v>1.2493114465131652</v>
      </c>
      <c r="AA128" s="50">
        <f t="shared" si="8"/>
        <v>1.6657485953508868</v>
      </c>
      <c r="AB128" s="50">
        <f t="shared" si="9"/>
        <v>0</v>
      </c>
      <c r="AC128" s="50">
        <f t="shared" si="10"/>
        <v>0</v>
      </c>
      <c r="AD128" s="50">
        <f t="shared" si="11"/>
        <v>0</v>
      </c>
      <c r="AE128" s="50" t="s">
        <v>42</v>
      </c>
    </row>
    <row r="129" spans="1:31" s="50" customFormat="1" x14ac:dyDescent="0.25">
      <c r="A129" s="46">
        <v>42730</v>
      </c>
      <c r="B129" s="47">
        <v>0.53125</v>
      </c>
      <c r="C129" s="46">
        <v>42731</v>
      </c>
      <c r="D129" s="47">
        <v>0.40625</v>
      </c>
      <c r="E129" s="48">
        <v>21</v>
      </c>
      <c r="F129" s="49">
        <v>2.2999999999999998</v>
      </c>
      <c r="G129" s="49">
        <v>2.9</v>
      </c>
      <c r="H129" s="50">
        <v>924</v>
      </c>
      <c r="I129" s="50">
        <v>3544</v>
      </c>
      <c r="J129" s="48">
        <f t="shared" si="6"/>
        <v>27.063468265867066</v>
      </c>
      <c r="K129" s="50">
        <v>19100</v>
      </c>
      <c r="L129" s="50">
        <v>44</v>
      </c>
      <c r="M129" s="51">
        <v>31.2</v>
      </c>
      <c r="N129" s="50">
        <v>33</v>
      </c>
      <c r="O129" s="50">
        <v>74</v>
      </c>
      <c r="P129" s="50">
        <f>4+31</f>
        <v>35</v>
      </c>
      <c r="Q129" s="50">
        <f>3+9</f>
        <v>12</v>
      </c>
      <c r="R129" s="50">
        <f>2+1</f>
        <v>3</v>
      </c>
      <c r="S129" s="50">
        <v>0</v>
      </c>
      <c r="T129" s="50">
        <v>0</v>
      </c>
      <c r="U129" s="50">
        <v>0</v>
      </c>
      <c r="V129" s="50">
        <v>0</v>
      </c>
      <c r="W129" s="50">
        <v>0</v>
      </c>
      <c r="X129" s="52">
        <v>0</v>
      </c>
      <c r="Y129" s="52">
        <v>0</v>
      </c>
      <c r="Z129" s="50">
        <f t="shared" si="7"/>
        <v>1.2932562691583263</v>
      </c>
      <c r="AA129" s="50">
        <f t="shared" si="8"/>
        <v>0.44340214942571188</v>
      </c>
      <c r="AB129" s="50">
        <f t="shared" si="9"/>
        <v>0.11085053735642797</v>
      </c>
      <c r="AC129" s="50">
        <f t="shared" si="10"/>
        <v>0</v>
      </c>
      <c r="AD129" s="50">
        <f t="shared" si="11"/>
        <v>0</v>
      </c>
    </row>
    <row r="130" spans="1:31" s="50" customFormat="1" x14ac:dyDescent="0.25">
      <c r="A130" s="46">
        <v>42731</v>
      </c>
      <c r="B130" s="47">
        <v>0.40625</v>
      </c>
      <c r="C130" s="46">
        <v>42732</v>
      </c>
      <c r="D130" s="47">
        <v>0.41666666666666669</v>
      </c>
      <c r="E130" s="48">
        <v>24.25</v>
      </c>
      <c r="F130" s="49">
        <v>2</v>
      </c>
      <c r="G130" s="49">
        <v>2.5</v>
      </c>
      <c r="H130" s="50">
        <v>3030</v>
      </c>
      <c r="I130" s="50">
        <v>3793</v>
      </c>
      <c r="J130" s="48">
        <f t="shared" si="6"/>
        <v>50.536666666666662</v>
      </c>
      <c r="K130" s="50">
        <v>17600</v>
      </c>
      <c r="L130" s="50">
        <v>45</v>
      </c>
      <c r="M130" s="51">
        <v>22.4</v>
      </c>
      <c r="N130" s="50">
        <v>36</v>
      </c>
      <c r="O130" s="50">
        <v>75</v>
      </c>
      <c r="P130" s="50">
        <f>7+15</f>
        <v>22</v>
      </c>
      <c r="Q130" s="50">
        <f>1</f>
        <v>1</v>
      </c>
      <c r="R130" s="50">
        <v>1</v>
      </c>
      <c r="S130" s="50">
        <v>0</v>
      </c>
      <c r="T130" s="50">
        <v>0</v>
      </c>
      <c r="U130" s="50">
        <v>0</v>
      </c>
      <c r="V130" s="50">
        <v>1</v>
      </c>
      <c r="W130" s="50">
        <v>0</v>
      </c>
      <c r="X130" s="52">
        <v>0</v>
      </c>
      <c r="Y130" s="52">
        <v>0</v>
      </c>
      <c r="Z130" s="50">
        <f t="shared" si="7"/>
        <v>0.43532748499439355</v>
      </c>
      <c r="AA130" s="50">
        <f t="shared" si="8"/>
        <v>1.9787612954290615E-2</v>
      </c>
      <c r="AB130" s="50">
        <f t="shared" si="9"/>
        <v>1.9787612954290615E-2</v>
      </c>
      <c r="AC130" s="50">
        <f t="shared" si="10"/>
        <v>0</v>
      </c>
      <c r="AD130" s="50">
        <f t="shared" si="11"/>
        <v>0</v>
      </c>
    </row>
    <row r="131" spans="1:31" s="50" customFormat="1" x14ac:dyDescent="0.25">
      <c r="A131" s="46">
        <v>42732</v>
      </c>
      <c r="B131" s="47">
        <v>0.41666666666666669</v>
      </c>
      <c r="C131" s="46">
        <v>42733</v>
      </c>
      <c r="D131" s="47">
        <v>0.40625</v>
      </c>
      <c r="E131" s="48">
        <v>23.75</v>
      </c>
      <c r="F131" s="49">
        <v>2.4</v>
      </c>
      <c r="G131" s="49">
        <v>2.9</v>
      </c>
      <c r="H131" s="50">
        <v>3140</v>
      </c>
      <c r="I131" s="50">
        <v>3135</v>
      </c>
      <c r="J131" s="48">
        <f t="shared" si="6"/>
        <v>39.822796934865906</v>
      </c>
      <c r="K131" s="50">
        <v>16600</v>
      </c>
      <c r="L131" s="50">
        <v>44</v>
      </c>
      <c r="M131" s="51">
        <v>20.5</v>
      </c>
      <c r="N131" s="50">
        <v>33</v>
      </c>
      <c r="O131" s="50">
        <v>83</v>
      </c>
      <c r="P131" s="50">
        <f>4+4</f>
        <v>8</v>
      </c>
      <c r="Q131" s="50">
        <v>0</v>
      </c>
      <c r="R131" s="50">
        <v>1</v>
      </c>
      <c r="S131" s="50">
        <v>0</v>
      </c>
      <c r="T131" s="50">
        <v>0</v>
      </c>
      <c r="U131" s="50">
        <v>0</v>
      </c>
      <c r="V131" s="50">
        <v>0</v>
      </c>
      <c r="W131" s="50">
        <v>1</v>
      </c>
      <c r="X131" s="52">
        <v>0</v>
      </c>
      <c r="Y131" s="52">
        <v>0</v>
      </c>
      <c r="Z131" s="50">
        <f t="shared" si="7"/>
        <v>0.20088995790739625</v>
      </c>
      <c r="AA131" s="50">
        <f t="shared" si="8"/>
        <v>0</v>
      </c>
      <c r="AB131" s="50">
        <f t="shared" si="9"/>
        <v>2.5111244738424531E-2</v>
      </c>
      <c r="AC131" s="50">
        <f t="shared" si="10"/>
        <v>0</v>
      </c>
      <c r="AD131" s="50">
        <f t="shared" si="11"/>
        <v>0</v>
      </c>
    </row>
    <row r="132" spans="1:31" s="50" customFormat="1" x14ac:dyDescent="0.25">
      <c r="A132" s="46">
        <v>42733</v>
      </c>
      <c r="B132" s="47">
        <v>0.40625</v>
      </c>
      <c r="C132" s="46">
        <v>42734</v>
      </c>
      <c r="D132" s="47">
        <v>0.375</v>
      </c>
      <c r="E132" s="48">
        <v>23.25</v>
      </c>
      <c r="F132" s="49">
        <v>2</v>
      </c>
      <c r="G132" s="49">
        <v>3</v>
      </c>
      <c r="H132" s="50">
        <v>2617</v>
      </c>
      <c r="I132" s="50">
        <v>2951</v>
      </c>
      <c r="J132" s="48">
        <f t="shared" si="6"/>
        <v>38.202777777777776</v>
      </c>
      <c r="K132" s="50">
        <v>15900</v>
      </c>
      <c r="L132" s="50">
        <v>45</v>
      </c>
      <c r="M132" s="51">
        <v>18.399999999999999</v>
      </c>
      <c r="N132" s="50">
        <v>36</v>
      </c>
      <c r="O132" s="50">
        <v>38</v>
      </c>
      <c r="P132" s="50">
        <f>3+6</f>
        <v>9</v>
      </c>
      <c r="Q132" s="50">
        <v>0</v>
      </c>
      <c r="R132" s="50">
        <v>0</v>
      </c>
      <c r="S132" s="50">
        <v>0</v>
      </c>
      <c r="T132" s="50">
        <v>0</v>
      </c>
      <c r="U132" s="50">
        <v>0</v>
      </c>
      <c r="V132" s="50">
        <v>0</v>
      </c>
      <c r="W132" s="50">
        <v>1</v>
      </c>
      <c r="X132" s="52">
        <v>0</v>
      </c>
      <c r="Y132" s="52">
        <v>0</v>
      </c>
      <c r="Z132" s="50">
        <f t="shared" si="7"/>
        <v>0.23558496328073877</v>
      </c>
      <c r="AA132" s="50">
        <f t="shared" si="8"/>
        <v>0</v>
      </c>
      <c r="AB132" s="50">
        <f t="shared" si="9"/>
        <v>0</v>
      </c>
      <c r="AC132" s="50">
        <f t="shared" si="10"/>
        <v>0</v>
      </c>
      <c r="AD132" s="50">
        <f t="shared" si="11"/>
        <v>0</v>
      </c>
    </row>
    <row r="133" spans="1:31" s="50" customFormat="1" x14ac:dyDescent="0.25">
      <c r="A133" s="53">
        <v>42734</v>
      </c>
      <c r="B133" s="47">
        <v>0.375</v>
      </c>
      <c r="C133" s="46">
        <v>42735</v>
      </c>
      <c r="D133" s="47">
        <v>0.36458333333333331</v>
      </c>
      <c r="E133" s="48">
        <v>23.75</v>
      </c>
      <c r="F133" s="49">
        <v>2.9</v>
      </c>
      <c r="G133" s="49">
        <v>3.3</v>
      </c>
      <c r="H133" s="50">
        <v>2782</v>
      </c>
      <c r="I133" s="50">
        <v>4533</v>
      </c>
      <c r="J133" s="48">
        <f t="shared" si="6"/>
        <v>38.882445141065837</v>
      </c>
      <c r="K133" s="50">
        <v>15400</v>
      </c>
      <c r="L133" s="50">
        <v>47</v>
      </c>
      <c r="M133" s="51">
        <v>21.93</v>
      </c>
      <c r="N133" s="50">
        <v>37</v>
      </c>
      <c r="O133" s="50">
        <v>41</v>
      </c>
      <c r="P133" s="50">
        <v>4</v>
      </c>
      <c r="Q133" s="50">
        <v>2</v>
      </c>
      <c r="R133" s="50">
        <v>0</v>
      </c>
      <c r="S133" s="50">
        <v>0</v>
      </c>
      <c r="T133" s="50">
        <v>0</v>
      </c>
      <c r="U133" s="50">
        <v>0</v>
      </c>
      <c r="V133" s="50">
        <v>0</v>
      </c>
      <c r="W133" s="50">
        <v>1</v>
      </c>
      <c r="X133" s="52">
        <v>0</v>
      </c>
      <c r="Y133" s="52">
        <v>0</v>
      </c>
      <c r="Z133" s="50">
        <f t="shared" si="7"/>
        <v>0.10287418873705001</v>
      </c>
      <c r="AA133" s="50">
        <f t="shared" si="8"/>
        <v>5.1437094368525005E-2</v>
      </c>
      <c r="AB133" s="50">
        <f t="shared" si="9"/>
        <v>0</v>
      </c>
      <c r="AC133" s="50">
        <f t="shared" si="10"/>
        <v>0</v>
      </c>
      <c r="AD133" s="50">
        <f t="shared" si="11"/>
        <v>0</v>
      </c>
      <c r="AE133" s="50" t="s">
        <v>43</v>
      </c>
    </row>
    <row r="134" spans="1:31" s="50" customFormat="1" x14ac:dyDescent="0.25">
      <c r="A134" s="53">
        <v>42737</v>
      </c>
      <c r="B134" s="47">
        <v>0.375</v>
      </c>
      <c r="C134" s="46">
        <v>42738</v>
      </c>
      <c r="D134" s="47">
        <v>0.41666666666666669</v>
      </c>
      <c r="E134" s="48">
        <v>25</v>
      </c>
      <c r="F134" s="49">
        <v>2.5</v>
      </c>
      <c r="G134" s="49">
        <v>3.1</v>
      </c>
      <c r="H134" s="50">
        <v>811</v>
      </c>
      <c r="I134" s="50">
        <v>4355</v>
      </c>
      <c r="J134" s="48">
        <f t="shared" si="6"/>
        <v>28.820645161290319</v>
      </c>
      <c r="K134" s="50">
        <v>12100</v>
      </c>
      <c r="L134" s="50">
        <v>47</v>
      </c>
      <c r="M134" s="51">
        <v>17.55</v>
      </c>
      <c r="N134" s="50">
        <v>37</v>
      </c>
      <c r="O134" s="50">
        <v>40</v>
      </c>
      <c r="P134" s="50">
        <f>1+5</f>
        <v>6</v>
      </c>
      <c r="Q134" s="50">
        <v>0</v>
      </c>
      <c r="R134" s="50">
        <v>0</v>
      </c>
      <c r="S134" s="50">
        <v>0</v>
      </c>
      <c r="T134" s="50">
        <v>0</v>
      </c>
      <c r="U134" s="50">
        <v>0</v>
      </c>
      <c r="V134" s="50">
        <v>0</v>
      </c>
      <c r="W134" s="50">
        <v>0</v>
      </c>
      <c r="X134" s="52">
        <v>0</v>
      </c>
      <c r="Y134" s="52">
        <v>0</v>
      </c>
      <c r="Z134" s="50">
        <f t="shared" si="7"/>
        <v>0.20818409742120347</v>
      </c>
      <c r="AA134" s="50">
        <f t="shared" si="8"/>
        <v>0</v>
      </c>
      <c r="AB134" s="50">
        <f t="shared" si="9"/>
        <v>0</v>
      </c>
      <c r="AC134" s="50">
        <f t="shared" si="10"/>
        <v>0</v>
      </c>
      <c r="AD134" s="50">
        <f t="shared" si="11"/>
        <v>0</v>
      </c>
      <c r="AE134" s="50" t="s">
        <v>44</v>
      </c>
    </row>
    <row r="135" spans="1:31" s="50" customFormat="1" x14ac:dyDescent="0.25">
      <c r="A135" s="46">
        <v>42738</v>
      </c>
      <c r="B135" s="47">
        <v>0.41666666666666669</v>
      </c>
      <c r="C135" s="46">
        <v>42739</v>
      </c>
      <c r="D135" s="47">
        <v>0.39583333333333331</v>
      </c>
      <c r="E135" s="48">
        <v>23.5</v>
      </c>
      <c r="F135" s="49">
        <v>2.2000000000000002</v>
      </c>
      <c r="G135" s="49">
        <v>3</v>
      </c>
      <c r="H135" s="50">
        <v>3324</v>
      </c>
      <c r="I135" s="50">
        <v>4309</v>
      </c>
      <c r="J135" s="48">
        <f t="shared" si="6"/>
        <v>49.12070707070707</v>
      </c>
      <c r="K135" s="50">
        <v>11800</v>
      </c>
      <c r="L135" s="50">
        <v>46</v>
      </c>
      <c r="M135" s="51">
        <v>26.7</v>
      </c>
      <c r="N135" s="50">
        <v>36</v>
      </c>
      <c r="O135" s="50">
        <v>39</v>
      </c>
      <c r="P135" s="50">
        <f>3+2</f>
        <v>5</v>
      </c>
      <c r="Q135" s="50">
        <v>0</v>
      </c>
      <c r="R135" s="50">
        <v>0</v>
      </c>
      <c r="S135" s="50">
        <v>0</v>
      </c>
      <c r="T135" s="50">
        <v>0</v>
      </c>
      <c r="U135" s="50">
        <v>0</v>
      </c>
      <c r="V135" s="50">
        <v>0</v>
      </c>
      <c r="W135" s="50">
        <v>0</v>
      </c>
      <c r="X135" s="52">
        <v>0</v>
      </c>
      <c r="Y135" s="52">
        <v>0</v>
      </c>
      <c r="Z135" s="50">
        <f t="shared" si="7"/>
        <v>0.10179006570086059</v>
      </c>
      <c r="AA135" s="50">
        <f t="shared" si="8"/>
        <v>0</v>
      </c>
      <c r="AB135" s="50">
        <f t="shared" si="9"/>
        <v>0</v>
      </c>
      <c r="AC135" s="50">
        <f t="shared" si="10"/>
        <v>0</v>
      </c>
      <c r="AD135" s="50">
        <f t="shared" si="11"/>
        <v>0</v>
      </c>
    </row>
    <row r="136" spans="1:31" s="50" customFormat="1" x14ac:dyDescent="0.25">
      <c r="A136" s="46">
        <v>42739</v>
      </c>
      <c r="B136" s="47">
        <v>0.39583333333333331</v>
      </c>
      <c r="C136" s="46">
        <v>42740</v>
      </c>
      <c r="D136" s="47">
        <v>0.42708333333333331</v>
      </c>
      <c r="E136" s="48">
        <v>24.75</v>
      </c>
      <c r="F136" s="49">
        <v>2.8</v>
      </c>
      <c r="G136" s="49">
        <v>2.9</v>
      </c>
      <c r="H136" s="50">
        <v>1686</v>
      </c>
      <c r="I136" s="50">
        <v>3695</v>
      </c>
      <c r="J136" s="48">
        <f t="shared" si="6"/>
        <v>31.271346469622337</v>
      </c>
      <c r="K136" s="50">
        <v>20700</v>
      </c>
      <c r="L136" s="50">
        <v>47</v>
      </c>
      <c r="M136" s="51">
        <v>31.1</v>
      </c>
      <c r="N136" s="50">
        <v>36</v>
      </c>
      <c r="O136" s="50">
        <v>40</v>
      </c>
      <c r="P136" s="50">
        <v>9</v>
      </c>
      <c r="Q136" s="50">
        <v>0</v>
      </c>
      <c r="R136" s="50">
        <v>0</v>
      </c>
      <c r="S136" s="50">
        <v>0</v>
      </c>
      <c r="T136" s="50">
        <v>0</v>
      </c>
      <c r="U136" s="50">
        <v>0</v>
      </c>
      <c r="V136" s="50">
        <v>0</v>
      </c>
      <c r="W136" s="50">
        <v>0</v>
      </c>
      <c r="X136" s="52">
        <v>0</v>
      </c>
      <c r="Y136" s="52">
        <v>0</v>
      </c>
      <c r="Z136" s="50">
        <f t="shared" si="7"/>
        <v>0.28780340522729952</v>
      </c>
      <c r="AA136" s="50">
        <f t="shared" si="8"/>
        <v>0</v>
      </c>
      <c r="AB136" s="50">
        <f t="shared" si="9"/>
        <v>0</v>
      </c>
      <c r="AC136" s="50">
        <f t="shared" si="10"/>
        <v>0</v>
      </c>
      <c r="AD136" s="50">
        <f t="shared" si="11"/>
        <v>0</v>
      </c>
    </row>
    <row r="137" spans="1:31" s="50" customFormat="1" x14ac:dyDescent="0.25">
      <c r="A137" s="46">
        <v>42740</v>
      </c>
      <c r="B137" s="47">
        <v>0.42708333333333331</v>
      </c>
      <c r="C137" s="46">
        <v>42741</v>
      </c>
      <c r="D137" s="47">
        <v>0.40625</v>
      </c>
      <c r="E137" s="48">
        <v>23.5</v>
      </c>
      <c r="F137" s="49">
        <v>1.9</v>
      </c>
      <c r="G137" s="49">
        <v>2.6</v>
      </c>
      <c r="H137" s="50">
        <v>544</v>
      </c>
      <c r="I137" s="50">
        <v>368</v>
      </c>
      <c r="J137" s="48">
        <f t="shared" si="6"/>
        <v>7.1309041835357627</v>
      </c>
      <c r="K137" s="50">
        <v>23300</v>
      </c>
      <c r="L137" s="50">
        <v>46</v>
      </c>
      <c r="M137" s="51">
        <v>138.1</v>
      </c>
      <c r="P137" s="50">
        <v>0</v>
      </c>
      <c r="Q137" s="50">
        <v>0</v>
      </c>
      <c r="R137" s="50">
        <v>0</v>
      </c>
      <c r="S137" s="50">
        <v>0</v>
      </c>
      <c r="T137" s="50">
        <v>0</v>
      </c>
      <c r="U137" s="50">
        <v>0</v>
      </c>
      <c r="V137" s="50">
        <v>0</v>
      </c>
      <c r="W137" s="50">
        <v>0</v>
      </c>
      <c r="X137" s="52">
        <v>0</v>
      </c>
      <c r="Y137" s="52">
        <v>0</v>
      </c>
      <c r="Z137" s="50">
        <f t="shared" si="7"/>
        <v>0</v>
      </c>
      <c r="AA137" s="50">
        <f t="shared" si="8"/>
        <v>0</v>
      </c>
      <c r="AB137" s="50">
        <f t="shared" si="9"/>
        <v>0</v>
      </c>
      <c r="AC137" s="50">
        <f t="shared" si="10"/>
        <v>0</v>
      </c>
      <c r="AD137" s="50">
        <f t="shared" si="11"/>
        <v>0</v>
      </c>
    </row>
    <row r="138" spans="1:31" s="50" customFormat="1" x14ac:dyDescent="0.25">
      <c r="A138" s="46">
        <v>42741</v>
      </c>
      <c r="B138" s="47">
        <v>8.3333333333333329E-2</v>
      </c>
      <c r="C138" s="46">
        <v>42742</v>
      </c>
      <c r="D138" s="47">
        <v>0.41666666666666669</v>
      </c>
      <c r="E138" s="48">
        <v>20</v>
      </c>
      <c r="F138" s="49">
        <v>2.6</v>
      </c>
      <c r="G138" s="49">
        <v>2.4</v>
      </c>
      <c r="H138" s="50">
        <v>2902</v>
      </c>
      <c r="I138" s="50">
        <v>456</v>
      </c>
      <c r="J138" s="48">
        <f t="shared" si="6"/>
        <v>21.76923076923077</v>
      </c>
      <c r="K138" s="50">
        <v>19300</v>
      </c>
      <c r="L138" s="50">
        <v>44</v>
      </c>
      <c r="M138" s="51">
        <v>94.4</v>
      </c>
      <c r="N138" s="50">
        <v>32</v>
      </c>
      <c r="O138" s="50">
        <v>42</v>
      </c>
      <c r="P138" s="50">
        <f>58+62</f>
        <v>120</v>
      </c>
      <c r="Q138" s="50">
        <v>4</v>
      </c>
      <c r="R138" s="50">
        <v>0</v>
      </c>
      <c r="S138" s="50">
        <v>0</v>
      </c>
      <c r="T138" s="50">
        <v>0</v>
      </c>
      <c r="U138" s="50">
        <v>0</v>
      </c>
      <c r="V138" s="50">
        <v>0</v>
      </c>
      <c r="W138" s="50">
        <v>0</v>
      </c>
      <c r="X138" s="52">
        <v>0</v>
      </c>
      <c r="Y138" s="52">
        <v>0</v>
      </c>
      <c r="Z138" s="50">
        <f t="shared" si="7"/>
        <v>5.5123674911660778</v>
      </c>
      <c r="AA138" s="50">
        <f t="shared" si="8"/>
        <v>0.18374558303886926</v>
      </c>
      <c r="AB138" s="50">
        <f t="shared" si="9"/>
        <v>0</v>
      </c>
      <c r="AC138" s="50">
        <f t="shared" si="10"/>
        <v>0</v>
      </c>
      <c r="AD138" s="50">
        <f t="shared" si="11"/>
        <v>0</v>
      </c>
    </row>
    <row r="139" spans="1:31" s="50" customFormat="1" x14ac:dyDescent="0.25">
      <c r="A139" s="46">
        <v>42742</v>
      </c>
      <c r="B139" s="47">
        <v>0.41666666666666669</v>
      </c>
      <c r="C139" s="46">
        <v>42743</v>
      </c>
      <c r="D139" s="47">
        <v>0.40625</v>
      </c>
      <c r="E139" s="48">
        <v>23.75</v>
      </c>
      <c r="F139" s="49">
        <v>2.1</v>
      </c>
      <c r="G139" s="49">
        <v>2.4</v>
      </c>
      <c r="H139" s="50">
        <v>2460</v>
      </c>
      <c r="I139" s="50">
        <v>2703</v>
      </c>
      <c r="J139" s="48">
        <f t="shared" si="6"/>
        <v>38.294642857142861</v>
      </c>
      <c r="K139" s="50">
        <v>18500</v>
      </c>
      <c r="L139" s="50">
        <v>45</v>
      </c>
      <c r="M139" s="51">
        <v>39.9</v>
      </c>
      <c r="N139" s="50">
        <v>32</v>
      </c>
      <c r="O139" s="50">
        <v>44</v>
      </c>
      <c r="P139" s="50">
        <f>26+49</f>
        <v>75</v>
      </c>
      <c r="Q139" s="50">
        <v>1</v>
      </c>
      <c r="R139" s="50">
        <v>0</v>
      </c>
      <c r="S139" s="50">
        <v>0</v>
      </c>
      <c r="T139" s="50">
        <v>0</v>
      </c>
      <c r="U139" s="50">
        <v>0</v>
      </c>
      <c r="V139" s="50">
        <v>0</v>
      </c>
      <c r="W139" s="50">
        <v>0</v>
      </c>
      <c r="X139" s="52">
        <v>0</v>
      </c>
      <c r="Y139" s="52">
        <v>0</v>
      </c>
      <c r="Z139" s="50">
        <f t="shared" si="7"/>
        <v>1.95849848449522</v>
      </c>
      <c r="AA139" s="50">
        <f t="shared" si="8"/>
        <v>2.6113313126602936E-2</v>
      </c>
      <c r="AB139" s="50">
        <f t="shared" si="9"/>
        <v>0</v>
      </c>
      <c r="AC139" s="50">
        <f t="shared" si="10"/>
        <v>0</v>
      </c>
      <c r="AD139" s="50">
        <f t="shared" si="11"/>
        <v>0</v>
      </c>
    </row>
    <row r="140" spans="1:31" s="50" customFormat="1" x14ac:dyDescent="0.25">
      <c r="A140" s="46">
        <v>42743</v>
      </c>
      <c r="B140" s="47">
        <v>0.40625</v>
      </c>
      <c r="C140" s="46">
        <v>42744</v>
      </c>
      <c r="D140" s="47">
        <v>0.40625</v>
      </c>
      <c r="E140" s="48">
        <v>24</v>
      </c>
      <c r="F140" s="49">
        <v>2.1</v>
      </c>
      <c r="G140" s="49">
        <v>2.1</v>
      </c>
      <c r="H140" s="50">
        <v>2376</v>
      </c>
      <c r="I140" s="50">
        <v>2287</v>
      </c>
      <c r="J140" s="48">
        <f t="shared" si="6"/>
        <v>37.007936507936506</v>
      </c>
      <c r="K140" s="50">
        <v>25900</v>
      </c>
      <c r="L140" s="50">
        <v>44</v>
      </c>
      <c r="M140" s="51">
        <v>71.900000000000006</v>
      </c>
      <c r="N140" s="50">
        <v>34</v>
      </c>
      <c r="O140" s="50">
        <v>46</v>
      </c>
      <c r="P140" s="50">
        <f>33+41</f>
        <v>74</v>
      </c>
      <c r="Q140" s="50">
        <f>1+1</f>
        <v>2</v>
      </c>
      <c r="R140" s="50">
        <v>0</v>
      </c>
      <c r="S140" s="50">
        <v>0</v>
      </c>
      <c r="T140" s="50">
        <v>0</v>
      </c>
      <c r="U140" s="50">
        <v>0</v>
      </c>
      <c r="V140" s="50">
        <v>0</v>
      </c>
      <c r="W140" s="50">
        <v>1</v>
      </c>
      <c r="X140" s="52">
        <v>0</v>
      </c>
      <c r="Y140" s="52">
        <v>0</v>
      </c>
      <c r="Z140" s="50">
        <f t="shared" si="7"/>
        <v>1.9995710915719496</v>
      </c>
      <c r="AA140" s="50">
        <f t="shared" si="8"/>
        <v>5.4042461934377013E-2</v>
      </c>
      <c r="AB140" s="50">
        <f t="shared" si="9"/>
        <v>0</v>
      </c>
      <c r="AC140" s="50">
        <f t="shared" si="10"/>
        <v>0</v>
      </c>
      <c r="AD140" s="50">
        <f t="shared" si="11"/>
        <v>0</v>
      </c>
    </row>
    <row r="141" spans="1:31" s="50" customFormat="1" x14ac:dyDescent="0.25">
      <c r="A141" s="46">
        <v>42744</v>
      </c>
      <c r="B141" s="47">
        <v>0.40625</v>
      </c>
      <c r="C141" s="46">
        <v>42744</v>
      </c>
      <c r="D141" s="47">
        <v>0.10416666666666667</v>
      </c>
      <c r="E141" s="48">
        <v>4.75</v>
      </c>
      <c r="F141" s="49">
        <v>2.7</v>
      </c>
      <c r="G141" s="49">
        <v>2.5</v>
      </c>
      <c r="H141" s="50">
        <v>600</v>
      </c>
      <c r="I141" s="50">
        <v>681</v>
      </c>
      <c r="J141" s="48">
        <f t="shared" si="6"/>
        <v>8.2437037037037033</v>
      </c>
      <c r="K141" s="50">
        <v>26300</v>
      </c>
      <c r="L141" s="50">
        <v>44</v>
      </c>
      <c r="M141" s="51">
        <v>75.25</v>
      </c>
      <c r="N141" s="50">
        <v>35</v>
      </c>
      <c r="O141" s="50">
        <v>40</v>
      </c>
      <c r="P141" s="50">
        <f>8+9</f>
        <v>17</v>
      </c>
      <c r="Q141" s="50">
        <v>0</v>
      </c>
      <c r="R141" s="50">
        <v>0</v>
      </c>
      <c r="S141" s="50">
        <v>0</v>
      </c>
      <c r="T141" s="50">
        <v>0</v>
      </c>
      <c r="U141" s="50">
        <v>0</v>
      </c>
      <c r="V141" s="50">
        <v>0</v>
      </c>
      <c r="W141" s="50">
        <v>0</v>
      </c>
      <c r="X141" s="52">
        <v>0</v>
      </c>
      <c r="Y141" s="52">
        <v>0</v>
      </c>
      <c r="Z141" s="50">
        <f t="shared" si="7"/>
        <v>2.0621798903764939</v>
      </c>
      <c r="AA141" s="50">
        <f t="shared" si="8"/>
        <v>0</v>
      </c>
      <c r="AB141" s="50">
        <f t="shared" si="9"/>
        <v>0</v>
      </c>
      <c r="AC141" s="50">
        <f t="shared" si="10"/>
        <v>0</v>
      </c>
      <c r="AD141" s="50">
        <f t="shared" si="11"/>
        <v>0</v>
      </c>
    </row>
    <row r="142" spans="1:31" s="50" customFormat="1" x14ac:dyDescent="0.25">
      <c r="A142" s="46">
        <v>42744</v>
      </c>
      <c r="B142" s="47">
        <v>0.10416666666666667</v>
      </c>
      <c r="C142" s="46">
        <v>42745</v>
      </c>
      <c r="D142" s="47">
        <v>0.4375</v>
      </c>
      <c r="E142" s="48">
        <v>20</v>
      </c>
      <c r="F142" s="49">
        <v>2.5</v>
      </c>
      <c r="G142" s="49">
        <v>1.8</v>
      </c>
      <c r="H142" s="50">
        <v>2255</v>
      </c>
      <c r="I142" s="50">
        <v>1881</v>
      </c>
      <c r="J142" s="48">
        <f t="shared" si="6"/>
        <v>32.450000000000003</v>
      </c>
      <c r="K142" s="50">
        <v>27500</v>
      </c>
      <c r="L142" s="50">
        <v>44</v>
      </c>
      <c r="M142" s="51">
        <v>261</v>
      </c>
      <c r="N142" s="50">
        <v>35</v>
      </c>
      <c r="O142" s="50">
        <v>48</v>
      </c>
      <c r="P142" s="50">
        <f>58+68</f>
        <v>126</v>
      </c>
      <c r="Q142" s="50">
        <f>2+2</f>
        <v>4</v>
      </c>
      <c r="R142" s="50">
        <v>0</v>
      </c>
      <c r="S142" s="50">
        <v>0</v>
      </c>
      <c r="T142" s="50">
        <v>0</v>
      </c>
      <c r="U142" s="50">
        <v>0</v>
      </c>
      <c r="V142" s="50">
        <v>0</v>
      </c>
      <c r="W142" s="50">
        <v>1</v>
      </c>
      <c r="X142" s="52">
        <v>0</v>
      </c>
      <c r="Y142" s="52">
        <v>1</v>
      </c>
      <c r="Z142" s="50">
        <f t="shared" si="7"/>
        <v>3.8828967642526959</v>
      </c>
      <c r="AA142" s="50">
        <f t="shared" si="8"/>
        <v>0.12326656394453003</v>
      </c>
      <c r="AB142" s="50">
        <f t="shared" si="9"/>
        <v>0</v>
      </c>
      <c r="AC142" s="50">
        <f t="shared" si="10"/>
        <v>0</v>
      </c>
      <c r="AD142" s="50">
        <f t="shared" si="11"/>
        <v>0</v>
      </c>
    </row>
    <row r="143" spans="1:31" s="50" customFormat="1" x14ac:dyDescent="0.25">
      <c r="A143" s="46">
        <v>42745</v>
      </c>
      <c r="B143" s="47">
        <v>0.4375</v>
      </c>
      <c r="C143" s="46">
        <v>42745</v>
      </c>
      <c r="D143" s="47">
        <v>7.2916666666666671E-2</v>
      </c>
      <c r="E143" s="48">
        <v>3.25</v>
      </c>
      <c r="F143" s="49">
        <v>2.5</v>
      </c>
      <c r="G143" s="49">
        <v>2.7</v>
      </c>
      <c r="H143" s="50">
        <v>473</v>
      </c>
      <c r="I143" s="50">
        <v>552</v>
      </c>
      <c r="J143" s="48">
        <f t="shared" si="6"/>
        <v>6.5607407407407399</v>
      </c>
      <c r="K143" s="50">
        <v>27600</v>
      </c>
      <c r="L143" s="50">
        <v>47</v>
      </c>
      <c r="M143" s="51">
        <v>320.5</v>
      </c>
      <c r="N143" s="50">
        <v>31</v>
      </c>
      <c r="O143" s="50">
        <v>40</v>
      </c>
      <c r="P143" s="50">
        <f>30+16</f>
        <v>46</v>
      </c>
      <c r="Q143" s="50">
        <v>0</v>
      </c>
      <c r="R143" s="50">
        <v>0</v>
      </c>
      <c r="S143" s="50">
        <v>0</v>
      </c>
      <c r="T143" s="50">
        <v>0</v>
      </c>
      <c r="U143" s="50">
        <v>0</v>
      </c>
      <c r="V143" s="50">
        <v>0</v>
      </c>
      <c r="W143" s="50">
        <v>2</v>
      </c>
      <c r="X143" s="52">
        <v>0</v>
      </c>
      <c r="Y143" s="52">
        <v>1</v>
      </c>
      <c r="Z143" s="50">
        <f t="shared" si="7"/>
        <v>7.0114034097324156</v>
      </c>
      <c r="AA143" s="50">
        <f t="shared" si="8"/>
        <v>0</v>
      </c>
      <c r="AB143" s="50">
        <f t="shared" si="9"/>
        <v>0</v>
      </c>
      <c r="AC143" s="50">
        <f t="shared" si="10"/>
        <v>0</v>
      </c>
      <c r="AD143" s="50">
        <f t="shared" si="11"/>
        <v>0</v>
      </c>
    </row>
    <row r="144" spans="1:31" s="50" customFormat="1" x14ac:dyDescent="0.25">
      <c r="A144" s="53">
        <v>42746</v>
      </c>
      <c r="B144" s="47">
        <v>0.4375</v>
      </c>
      <c r="C144" s="46">
        <v>42746</v>
      </c>
      <c r="D144" s="47">
        <v>0.14583333333333334</v>
      </c>
      <c r="E144" s="48">
        <v>5</v>
      </c>
      <c r="F144" s="49">
        <v>2.5</v>
      </c>
      <c r="G144" s="49">
        <v>2.7</v>
      </c>
      <c r="H144" s="50">
        <v>709</v>
      </c>
      <c r="I144" s="50">
        <v>828</v>
      </c>
      <c r="J144" s="48">
        <f t="shared" si="6"/>
        <v>9.8377777777777773</v>
      </c>
      <c r="K144" s="50">
        <v>27900</v>
      </c>
      <c r="L144" s="50">
        <v>48</v>
      </c>
      <c r="M144" s="51">
        <v>419.5</v>
      </c>
      <c r="N144" s="50">
        <v>33</v>
      </c>
      <c r="O144" s="50">
        <v>47</v>
      </c>
      <c r="P144" s="50">
        <f>56+57</f>
        <v>113</v>
      </c>
      <c r="Q144" s="50">
        <v>2</v>
      </c>
      <c r="R144" s="50">
        <v>0</v>
      </c>
      <c r="S144" s="50">
        <v>0</v>
      </c>
      <c r="T144" s="50">
        <v>0</v>
      </c>
      <c r="U144" s="50">
        <v>0</v>
      </c>
      <c r="V144" s="50">
        <v>0</v>
      </c>
      <c r="W144" s="50">
        <v>0</v>
      </c>
      <c r="X144" s="52">
        <v>0</v>
      </c>
      <c r="Y144" s="52">
        <v>0</v>
      </c>
      <c r="Z144" s="50">
        <f t="shared" si="7"/>
        <v>11.486333860402079</v>
      </c>
      <c r="AA144" s="50">
        <f t="shared" si="8"/>
        <v>0.20329794443189519</v>
      </c>
      <c r="AB144" s="50">
        <f t="shared" si="9"/>
        <v>0</v>
      </c>
      <c r="AC144" s="50">
        <f t="shared" si="10"/>
        <v>0</v>
      </c>
      <c r="AD144" s="50">
        <f t="shared" si="11"/>
        <v>0</v>
      </c>
    </row>
    <row r="145" spans="1:30" s="50" customFormat="1" x14ac:dyDescent="0.25">
      <c r="A145" s="53">
        <v>42747</v>
      </c>
      <c r="B145" s="47">
        <v>0.38541666666666669</v>
      </c>
      <c r="C145" s="46">
        <v>42747</v>
      </c>
      <c r="D145" s="47">
        <v>0.125</v>
      </c>
      <c r="E145" s="48">
        <v>5.75</v>
      </c>
      <c r="F145" s="49">
        <v>2.5</v>
      </c>
      <c r="G145" s="49">
        <v>2.8</v>
      </c>
      <c r="H145" s="50">
        <v>838</v>
      </c>
      <c r="I145" s="50">
        <v>1005</v>
      </c>
      <c r="J145" s="48">
        <f t="shared" si="6"/>
        <v>11.568809523809524</v>
      </c>
      <c r="K145" s="50">
        <v>28000</v>
      </c>
      <c r="L145" s="50">
        <v>48</v>
      </c>
      <c r="M145" s="51">
        <v>241</v>
      </c>
      <c r="N145" s="50">
        <v>34</v>
      </c>
      <c r="O145" s="50">
        <v>86</v>
      </c>
      <c r="P145" s="50">
        <f>48+37</f>
        <v>85</v>
      </c>
      <c r="Q145" s="50">
        <f>3+1</f>
        <v>4</v>
      </c>
      <c r="R145" s="50">
        <v>1</v>
      </c>
      <c r="S145" s="50">
        <v>0</v>
      </c>
      <c r="T145" s="50">
        <v>0</v>
      </c>
      <c r="U145" s="50">
        <v>0</v>
      </c>
      <c r="V145" s="50">
        <v>0</v>
      </c>
      <c r="W145" s="50">
        <v>0</v>
      </c>
      <c r="X145" s="52">
        <v>0</v>
      </c>
      <c r="Y145" s="52">
        <v>0</v>
      </c>
      <c r="Z145" s="50">
        <f t="shared" si="7"/>
        <v>7.3473419909856137</v>
      </c>
      <c r="AA145" s="50">
        <f t="shared" si="8"/>
        <v>0.34575727016402891</v>
      </c>
      <c r="AB145" s="50">
        <f t="shared" si="9"/>
        <v>8.6439317541007227E-2</v>
      </c>
      <c r="AC145" s="50">
        <f t="shared" si="10"/>
        <v>0</v>
      </c>
      <c r="AD145" s="50">
        <f t="shared" si="11"/>
        <v>0</v>
      </c>
    </row>
    <row r="146" spans="1:30" s="50" customFormat="1" x14ac:dyDescent="0.25">
      <c r="A146" s="46">
        <v>42747</v>
      </c>
      <c r="B146" s="47">
        <v>0.125</v>
      </c>
      <c r="C146" s="46">
        <v>42748</v>
      </c>
      <c r="D146" s="47">
        <v>0.42708333333333331</v>
      </c>
      <c r="E146" s="48">
        <v>19.25</v>
      </c>
      <c r="F146" s="49">
        <v>2.6</v>
      </c>
      <c r="G146" s="49">
        <v>2.8</v>
      </c>
      <c r="H146" s="50">
        <v>2885</v>
      </c>
      <c r="I146" s="50">
        <v>3253</v>
      </c>
      <c r="J146" s="48">
        <f xml:space="preserve"> (((H146/F146)+(I146/G146))/60)</f>
        <v>37.856684981684985</v>
      </c>
      <c r="K146" s="50">
        <v>28000</v>
      </c>
      <c r="L146" s="50">
        <v>46</v>
      </c>
      <c r="M146" s="51">
        <v>307</v>
      </c>
      <c r="N146" s="50">
        <v>34</v>
      </c>
      <c r="O146" s="50">
        <v>73</v>
      </c>
      <c r="P146" s="50">
        <f>135+135</f>
        <v>270</v>
      </c>
      <c r="Q146" s="50">
        <v>2</v>
      </c>
      <c r="R146" s="50">
        <v>1</v>
      </c>
      <c r="S146" s="50">
        <v>0</v>
      </c>
      <c r="T146" s="50">
        <v>0</v>
      </c>
      <c r="U146" s="50">
        <v>0</v>
      </c>
      <c r="V146" s="50">
        <v>0</v>
      </c>
      <c r="W146" s="50">
        <v>1</v>
      </c>
      <c r="X146" s="52">
        <v>0</v>
      </c>
      <c r="Y146" s="52">
        <v>0</v>
      </c>
      <c r="Z146" s="50">
        <f t="shared" si="7"/>
        <v>7.132161733934856</v>
      </c>
      <c r="AA146" s="50">
        <f t="shared" si="8"/>
        <v>5.2830827658776711E-2</v>
      </c>
      <c r="AB146" s="50">
        <f t="shared" si="9"/>
        <v>2.6415413829388355E-2</v>
      </c>
      <c r="AC146" s="50">
        <f t="shared" si="10"/>
        <v>0</v>
      </c>
      <c r="AD146" s="50">
        <f t="shared" si="11"/>
        <v>0</v>
      </c>
    </row>
    <row r="147" spans="1:30" s="50" customFormat="1" x14ac:dyDescent="0.25">
      <c r="A147" s="53">
        <v>42748</v>
      </c>
      <c r="B147" s="47">
        <v>0.42708333333333331</v>
      </c>
      <c r="C147" s="46">
        <v>42749</v>
      </c>
      <c r="D147" s="47">
        <v>0.46875</v>
      </c>
      <c r="E147" s="48">
        <v>25</v>
      </c>
      <c r="F147" s="49">
        <v>2.9</v>
      </c>
      <c r="G147" s="49">
        <v>3.3</v>
      </c>
      <c r="H147" s="50">
        <v>1863</v>
      </c>
      <c r="I147" s="50">
        <v>1715</v>
      </c>
      <c r="J147" s="48">
        <f xml:space="preserve"> (((H147/F147)+(I147/G147))/60)</f>
        <v>19.368512713340298</v>
      </c>
      <c r="K147" s="50">
        <v>27800</v>
      </c>
      <c r="L147" s="50">
        <v>44</v>
      </c>
      <c r="M147" s="51">
        <v>242.5</v>
      </c>
      <c r="N147" s="50">
        <v>35</v>
      </c>
      <c r="O147" s="50">
        <v>70</v>
      </c>
      <c r="P147" s="50">
        <f>66+147</f>
        <v>213</v>
      </c>
      <c r="Q147" s="50">
        <f>1+1</f>
        <v>2</v>
      </c>
      <c r="R147" s="50">
        <v>2</v>
      </c>
      <c r="S147" s="50">
        <v>0</v>
      </c>
      <c r="T147" s="50">
        <v>0</v>
      </c>
      <c r="U147" s="50">
        <v>0</v>
      </c>
      <c r="V147" s="50">
        <v>0</v>
      </c>
      <c r="W147" s="50">
        <v>0</v>
      </c>
      <c r="X147" s="52">
        <v>0</v>
      </c>
      <c r="Y147" s="52">
        <v>0</v>
      </c>
      <c r="Z147" s="50">
        <f t="shared" si="7"/>
        <v>10.997230564497276</v>
      </c>
      <c r="AA147" s="50">
        <f t="shared" si="8"/>
        <v>0.10326038088729837</v>
      </c>
      <c r="AB147" s="50">
        <f t="shared" si="9"/>
        <v>0.10326038088729837</v>
      </c>
      <c r="AC147" s="50">
        <f t="shared" si="10"/>
        <v>0</v>
      </c>
      <c r="AD147" s="50">
        <f t="shared" si="11"/>
        <v>0</v>
      </c>
    </row>
    <row r="148" spans="1:30" s="50" customFormat="1" x14ac:dyDescent="0.25">
      <c r="A148" s="53">
        <v>42749</v>
      </c>
      <c r="B148" s="47">
        <v>0.46875</v>
      </c>
      <c r="C148" s="46">
        <v>42750</v>
      </c>
      <c r="D148" s="47">
        <v>0.39583333333333331</v>
      </c>
      <c r="E148" s="48">
        <v>22.25</v>
      </c>
      <c r="F148" s="49">
        <v>2.8</v>
      </c>
      <c r="G148" s="49">
        <v>3.4</v>
      </c>
      <c r="H148" s="50">
        <v>3361</v>
      </c>
      <c r="I148" s="50">
        <v>3752</v>
      </c>
      <c r="J148" s="48">
        <f t="shared" si="6"/>
        <v>38.398109243697476</v>
      </c>
      <c r="K148" s="50">
        <v>27400</v>
      </c>
      <c r="L148" s="50">
        <v>47</v>
      </c>
      <c r="M148" s="51">
        <v>157.9</v>
      </c>
      <c r="N148" s="50">
        <v>34</v>
      </c>
      <c r="O148" s="50">
        <v>82</v>
      </c>
      <c r="P148" s="50">
        <f>167+210</f>
        <v>377</v>
      </c>
      <c r="Q148" s="50">
        <f>2+1</f>
        <v>3</v>
      </c>
      <c r="R148" s="50">
        <f>2+2</f>
        <v>4</v>
      </c>
      <c r="S148" s="50">
        <v>0</v>
      </c>
      <c r="T148" s="50">
        <v>0</v>
      </c>
      <c r="U148" s="50">
        <v>0</v>
      </c>
      <c r="V148" s="50">
        <v>1</v>
      </c>
      <c r="W148" s="50">
        <v>3</v>
      </c>
      <c r="X148" s="52">
        <v>0</v>
      </c>
      <c r="Y148" s="52">
        <v>0</v>
      </c>
      <c r="Z148" s="50">
        <f t="shared" si="7"/>
        <v>9.8181917658323083</v>
      </c>
      <c r="AA148" s="50">
        <f t="shared" si="8"/>
        <v>7.8128846942962668E-2</v>
      </c>
      <c r="AB148" s="50">
        <f t="shared" si="9"/>
        <v>0.10417179592395022</v>
      </c>
      <c r="AC148" s="50">
        <f t="shared" si="10"/>
        <v>0</v>
      </c>
      <c r="AD148" s="50">
        <f t="shared" si="11"/>
        <v>0</v>
      </c>
    </row>
    <row r="149" spans="1:30" s="50" customFormat="1" x14ac:dyDescent="0.25">
      <c r="A149" s="53">
        <v>42750</v>
      </c>
      <c r="B149" s="47">
        <v>0.39583333333333331</v>
      </c>
      <c r="C149" s="46">
        <v>42751</v>
      </c>
      <c r="D149" s="47">
        <v>0.42708333333333331</v>
      </c>
      <c r="E149" s="48">
        <v>25.75</v>
      </c>
      <c r="F149" s="49">
        <v>2.4</v>
      </c>
      <c r="G149" s="49">
        <v>2.5</v>
      </c>
      <c r="H149" s="50">
        <v>3608</v>
      </c>
      <c r="I149" s="50">
        <v>3972</v>
      </c>
      <c r="J149" s="48">
        <f t="shared" si="6"/>
        <v>51.535555555555554</v>
      </c>
      <c r="K149" s="50">
        <v>27200</v>
      </c>
      <c r="L149" s="50">
        <v>48</v>
      </c>
      <c r="M149" s="51">
        <v>147</v>
      </c>
      <c r="N149" s="50">
        <v>35</v>
      </c>
      <c r="O149" s="50">
        <v>108</v>
      </c>
      <c r="P149" s="50">
        <f>118+109</f>
        <v>227</v>
      </c>
      <c r="Q149" s="50">
        <f>1+3</f>
        <v>4</v>
      </c>
      <c r="R149" s="50">
        <f>2+3</f>
        <v>5</v>
      </c>
      <c r="S149" s="50">
        <v>0</v>
      </c>
      <c r="T149" s="50">
        <v>0</v>
      </c>
      <c r="U149" s="50">
        <v>0</v>
      </c>
      <c r="V149" s="50">
        <v>0</v>
      </c>
      <c r="W149" s="50">
        <v>1</v>
      </c>
      <c r="X149" s="52">
        <v>0</v>
      </c>
      <c r="Y149" s="52">
        <v>1</v>
      </c>
      <c r="Z149" s="50">
        <f t="shared" si="7"/>
        <v>4.4047259712819633</v>
      </c>
      <c r="AA149" s="50">
        <f t="shared" si="8"/>
        <v>7.7616316674572028E-2</v>
      </c>
      <c r="AB149" s="50">
        <f t="shared" si="9"/>
        <v>9.7020395843215049E-2</v>
      </c>
      <c r="AC149" s="50">
        <f t="shared" si="10"/>
        <v>0</v>
      </c>
      <c r="AD149" s="50">
        <f t="shared" si="11"/>
        <v>0</v>
      </c>
    </row>
    <row r="150" spans="1:30" s="50" customFormat="1" x14ac:dyDescent="0.25">
      <c r="A150" s="46">
        <v>42751</v>
      </c>
      <c r="B150" s="47">
        <v>0.42708333333333331</v>
      </c>
      <c r="C150" s="46">
        <v>42752</v>
      </c>
      <c r="D150" s="47">
        <v>0.39583333333333331</v>
      </c>
      <c r="E150" s="48">
        <v>23.25</v>
      </c>
      <c r="F150" s="49">
        <v>2.5</v>
      </c>
      <c r="G150" s="49">
        <v>2.8</v>
      </c>
      <c r="H150" s="50">
        <v>3450</v>
      </c>
      <c r="I150" s="50">
        <v>3628</v>
      </c>
      <c r="J150" s="48">
        <f t="shared" si="6"/>
        <v>44.595238095238095</v>
      </c>
      <c r="K150" s="50">
        <v>27000</v>
      </c>
      <c r="L150" s="50">
        <v>47</v>
      </c>
      <c r="M150" s="51">
        <v>120</v>
      </c>
      <c r="N150" s="50">
        <v>33</v>
      </c>
      <c r="O150" s="50">
        <v>149</v>
      </c>
      <c r="P150" s="50">
        <f>104+181</f>
        <v>285</v>
      </c>
      <c r="Q150" s="50">
        <f>2</f>
        <v>2</v>
      </c>
      <c r="R150" s="50">
        <v>1</v>
      </c>
      <c r="S150" s="50">
        <v>1</v>
      </c>
      <c r="T150" s="50">
        <v>0</v>
      </c>
      <c r="U150" s="50">
        <v>0</v>
      </c>
      <c r="V150" s="50">
        <v>0</v>
      </c>
      <c r="W150" s="50">
        <v>0</v>
      </c>
      <c r="X150" s="52">
        <v>0</v>
      </c>
      <c r="Y150" s="52">
        <v>1</v>
      </c>
      <c r="Z150" s="50">
        <f t="shared" si="7"/>
        <v>6.3908168713294184</v>
      </c>
      <c r="AA150" s="50">
        <f t="shared" si="8"/>
        <v>4.4847837693539776E-2</v>
      </c>
      <c r="AB150" s="50">
        <f t="shared" si="9"/>
        <v>2.2423918846769888E-2</v>
      </c>
      <c r="AC150" s="50">
        <f t="shared" si="10"/>
        <v>2.2423918846769888E-2</v>
      </c>
      <c r="AD150" s="50">
        <f t="shared" si="11"/>
        <v>0</v>
      </c>
    </row>
    <row r="151" spans="1:30" s="50" customFormat="1" x14ac:dyDescent="0.25">
      <c r="A151" s="46">
        <v>42752</v>
      </c>
      <c r="B151" s="47">
        <v>0.39583333333333331</v>
      </c>
      <c r="C151" s="46">
        <v>42753</v>
      </c>
      <c r="D151" s="47">
        <v>0.5</v>
      </c>
      <c r="E151" s="48">
        <v>26.5</v>
      </c>
      <c r="F151" s="49">
        <v>2.5</v>
      </c>
      <c r="G151" s="49">
        <v>2.7</v>
      </c>
      <c r="H151" s="50">
        <v>2244</v>
      </c>
      <c r="I151" s="50">
        <v>4315</v>
      </c>
      <c r="J151" s="48">
        <f t="shared" si="6"/>
        <v>41.595802469135805</v>
      </c>
      <c r="K151" s="50">
        <v>26800</v>
      </c>
      <c r="L151" s="50">
        <v>52</v>
      </c>
      <c r="M151" s="51">
        <v>84.7</v>
      </c>
      <c r="N151" s="50">
        <v>34</v>
      </c>
      <c r="O151" s="50">
        <v>87</v>
      </c>
      <c r="P151" s="50">
        <f>33+90</f>
        <v>123</v>
      </c>
      <c r="Q151" s="50">
        <v>2</v>
      </c>
      <c r="R151" s="50">
        <v>1</v>
      </c>
      <c r="S151" s="50">
        <v>0</v>
      </c>
      <c r="T151" s="50">
        <v>0</v>
      </c>
      <c r="U151" s="50">
        <v>0</v>
      </c>
      <c r="V151" s="50">
        <v>0</v>
      </c>
      <c r="W151" s="50">
        <v>0</v>
      </c>
      <c r="X151" s="52">
        <v>0</v>
      </c>
      <c r="Y151" s="52">
        <v>0</v>
      </c>
      <c r="Z151" s="50">
        <f t="shared" si="7"/>
        <v>2.9570291399298361</v>
      </c>
      <c r="AA151" s="50">
        <f t="shared" si="8"/>
        <v>4.8081774633005461E-2</v>
      </c>
      <c r="AB151" s="50">
        <f t="shared" si="9"/>
        <v>2.4040887316502731E-2</v>
      </c>
      <c r="AC151" s="50">
        <f t="shared" si="10"/>
        <v>0</v>
      </c>
      <c r="AD151" s="50">
        <f t="shared" si="11"/>
        <v>0</v>
      </c>
    </row>
    <row r="152" spans="1:30" s="50" customFormat="1" x14ac:dyDescent="0.25">
      <c r="A152" s="46">
        <v>42753</v>
      </c>
      <c r="B152" s="47">
        <v>0.5</v>
      </c>
      <c r="C152" s="46">
        <v>42754</v>
      </c>
      <c r="D152" s="47">
        <v>0.45833333333333331</v>
      </c>
      <c r="E152" s="48">
        <v>23</v>
      </c>
      <c r="F152" s="49">
        <v>2.7</v>
      </c>
      <c r="G152" s="49">
        <v>2.7</v>
      </c>
      <c r="H152" s="50">
        <v>3640</v>
      </c>
      <c r="I152" s="50">
        <v>3796</v>
      </c>
      <c r="J152" s="48">
        <f t="shared" ref="J152:J207" si="12" xml:space="preserve"> (((H152/F152)+(I152/G152))/60)</f>
        <v>45.901234567901234</v>
      </c>
      <c r="K152" s="50">
        <v>26700</v>
      </c>
      <c r="L152" s="50">
        <v>47</v>
      </c>
      <c r="M152" s="51">
        <v>96.3</v>
      </c>
      <c r="N152" s="50">
        <v>34</v>
      </c>
      <c r="O152" s="50">
        <v>44</v>
      </c>
      <c r="P152" s="50">
        <f>46+79</f>
        <v>125</v>
      </c>
      <c r="Q152" s="50">
        <v>0</v>
      </c>
      <c r="R152" s="50">
        <v>0</v>
      </c>
      <c r="S152" s="50">
        <v>0</v>
      </c>
      <c r="T152" s="50">
        <v>0</v>
      </c>
      <c r="U152" s="50">
        <v>0</v>
      </c>
      <c r="V152" s="50">
        <v>0</v>
      </c>
      <c r="W152" s="50">
        <v>0</v>
      </c>
      <c r="X152" s="52">
        <v>0</v>
      </c>
      <c r="Y152" s="52">
        <v>0</v>
      </c>
      <c r="Z152" s="50">
        <f t="shared" ref="Z152:Z175" si="13">P152/J152</f>
        <v>2.7232383001613769</v>
      </c>
      <c r="AA152" s="50">
        <f t="shared" ref="AA152:AA175" si="14">Q152/J152</f>
        <v>0</v>
      </c>
      <c r="AB152" s="50">
        <f t="shared" ref="AB152:AB190" si="15">R152/J152</f>
        <v>0</v>
      </c>
      <c r="AC152" s="50">
        <f t="shared" ref="AC152:AC190" si="16">S152/J152</f>
        <v>0</v>
      </c>
      <c r="AD152" s="50">
        <f t="shared" ref="AD152:AD190" si="17">X152/J152</f>
        <v>0</v>
      </c>
    </row>
    <row r="153" spans="1:30" s="50" customFormat="1" x14ac:dyDescent="0.25">
      <c r="A153" s="53">
        <v>42754</v>
      </c>
      <c r="B153" s="47">
        <v>0.45833333333333331</v>
      </c>
      <c r="C153" s="46">
        <v>42755</v>
      </c>
      <c r="D153" s="47">
        <v>0.4375</v>
      </c>
      <c r="E153" s="48">
        <v>23.5</v>
      </c>
      <c r="F153" s="49">
        <v>2.6</v>
      </c>
      <c r="G153" s="49">
        <v>2.6</v>
      </c>
      <c r="H153" s="50">
        <v>3731</v>
      </c>
      <c r="I153" s="50">
        <v>3860</v>
      </c>
      <c r="J153" s="48">
        <f t="shared" si="12"/>
        <v>48.660256410256416</v>
      </c>
      <c r="K153" s="50">
        <v>27300</v>
      </c>
      <c r="L153" s="50">
        <v>47</v>
      </c>
      <c r="M153" s="51">
        <v>85.7</v>
      </c>
      <c r="N153" s="50">
        <v>34</v>
      </c>
      <c r="O153" s="50">
        <v>75</v>
      </c>
      <c r="P153" s="50">
        <f>29+61</f>
        <v>90</v>
      </c>
      <c r="Q153" s="50">
        <f>1</f>
        <v>1</v>
      </c>
      <c r="R153" s="50">
        <f>1+1</f>
        <v>2</v>
      </c>
      <c r="S153" s="50">
        <v>0</v>
      </c>
      <c r="T153" s="50">
        <v>0</v>
      </c>
      <c r="U153" s="50">
        <v>0</v>
      </c>
      <c r="V153" s="50">
        <v>0</v>
      </c>
      <c r="W153" s="50">
        <v>0</v>
      </c>
      <c r="X153" s="52">
        <v>0</v>
      </c>
      <c r="Y153" s="52">
        <v>0</v>
      </c>
      <c r="Z153" s="50">
        <f t="shared" si="13"/>
        <v>1.8495586879199049</v>
      </c>
      <c r="AA153" s="50">
        <f t="shared" si="14"/>
        <v>2.0550652087998944E-2</v>
      </c>
      <c r="AB153" s="50">
        <f t="shared" si="15"/>
        <v>4.1101304175997888E-2</v>
      </c>
      <c r="AC153" s="50">
        <f t="shared" si="16"/>
        <v>0</v>
      </c>
      <c r="AD153" s="50">
        <f t="shared" si="17"/>
        <v>0</v>
      </c>
    </row>
    <row r="154" spans="1:30" s="50" customFormat="1" x14ac:dyDescent="0.25">
      <c r="A154" s="46">
        <v>42755</v>
      </c>
      <c r="B154" s="47">
        <v>0.4375</v>
      </c>
      <c r="C154" s="46">
        <v>42756</v>
      </c>
      <c r="D154" s="47">
        <v>0.38541666666666669</v>
      </c>
      <c r="E154" s="48">
        <v>22.75</v>
      </c>
      <c r="F154" s="49">
        <v>2.9</v>
      </c>
      <c r="G154" s="49">
        <v>2.9</v>
      </c>
      <c r="H154" s="50">
        <v>3827</v>
      </c>
      <c r="I154" s="50">
        <v>3997</v>
      </c>
      <c r="J154" s="48">
        <f t="shared" si="12"/>
        <v>44.965517241379317</v>
      </c>
      <c r="K154" s="50">
        <v>27600</v>
      </c>
      <c r="L154" s="50">
        <v>44</v>
      </c>
      <c r="M154" s="51">
        <v>237</v>
      </c>
      <c r="N154" s="50">
        <v>32</v>
      </c>
      <c r="O154" s="50">
        <v>42</v>
      </c>
      <c r="P154" s="50">
        <f>50+72</f>
        <v>122</v>
      </c>
      <c r="Q154" s="50">
        <v>0</v>
      </c>
      <c r="R154" s="50">
        <v>0</v>
      </c>
      <c r="S154" s="50">
        <v>0</v>
      </c>
      <c r="T154" s="50">
        <v>0</v>
      </c>
      <c r="U154" s="50">
        <v>0</v>
      </c>
      <c r="V154" s="50">
        <v>0</v>
      </c>
      <c r="W154" s="50">
        <v>0</v>
      </c>
      <c r="X154" s="52">
        <v>0</v>
      </c>
      <c r="Y154" s="52">
        <v>0</v>
      </c>
      <c r="Z154" s="50">
        <f t="shared" si="13"/>
        <v>2.7131901840490795</v>
      </c>
      <c r="AA154" s="50">
        <f t="shared" si="14"/>
        <v>0</v>
      </c>
      <c r="AB154" s="50">
        <f t="shared" si="15"/>
        <v>0</v>
      </c>
      <c r="AC154" s="50">
        <f t="shared" si="16"/>
        <v>0</v>
      </c>
      <c r="AD154" s="50">
        <f t="shared" si="17"/>
        <v>0</v>
      </c>
    </row>
    <row r="155" spans="1:30" s="50" customFormat="1" x14ac:dyDescent="0.25">
      <c r="A155" s="46">
        <v>42756</v>
      </c>
      <c r="B155" s="47">
        <v>0.38541666666666669</v>
      </c>
      <c r="C155" s="46">
        <v>42757</v>
      </c>
      <c r="D155" s="47">
        <v>0.40625</v>
      </c>
      <c r="E155" s="48">
        <v>24.5</v>
      </c>
      <c r="F155" s="49">
        <v>3</v>
      </c>
      <c r="G155" s="49">
        <v>2.9</v>
      </c>
      <c r="H155" s="50">
        <v>4069</v>
      </c>
      <c r="I155" s="50">
        <v>4184</v>
      </c>
      <c r="J155" s="48">
        <f t="shared" si="12"/>
        <v>46.651532567049806</v>
      </c>
      <c r="K155" s="50">
        <v>27800</v>
      </c>
      <c r="L155" s="50">
        <v>49</v>
      </c>
      <c r="M155" s="51">
        <v>187</v>
      </c>
      <c r="N155" s="50">
        <v>32</v>
      </c>
      <c r="O155" s="50">
        <v>115</v>
      </c>
      <c r="P155" s="50">
        <f>17+26</f>
        <v>43</v>
      </c>
      <c r="Q155" s="50">
        <v>0</v>
      </c>
      <c r="R155" s="50">
        <v>1</v>
      </c>
      <c r="S155" s="50">
        <v>0</v>
      </c>
      <c r="T155" s="50">
        <v>0</v>
      </c>
      <c r="U155" s="50">
        <v>0</v>
      </c>
      <c r="V155" s="50">
        <v>2</v>
      </c>
      <c r="W155" s="50">
        <v>0</v>
      </c>
      <c r="X155" s="52">
        <v>0</v>
      </c>
      <c r="Y155" s="52">
        <v>1</v>
      </c>
      <c r="Z155" s="50">
        <f t="shared" si="13"/>
        <v>0.92172748962101836</v>
      </c>
      <c r="AA155" s="50">
        <f t="shared" si="14"/>
        <v>0</v>
      </c>
      <c r="AB155" s="50">
        <f t="shared" si="15"/>
        <v>2.1435523014442289E-2</v>
      </c>
      <c r="AC155" s="50">
        <f t="shared" si="16"/>
        <v>0</v>
      </c>
      <c r="AD155" s="50">
        <f t="shared" si="17"/>
        <v>0</v>
      </c>
    </row>
    <row r="156" spans="1:30" s="50" customFormat="1" x14ac:dyDescent="0.25">
      <c r="A156" s="46">
        <v>42757</v>
      </c>
      <c r="B156" s="47">
        <v>0.40625</v>
      </c>
      <c r="C156" s="46">
        <v>42758</v>
      </c>
      <c r="D156" s="47">
        <v>0.39583333333333331</v>
      </c>
      <c r="E156" s="48">
        <v>23.75</v>
      </c>
      <c r="F156" s="49">
        <v>2.9</v>
      </c>
      <c r="G156" s="49">
        <v>2.9</v>
      </c>
      <c r="H156" s="50">
        <v>4058</v>
      </c>
      <c r="I156" s="50">
        <v>4302</v>
      </c>
      <c r="J156" s="48">
        <f t="shared" si="12"/>
        <v>48.045977011494259</v>
      </c>
      <c r="K156" s="50">
        <v>27800</v>
      </c>
      <c r="L156" s="50">
        <v>48</v>
      </c>
      <c r="M156" s="51">
        <v>185.5</v>
      </c>
      <c r="N156" s="50">
        <v>32</v>
      </c>
      <c r="O156" s="50">
        <v>42</v>
      </c>
      <c r="P156" s="50">
        <f>31+56</f>
        <v>87</v>
      </c>
      <c r="Q156" s="50">
        <v>0</v>
      </c>
      <c r="R156" s="50">
        <v>0</v>
      </c>
      <c r="S156" s="50">
        <v>0</v>
      </c>
      <c r="T156" s="50">
        <v>0</v>
      </c>
      <c r="U156" s="50">
        <v>0</v>
      </c>
      <c r="V156" s="50">
        <v>0</v>
      </c>
      <c r="W156" s="50">
        <v>0</v>
      </c>
      <c r="X156" s="52">
        <v>0</v>
      </c>
      <c r="Y156" s="52">
        <v>2</v>
      </c>
      <c r="Z156" s="50">
        <f t="shared" si="13"/>
        <v>1.8107655502392341</v>
      </c>
      <c r="AA156" s="50">
        <f t="shared" si="14"/>
        <v>0</v>
      </c>
      <c r="AB156" s="50">
        <f t="shared" si="15"/>
        <v>0</v>
      </c>
      <c r="AC156" s="50">
        <f t="shared" si="16"/>
        <v>0</v>
      </c>
      <c r="AD156" s="50">
        <f t="shared" si="17"/>
        <v>0</v>
      </c>
    </row>
    <row r="157" spans="1:30" s="50" customFormat="1" x14ac:dyDescent="0.25">
      <c r="A157" s="46">
        <v>42758</v>
      </c>
      <c r="B157" s="47">
        <v>0.39583333333333331</v>
      </c>
      <c r="C157" s="46">
        <v>42759</v>
      </c>
      <c r="D157" s="47">
        <v>0.41666666666666669</v>
      </c>
      <c r="E157" s="48">
        <v>24.5</v>
      </c>
      <c r="F157" s="49">
        <v>2.6</v>
      </c>
      <c r="G157" s="49">
        <v>3.1</v>
      </c>
      <c r="H157" s="50">
        <v>3944</v>
      </c>
      <c r="I157" s="50">
        <v>4520</v>
      </c>
      <c r="J157" s="48">
        <f t="shared" si="12"/>
        <v>49.583126550868492</v>
      </c>
      <c r="K157" s="50">
        <v>27900</v>
      </c>
      <c r="L157" s="50">
        <v>48</v>
      </c>
      <c r="M157" s="51">
        <v>239.5</v>
      </c>
      <c r="N157" s="50">
        <v>35</v>
      </c>
      <c r="O157" s="50">
        <v>42</v>
      </c>
      <c r="P157" s="50">
        <f>42+68</f>
        <v>110</v>
      </c>
      <c r="Q157" s="50">
        <v>0</v>
      </c>
      <c r="R157" s="50">
        <v>0</v>
      </c>
      <c r="S157" s="50">
        <v>0</v>
      </c>
      <c r="T157" s="50">
        <v>0</v>
      </c>
      <c r="U157" s="50">
        <v>0</v>
      </c>
      <c r="V157" s="50">
        <v>0</v>
      </c>
      <c r="W157" s="50">
        <v>0</v>
      </c>
      <c r="X157" s="52">
        <v>0</v>
      </c>
      <c r="Y157" s="52">
        <v>1</v>
      </c>
      <c r="Z157" s="50">
        <f t="shared" si="13"/>
        <v>2.2184966469822838</v>
      </c>
      <c r="AA157" s="50">
        <f t="shared" si="14"/>
        <v>0</v>
      </c>
      <c r="AB157" s="50">
        <f t="shared" si="15"/>
        <v>0</v>
      </c>
      <c r="AC157" s="50">
        <f t="shared" si="16"/>
        <v>0</v>
      </c>
      <c r="AD157" s="50">
        <f t="shared" si="17"/>
        <v>0</v>
      </c>
    </row>
    <row r="158" spans="1:30" x14ac:dyDescent="0.25">
      <c r="A158" s="46">
        <v>42759</v>
      </c>
      <c r="B158" s="47">
        <v>0.41666666666666669</v>
      </c>
      <c r="C158" s="40">
        <v>42760</v>
      </c>
      <c r="D158" s="39">
        <v>0.4375</v>
      </c>
      <c r="E158" s="41">
        <v>24.5</v>
      </c>
      <c r="F158" s="42">
        <v>2.6</v>
      </c>
      <c r="G158" s="42">
        <v>2.7</v>
      </c>
      <c r="H158" s="4">
        <v>4036</v>
      </c>
      <c r="I158" s="4">
        <v>4577</v>
      </c>
      <c r="J158" s="41">
        <f t="shared" si="12"/>
        <v>54.12488129154795</v>
      </c>
      <c r="K158" s="4">
        <v>27600</v>
      </c>
      <c r="L158" s="4">
        <v>47</v>
      </c>
      <c r="M158" s="43">
        <v>160.5</v>
      </c>
      <c r="N158" s="4">
        <v>35</v>
      </c>
      <c r="O158" s="4">
        <v>49</v>
      </c>
      <c r="P158" s="4">
        <f>43+88</f>
        <v>131</v>
      </c>
      <c r="Q158" s="4">
        <v>1</v>
      </c>
      <c r="R158" s="4">
        <v>0</v>
      </c>
      <c r="S158" s="4">
        <v>0</v>
      </c>
      <c r="T158" s="4">
        <v>0</v>
      </c>
      <c r="U158" s="4">
        <v>0</v>
      </c>
      <c r="V158" s="4">
        <v>1</v>
      </c>
      <c r="W158" s="4">
        <v>0</v>
      </c>
      <c r="X158" s="44">
        <v>0</v>
      </c>
      <c r="Y158" s="44">
        <v>0</v>
      </c>
      <c r="Z158" s="50">
        <f t="shared" si="13"/>
        <v>2.4203286339670318</v>
      </c>
      <c r="AA158" s="50">
        <f t="shared" si="14"/>
        <v>1.8475791098984975E-2</v>
      </c>
      <c r="AB158" s="50">
        <f t="shared" si="15"/>
        <v>0</v>
      </c>
      <c r="AC158" s="50">
        <f t="shared" si="16"/>
        <v>0</v>
      </c>
      <c r="AD158" s="50">
        <f t="shared" si="17"/>
        <v>0</v>
      </c>
    </row>
    <row r="159" spans="1:30" x14ac:dyDescent="0.25">
      <c r="A159" s="40">
        <v>42760</v>
      </c>
      <c r="B159" s="39">
        <v>0.4375</v>
      </c>
      <c r="C159" s="40">
        <v>42761</v>
      </c>
      <c r="D159" s="39">
        <v>0.41666666666666669</v>
      </c>
      <c r="E159" s="41">
        <v>23.5</v>
      </c>
      <c r="F159" s="42">
        <v>3</v>
      </c>
      <c r="G159" s="42">
        <v>3.4</v>
      </c>
      <c r="H159" s="4">
        <v>4037</v>
      </c>
      <c r="I159" s="4">
        <v>4270</v>
      </c>
      <c r="J159" s="41">
        <f t="shared" si="12"/>
        <v>43.359150326797391</v>
      </c>
      <c r="K159" s="4">
        <v>27100</v>
      </c>
      <c r="L159" s="4">
        <v>47</v>
      </c>
      <c r="M159" s="43">
        <v>95.5</v>
      </c>
      <c r="N159" s="4">
        <v>32</v>
      </c>
      <c r="O159" s="4">
        <v>78</v>
      </c>
      <c r="P159" s="4">
        <f>45+61</f>
        <v>106</v>
      </c>
      <c r="Q159" s="4">
        <v>1</v>
      </c>
      <c r="R159" s="4">
        <v>2</v>
      </c>
      <c r="S159" s="4">
        <v>0</v>
      </c>
      <c r="T159" s="4">
        <v>0</v>
      </c>
      <c r="U159" s="4">
        <v>0</v>
      </c>
      <c r="V159" s="4">
        <v>0</v>
      </c>
      <c r="W159" s="4">
        <v>0</v>
      </c>
      <c r="X159" s="44">
        <v>0</v>
      </c>
      <c r="Y159" s="44">
        <v>0</v>
      </c>
      <c r="Z159" s="50">
        <f t="shared" si="13"/>
        <v>2.4446973522561972</v>
      </c>
      <c r="AA159" s="50">
        <f t="shared" si="14"/>
        <v>2.3063182568454688E-2</v>
      </c>
      <c r="AB159" s="50">
        <f t="shared" si="15"/>
        <v>4.6126365136909375E-2</v>
      </c>
      <c r="AC159" s="50">
        <f t="shared" si="16"/>
        <v>0</v>
      </c>
      <c r="AD159" s="50">
        <f t="shared" si="17"/>
        <v>0</v>
      </c>
    </row>
    <row r="160" spans="1:30" x14ac:dyDescent="0.25">
      <c r="A160" s="40">
        <v>42761</v>
      </c>
      <c r="B160" s="39">
        <v>0.41666666666666669</v>
      </c>
      <c r="C160" s="40">
        <v>42762</v>
      </c>
      <c r="D160" s="39">
        <v>0.41666666666666669</v>
      </c>
      <c r="E160" s="41">
        <v>24</v>
      </c>
      <c r="F160" s="42">
        <v>3</v>
      </c>
      <c r="G160" s="42">
        <v>3.1</v>
      </c>
      <c r="H160" s="4">
        <v>4243</v>
      </c>
      <c r="I160" s="4">
        <v>4523</v>
      </c>
      <c r="J160" s="41">
        <f t="shared" si="12"/>
        <v>47.889426523297487</v>
      </c>
      <c r="K160" s="4">
        <v>26700</v>
      </c>
      <c r="L160" s="4">
        <v>47</v>
      </c>
      <c r="M160" s="43">
        <v>86.1</v>
      </c>
      <c r="N160" s="4">
        <v>37</v>
      </c>
      <c r="O160" s="4">
        <v>56</v>
      </c>
      <c r="P160" s="4">
        <f>31+65</f>
        <v>96</v>
      </c>
      <c r="Q160" s="4">
        <f>1+1</f>
        <v>2</v>
      </c>
      <c r="R160" s="4">
        <v>0</v>
      </c>
      <c r="S160" s="4">
        <v>0</v>
      </c>
      <c r="T160" s="4">
        <v>0</v>
      </c>
      <c r="U160" s="4">
        <v>0</v>
      </c>
      <c r="V160" s="4">
        <v>0</v>
      </c>
      <c r="W160" s="4">
        <v>0</v>
      </c>
      <c r="X160" s="44">
        <v>0</v>
      </c>
      <c r="Y160" s="44">
        <v>0</v>
      </c>
      <c r="Z160" s="50">
        <f>P160/J160</f>
        <v>2.0046178659771052</v>
      </c>
      <c r="AA160" s="50">
        <f>Q160/J160</f>
        <v>4.1762872207856364E-2</v>
      </c>
      <c r="AB160" s="50">
        <f t="shared" si="15"/>
        <v>0</v>
      </c>
      <c r="AC160" s="50">
        <f t="shared" si="16"/>
        <v>0</v>
      </c>
      <c r="AD160" s="50">
        <f t="shared" si="17"/>
        <v>0</v>
      </c>
    </row>
    <row r="161" spans="1:30" x14ac:dyDescent="0.25">
      <c r="A161" s="38">
        <v>42762</v>
      </c>
      <c r="B161" s="39">
        <v>0.41666666666666669</v>
      </c>
      <c r="C161" s="40">
        <v>42763</v>
      </c>
      <c r="D161" s="39">
        <v>0.4375</v>
      </c>
      <c r="E161" s="41">
        <v>24.5</v>
      </c>
      <c r="F161" s="42">
        <v>3.1</v>
      </c>
      <c r="G161" s="42">
        <v>2.9</v>
      </c>
      <c r="H161" s="4">
        <v>4028</v>
      </c>
      <c r="I161" s="4">
        <v>4169</v>
      </c>
      <c r="J161" s="41">
        <f t="shared" si="12"/>
        <v>45.615684093437153</v>
      </c>
      <c r="K161" s="4">
        <v>26500</v>
      </c>
      <c r="L161" s="4">
        <v>48</v>
      </c>
      <c r="M161" s="43">
        <v>69.849999999999994</v>
      </c>
      <c r="N161" s="4">
        <v>33</v>
      </c>
      <c r="O161" s="4">
        <v>49</v>
      </c>
      <c r="P161" s="4">
        <v>55</v>
      </c>
      <c r="Q161" s="4">
        <v>1</v>
      </c>
      <c r="R161" s="4">
        <v>0</v>
      </c>
      <c r="S161" s="4">
        <v>0</v>
      </c>
      <c r="T161" s="4">
        <v>0</v>
      </c>
      <c r="U161" s="4">
        <v>0</v>
      </c>
      <c r="V161" s="4">
        <v>0</v>
      </c>
      <c r="W161" s="4">
        <v>0</v>
      </c>
      <c r="X161" s="44">
        <v>0</v>
      </c>
      <c r="Y161" s="44">
        <v>0</v>
      </c>
      <c r="Z161" s="50">
        <f t="shared" si="13"/>
        <v>1.2057256422449005</v>
      </c>
      <c r="AA161" s="50">
        <f t="shared" si="14"/>
        <v>2.1922284404452735E-2</v>
      </c>
      <c r="AB161" s="4">
        <f t="shared" si="15"/>
        <v>0</v>
      </c>
      <c r="AC161" s="4">
        <f t="shared" si="16"/>
        <v>0</v>
      </c>
      <c r="AD161" s="4">
        <f t="shared" si="17"/>
        <v>0</v>
      </c>
    </row>
    <row r="162" spans="1:30" x14ac:dyDescent="0.25">
      <c r="A162" s="40">
        <v>42763</v>
      </c>
      <c r="B162" s="39">
        <v>0.4375</v>
      </c>
      <c r="C162" s="40">
        <v>42764</v>
      </c>
      <c r="D162" s="39">
        <v>0.40625</v>
      </c>
      <c r="E162" s="41">
        <v>23.25</v>
      </c>
      <c r="F162" s="42">
        <v>2.7</v>
      </c>
      <c r="G162" s="42">
        <v>3</v>
      </c>
      <c r="H162" s="4">
        <v>3882</v>
      </c>
      <c r="I162" s="4">
        <v>4037</v>
      </c>
      <c r="J162" s="41">
        <f t="shared" si="12"/>
        <v>46.390740740740739</v>
      </c>
      <c r="K162" s="4">
        <v>26300</v>
      </c>
      <c r="L162" s="4">
        <v>47</v>
      </c>
      <c r="M162" s="43">
        <v>59</v>
      </c>
      <c r="N162" s="4">
        <v>34</v>
      </c>
      <c r="O162" s="4">
        <v>45</v>
      </c>
      <c r="P162" s="4">
        <f>28+25</f>
        <v>53</v>
      </c>
      <c r="Q162" s="4">
        <v>0</v>
      </c>
      <c r="R162" s="4">
        <v>0</v>
      </c>
      <c r="S162" s="4">
        <v>0</v>
      </c>
      <c r="T162" s="4">
        <v>0</v>
      </c>
      <c r="U162" s="4">
        <v>0</v>
      </c>
      <c r="V162" s="4">
        <v>0</v>
      </c>
      <c r="W162" s="4">
        <v>0</v>
      </c>
      <c r="X162" s="44">
        <v>0</v>
      </c>
      <c r="Y162" s="44">
        <v>2</v>
      </c>
      <c r="Z162" s="50">
        <f t="shared" si="13"/>
        <v>1.1424693625004991</v>
      </c>
      <c r="AA162" s="4">
        <f t="shared" si="14"/>
        <v>0</v>
      </c>
      <c r="AB162" s="4">
        <f t="shared" si="15"/>
        <v>0</v>
      </c>
      <c r="AC162" s="4">
        <f t="shared" si="16"/>
        <v>0</v>
      </c>
      <c r="AD162" s="4">
        <f t="shared" si="17"/>
        <v>0</v>
      </c>
    </row>
    <row r="163" spans="1:30" x14ac:dyDescent="0.25">
      <c r="A163" s="40">
        <v>42764</v>
      </c>
      <c r="B163" s="39">
        <v>0.40625</v>
      </c>
      <c r="C163" s="40">
        <v>42765</v>
      </c>
      <c r="D163" s="39">
        <v>0.39583333333333331</v>
      </c>
      <c r="E163" s="41">
        <v>23.75</v>
      </c>
      <c r="F163" s="42">
        <v>3.1</v>
      </c>
      <c r="G163" s="42">
        <v>3.3</v>
      </c>
      <c r="H163" s="4">
        <v>3993</v>
      </c>
      <c r="I163" s="4">
        <v>4262</v>
      </c>
      <c r="J163" s="41">
        <f t="shared" si="12"/>
        <v>42.992994460736398</v>
      </c>
      <c r="K163" s="4">
        <v>25900</v>
      </c>
      <c r="L163" s="4">
        <v>48</v>
      </c>
      <c r="M163" s="43">
        <v>57</v>
      </c>
      <c r="N163" s="4">
        <v>35</v>
      </c>
      <c r="O163" s="4">
        <v>47</v>
      </c>
      <c r="P163" s="4">
        <f>21+31</f>
        <v>52</v>
      </c>
      <c r="Q163" s="4">
        <v>0</v>
      </c>
      <c r="R163" s="4">
        <v>0</v>
      </c>
      <c r="S163" s="4">
        <v>0</v>
      </c>
      <c r="T163" s="4">
        <v>0</v>
      </c>
      <c r="U163" s="4">
        <v>0</v>
      </c>
      <c r="V163" s="4">
        <v>0</v>
      </c>
      <c r="W163" s="4">
        <v>0</v>
      </c>
      <c r="X163" s="44">
        <v>0</v>
      </c>
      <c r="Y163" s="44">
        <v>0</v>
      </c>
      <c r="Z163" s="50">
        <f t="shared" si="13"/>
        <v>1.2094993766365658</v>
      </c>
      <c r="AA163" s="4">
        <f t="shared" si="14"/>
        <v>0</v>
      </c>
      <c r="AB163" s="4">
        <f t="shared" si="15"/>
        <v>0</v>
      </c>
      <c r="AC163" s="4">
        <f t="shared" si="16"/>
        <v>0</v>
      </c>
      <c r="AD163" s="4">
        <f t="shared" si="17"/>
        <v>0</v>
      </c>
    </row>
    <row r="164" spans="1:30" x14ac:dyDescent="0.25">
      <c r="A164" s="40">
        <v>42765</v>
      </c>
      <c r="B164" s="39">
        <v>0.39583333333333331</v>
      </c>
      <c r="C164" s="40">
        <v>42766</v>
      </c>
      <c r="D164" s="39">
        <v>0.39583333333333331</v>
      </c>
      <c r="E164" s="41">
        <v>24</v>
      </c>
      <c r="F164" s="42">
        <v>2.9</v>
      </c>
      <c r="G164" s="42">
        <v>2.9</v>
      </c>
      <c r="H164" s="4">
        <v>3884</v>
      </c>
      <c r="I164" s="4">
        <v>4139</v>
      </c>
      <c r="J164" s="41">
        <f t="shared" si="12"/>
        <v>46.109195402298852</v>
      </c>
      <c r="K164" s="4">
        <v>25700</v>
      </c>
      <c r="L164" s="4">
        <v>48</v>
      </c>
      <c r="M164" s="43">
        <v>47.1</v>
      </c>
      <c r="N164" s="4">
        <v>32</v>
      </c>
      <c r="O164" s="4">
        <v>45</v>
      </c>
      <c r="P164" s="4">
        <f>5+19</f>
        <v>24</v>
      </c>
      <c r="Q164" s="4">
        <v>0</v>
      </c>
      <c r="R164" s="4">
        <v>0</v>
      </c>
      <c r="S164" s="4">
        <v>0</v>
      </c>
      <c r="T164" s="4">
        <v>0</v>
      </c>
      <c r="U164" s="4">
        <v>0</v>
      </c>
      <c r="V164" s="4">
        <v>0</v>
      </c>
      <c r="W164" s="4">
        <v>0</v>
      </c>
      <c r="X164" s="44">
        <v>0</v>
      </c>
      <c r="Y164" s="44">
        <v>0</v>
      </c>
      <c r="Z164" s="50">
        <f t="shared" si="13"/>
        <v>0.52050355228717438</v>
      </c>
      <c r="AA164" s="4">
        <f t="shared" si="14"/>
        <v>0</v>
      </c>
      <c r="AB164" s="4">
        <f t="shared" si="15"/>
        <v>0</v>
      </c>
      <c r="AC164" s="4">
        <f t="shared" si="16"/>
        <v>0</v>
      </c>
      <c r="AD164" s="4">
        <f t="shared" si="17"/>
        <v>0</v>
      </c>
    </row>
    <row r="165" spans="1:30" x14ac:dyDescent="0.25">
      <c r="A165" s="40">
        <v>42766</v>
      </c>
      <c r="B165" s="39">
        <v>0.39583333333333331</v>
      </c>
      <c r="C165" s="40">
        <v>42767</v>
      </c>
      <c r="D165" s="39">
        <v>0.40625</v>
      </c>
      <c r="E165" s="41">
        <v>24.25</v>
      </c>
      <c r="F165" s="42">
        <v>2.9</v>
      </c>
      <c r="G165" s="42">
        <v>3.2</v>
      </c>
      <c r="H165" s="4">
        <v>3992</v>
      </c>
      <c r="I165" s="4">
        <v>4290</v>
      </c>
      <c r="J165" s="41">
        <f t="shared" si="12"/>
        <v>45.286278735632187</v>
      </c>
      <c r="K165" s="4">
        <v>25700</v>
      </c>
      <c r="L165" s="4">
        <v>48</v>
      </c>
      <c r="M165" s="43">
        <v>48.8</v>
      </c>
      <c r="N165" s="4">
        <v>34</v>
      </c>
      <c r="O165" s="4">
        <v>43</v>
      </c>
      <c r="P165" s="4">
        <f>13+13</f>
        <v>26</v>
      </c>
      <c r="Q165" s="4">
        <v>0</v>
      </c>
      <c r="R165" s="4">
        <v>0</v>
      </c>
      <c r="S165" s="4">
        <v>0</v>
      </c>
      <c r="T165" s="4">
        <v>0</v>
      </c>
      <c r="U165" s="4">
        <v>0</v>
      </c>
      <c r="V165" s="4">
        <v>0</v>
      </c>
      <c r="W165" s="4">
        <v>0</v>
      </c>
      <c r="X165" s="44">
        <v>0</v>
      </c>
      <c r="Y165" s="44">
        <v>0</v>
      </c>
      <c r="Z165" s="50">
        <f t="shared" si="13"/>
        <v>0.57412533610412675</v>
      </c>
      <c r="AA165" s="4">
        <f t="shared" si="14"/>
        <v>0</v>
      </c>
      <c r="AB165" s="4">
        <f t="shared" si="15"/>
        <v>0</v>
      </c>
      <c r="AC165" s="4">
        <f t="shared" si="16"/>
        <v>0</v>
      </c>
      <c r="AD165" s="4">
        <f t="shared" si="17"/>
        <v>0</v>
      </c>
    </row>
    <row r="166" spans="1:30" x14ac:dyDescent="0.25">
      <c r="A166" s="40">
        <v>42767</v>
      </c>
      <c r="B166" s="39">
        <v>0.40625</v>
      </c>
      <c r="C166" s="40">
        <v>42768</v>
      </c>
      <c r="D166" s="39">
        <v>0.40625</v>
      </c>
      <c r="E166" s="41">
        <v>24</v>
      </c>
      <c r="F166" s="42">
        <v>2.7</v>
      </c>
      <c r="G166" s="42">
        <v>3</v>
      </c>
      <c r="H166" s="4">
        <v>3869</v>
      </c>
      <c r="I166" s="4">
        <v>4137</v>
      </c>
      <c r="J166" s="41">
        <f t="shared" si="12"/>
        <v>46.866049382716042</v>
      </c>
      <c r="K166" s="4">
        <v>25600</v>
      </c>
      <c r="L166" s="4">
        <v>48</v>
      </c>
      <c r="M166" s="43">
        <v>47</v>
      </c>
      <c r="N166" s="4">
        <v>32</v>
      </c>
      <c r="O166" s="4">
        <v>45</v>
      </c>
      <c r="P166" s="4">
        <f>7+17</f>
        <v>24</v>
      </c>
      <c r="Q166" s="4">
        <v>0</v>
      </c>
      <c r="R166" s="4">
        <v>0</v>
      </c>
      <c r="S166" s="4">
        <v>0</v>
      </c>
      <c r="T166" s="4">
        <v>0</v>
      </c>
      <c r="U166" s="4">
        <v>0</v>
      </c>
      <c r="V166" s="4">
        <v>0</v>
      </c>
      <c r="W166" s="4">
        <v>0</v>
      </c>
      <c r="X166" s="44">
        <v>0</v>
      </c>
      <c r="Y166" s="44">
        <v>0</v>
      </c>
      <c r="Z166" s="50">
        <f t="shared" si="13"/>
        <v>0.51209778328042899</v>
      </c>
      <c r="AA166" s="4">
        <f t="shared" si="14"/>
        <v>0</v>
      </c>
      <c r="AB166" s="4">
        <f t="shared" si="15"/>
        <v>0</v>
      </c>
      <c r="AC166" s="4">
        <f t="shared" si="16"/>
        <v>0</v>
      </c>
      <c r="AD166" s="4">
        <f t="shared" si="17"/>
        <v>0</v>
      </c>
    </row>
    <row r="167" spans="1:30" x14ac:dyDescent="0.25">
      <c r="A167" s="40">
        <v>42768</v>
      </c>
      <c r="B167" s="39">
        <v>0.40625</v>
      </c>
      <c r="C167" s="40">
        <v>42769</v>
      </c>
      <c r="D167" s="39">
        <v>0.39583333333333331</v>
      </c>
      <c r="E167" s="41">
        <v>23.75</v>
      </c>
      <c r="F167" s="42">
        <v>2.6</v>
      </c>
      <c r="G167" s="42">
        <v>2.8</v>
      </c>
      <c r="H167" s="4">
        <v>3865</v>
      </c>
      <c r="I167" s="4">
        <v>4027</v>
      </c>
      <c r="J167" s="41">
        <f t="shared" si="12"/>
        <v>48.745879120879117</v>
      </c>
      <c r="K167" s="4">
        <v>25600</v>
      </c>
      <c r="L167" s="4">
        <v>49</v>
      </c>
      <c r="M167" s="43">
        <v>49.4</v>
      </c>
      <c r="N167" s="4">
        <v>34</v>
      </c>
      <c r="O167" s="4">
        <v>41</v>
      </c>
      <c r="P167" s="4">
        <f>13+1</f>
        <v>14</v>
      </c>
      <c r="Q167" s="4">
        <v>0</v>
      </c>
      <c r="R167" s="4">
        <v>0</v>
      </c>
      <c r="S167" s="4">
        <v>0</v>
      </c>
      <c r="T167" s="4">
        <v>0</v>
      </c>
      <c r="U167" s="4">
        <v>0</v>
      </c>
      <c r="V167" s="4">
        <v>0</v>
      </c>
      <c r="W167" s="4">
        <v>0</v>
      </c>
      <c r="X167" s="44">
        <v>0</v>
      </c>
      <c r="Y167" s="44">
        <v>1</v>
      </c>
      <c r="Z167" s="50">
        <f t="shared" si="13"/>
        <v>0.28720376475892584</v>
      </c>
      <c r="AA167" s="4">
        <f t="shared" si="14"/>
        <v>0</v>
      </c>
      <c r="AB167" s="4">
        <f t="shared" si="15"/>
        <v>0</v>
      </c>
      <c r="AC167" s="4">
        <f t="shared" si="16"/>
        <v>0</v>
      </c>
      <c r="AD167" s="4">
        <f t="shared" si="17"/>
        <v>0</v>
      </c>
    </row>
    <row r="168" spans="1:30" x14ac:dyDescent="0.25">
      <c r="A168" s="40">
        <v>42769</v>
      </c>
      <c r="B168" s="39">
        <v>0.39583333333333331</v>
      </c>
      <c r="C168" s="40">
        <v>42770</v>
      </c>
      <c r="D168" s="39">
        <v>0.39583333333333331</v>
      </c>
      <c r="E168" s="41">
        <v>24</v>
      </c>
      <c r="F168" s="42">
        <v>2.7</v>
      </c>
      <c r="G168" s="42">
        <v>2.8</v>
      </c>
      <c r="H168" s="4">
        <v>2362</v>
      </c>
      <c r="I168" s="4">
        <v>4041</v>
      </c>
      <c r="J168" s="41">
        <f t="shared" si="12"/>
        <v>38.633818342151677</v>
      </c>
      <c r="K168" s="4">
        <v>26200</v>
      </c>
      <c r="L168" s="4">
        <v>48</v>
      </c>
      <c r="M168" s="43">
        <v>51.3</v>
      </c>
      <c r="N168" s="4">
        <v>35</v>
      </c>
      <c r="O168" s="4">
        <v>46</v>
      </c>
      <c r="P168" s="4">
        <f>3+10</f>
        <v>13</v>
      </c>
      <c r="Q168" s="4">
        <v>0</v>
      </c>
      <c r="R168" s="4">
        <v>0</v>
      </c>
      <c r="S168" s="4">
        <v>0</v>
      </c>
      <c r="T168" s="4">
        <v>0</v>
      </c>
      <c r="U168" s="4">
        <v>0</v>
      </c>
      <c r="V168" s="4">
        <v>0</v>
      </c>
      <c r="W168" s="4">
        <v>0</v>
      </c>
      <c r="X168" s="44">
        <v>0</v>
      </c>
      <c r="Y168" s="44">
        <v>0</v>
      </c>
      <c r="Z168" s="50">
        <f t="shared" si="13"/>
        <v>0.33649275577341176</v>
      </c>
      <c r="AA168" s="4">
        <f t="shared" si="14"/>
        <v>0</v>
      </c>
      <c r="AB168" s="4">
        <f t="shared" si="15"/>
        <v>0</v>
      </c>
      <c r="AC168" s="4">
        <f t="shared" si="16"/>
        <v>0</v>
      </c>
      <c r="AD168" s="4">
        <f t="shared" si="17"/>
        <v>0</v>
      </c>
    </row>
    <row r="169" spans="1:30" x14ac:dyDescent="0.25">
      <c r="A169" s="40">
        <v>42770</v>
      </c>
      <c r="B169" s="39">
        <v>0.39583333333333331</v>
      </c>
      <c r="C169" s="40">
        <v>42771</v>
      </c>
      <c r="D169" s="55">
        <v>0.38541666666666669</v>
      </c>
      <c r="E169" s="41">
        <v>23.75</v>
      </c>
      <c r="F169" s="42">
        <v>2.8</v>
      </c>
      <c r="G169" s="42">
        <v>3</v>
      </c>
      <c r="H169" s="4">
        <v>3777</v>
      </c>
      <c r="I169" s="4">
        <v>3998</v>
      </c>
      <c r="J169" s="41">
        <f t="shared" si="12"/>
        <v>44.693253968253977</v>
      </c>
      <c r="K169" s="4">
        <v>26700</v>
      </c>
      <c r="L169" s="4">
        <v>45</v>
      </c>
      <c r="M169" s="43">
        <v>132.5</v>
      </c>
      <c r="N169" s="4">
        <v>34</v>
      </c>
      <c r="O169" s="4">
        <v>46</v>
      </c>
      <c r="P169" s="4">
        <f>11+29</f>
        <v>40</v>
      </c>
      <c r="Q169" s="4">
        <v>0</v>
      </c>
      <c r="R169" s="4">
        <v>0</v>
      </c>
      <c r="S169" s="4">
        <v>0</v>
      </c>
      <c r="T169" s="4">
        <v>0</v>
      </c>
      <c r="U169" s="4">
        <v>0</v>
      </c>
      <c r="V169" s="4">
        <v>0</v>
      </c>
      <c r="W169" s="4">
        <v>0</v>
      </c>
      <c r="X169" s="44">
        <v>0</v>
      </c>
      <c r="Y169" s="44">
        <v>0</v>
      </c>
      <c r="Z169" s="50">
        <f t="shared" si="13"/>
        <v>0.89498965612153369</v>
      </c>
      <c r="AA169" s="4">
        <f t="shared" si="14"/>
        <v>0</v>
      </c>
      <c r="AB169" s="4">
        <f t="shared" si="15"/>
        <v>0</v>
      </c>
      <c r="AC169" s="4">
        <f t="shared" si="16"/>
        <v>0</v>
      </c>
      <c r="AD169" s="4">
        <f t="shared" si="17"/>
        <v>0</v>
      </c>
    </row>
    <row r="170" spans="1:30" x14ac:dyDescent="0.25">
      <c r="A170" s="40">
        <v>42771</v>
      </c>
      <c r="B170" s="55">
        <v>0.38541666666666669</v>
      </c>
      <c r="C170" s="40">
        <v>42772</v>
      </c>
      <c r="D170" s="39">
        <v>0.41666666666666669</v>
      </c>
      <c r="E170" s="41">
        <v>24.75</v>
      </c>
      <c r="F170" s="42">
        <v>2.7</v>
      </c>
      <c r="G170" s="42">
        <v>2.8</v>
      </c>
      <c r="H170" s="4">
        <v>4071</v>
      </c>
      <c r="I170" s="4">
        <v>4291</v>
      </c>
      <c r="J170" s="41">
        <f t="shared" si="12"/>
        <v>50.671296296296291</v>
      </c>
      <c r="K170" s="4">
        <v>26700</v>
      </c>
      <c r="L170" s="4">
        <v>50</v>
      </c>
      <c r="M170" s="43">
        <v>80.8</v>
      </c>
      <c r="N170" s="4">
        <v>31</v>
      </c>
      <c r="O170" s="4">
        <v>46</v>
      </c>
      <c r="P170" s="4">
        <f>14+48</f>
        <v>62</v>
      </c>
      <c r="Q170" s="4">
        <v>0</v>
      </c>
      <c r="R170" s="4">
        <v>0</v>
      </c>
      <c r="S170" s="4">
        <v>0</v>
      </c>
      <c r="T170" s="4">
        <v>0</v>
      </c>
      <c r="U170" s="4">
        <v>0</v>
      </c>
      <c r="V170" s="4">
        <v>0</v>
      </c>
      <c r="W170" s="4">
        <v>0</v>
      </c>
      <c r="X170" s="44">
        <v>0</v>
      </c>
      <c r="Y170" s="44">
        <v>0</v>
      </c>
      <c r="Z170" s="50">
        <f t="shared" si="13"/>
        <v>1.2235724074920056</v>
      </c>
      <c r="AA170" s="4">
        <f t="shared" si="14"/>
        <v>0</v>
      </c>
      <c r="AB170" s="4">
        <f t="shared" si="15"/>
        <v>0</v>
      </c>
      <c r="AC170" s="4">
        <f t="shared" si="16"/>
        <v>0</v>
      </c>
      <c r="AD170" s="4">
        <f t="shared" si="17"/>
        <v>0</v>
      </c>
    </row>
    <row r="171" spans="1:30" x14ac:dyDescent="0.25">
      <c r="A171" s="40">
        <v>42772</v>
      </c>
      <c r="B171" s="39">
        <v>0.41666666666666669</v>
      </c>
      <c r="C171" s="40">
        <v>42773</v>
      </c>
      <c r="D171" s="39">
        <v>0.4375</v>
      </c>
      <c r="E171" s="41">
        <v>24.5</v>
      </c>
      <c r="F171" s="42">
        <v>2.7</v>
      </c>
      <c r="G171" s="42">
        <v>3</v>
      </c>
      <c r="H171" s="4">
        <v>3945</v>
      </c>
      <c r="I171" s="4">
        <v>4117</v>
      </c>
      <c r="J171" s="41">
        <f t="shared" si="12"/>
        <v>47.224074074074075</v>
      </c>
      <c r="K171" s="4">
        <v>26800</v>
      </c>
      <c r="L171" s="4">
        <v>50</v>
      </c>
      <c r="N171" s="4">
        <v>32</v>
      </c>
      <c r="O171" s="4">
        <v>43</v>
      </c>
      <c r="P171" s="4">
        <f>33+59</f>
        <v>92</v>
      </c>
      <c r="Q171" s="4">
        <v>0</v>
      </c>
      <c r="R171" s="4">
        <v>0</v>
      </c>
      <c r="S171" s="4">
        <v>0</v>
      </c>
      <c r="T171" s="4">
        <v>0</v>
      </c>
      <c r="U171" s="4">
        <v>0</v>
      </c>
      <c r="V171" s="4">
        <v>0</v>
      </c>
      <c r="W171" s="4">
        <v>0</v>
      </c>
      <c r="X171" s="44">
        <v>0</v>
      </c>
      <c r="Y171" s="44">
        <v>0</v>
      </c>
      <c r="Z171" s="50">
        <f t="shared" si="13"/>
        <v>1.9481588957295792</v>
      </c>
      <c r="AA171" s="4">
        <f t="shared" si="14"/>
        <v>0</v>
      </c>
      <c r="AB171" s="4">
        <f t="shared" si="15"/>
        <v>0</v>
      </c>
      <c r="AC171" s="4">
        <f t="shared" si="16"/>
        <v>0</v>
      </c>
      <c r="AD171" s="4">
        <f t="shared" si="17"/>
        <v>0</v>
      </c>
    </row>
    <row r="172" spans="1:30" x14ac:dyDescent="0.25">
      <c r="A172" s="40">
        <v>42773</v>
      </c>
      <c r="B172" s="39">
        <v>0.4375</v>
      </c>
      <c r="C172" s="40">
        <v>42774</v>
      </c>
      <c r="D172" s="39">
        <v>0.4375</v>
      </c>
      <c r="E172" s="41">
        <v>24</v>
      </c>
      <c r="F172" s="42">
        <v>2.5</v>
      </c>
      <c r="G172" s="42">
        <v>2.8</v>
      </c>
      <c r="H172" s="4">
        <v>3613</v>
      </c>
      <c r="I172" s="4">
        <v>3911</v>
      </c>
      <c r="J172" s="41">
        <f t="shared" si="12"/>
        <v>47.366428571428578</v>
      </c>
      <c r="K172" s="4">
        <v>27500</v>
      </c>
      <c r="L172" s="4">
        <v>52</v>
      </c>
      <c r="M172" s="43">
        <v>111.2</v>
      </c>
      <c r="N172" s="4">
        <v>32</v>
      </c>
      <c r="O172" s="4">
        <v>43</v>
      </c>
      <c r="P172" s="4">
        <f>13+32</f>
        <v>45</v>
      </c>
      <c r="Q172" s="4">
        <v>0</v>
      </c>
      <c r="R172" s="4">
        <v>0</v>
      </c>
      <c r="S172" s="4">
        <v>0</v>
      </c>
      <c r="T172" s="4">
        <v>0</v>
      </c>
      <c r="U172" s="4">
        <v>0</v>
      </c>
      <c r="V172" s="4">
        <v>0</v>
      </c>
      <c r="W172" s="4">
        <v>0</v>
      </c>
      <c r="X172" s="44">
        <v>0</v>
      </c>
      <c r="Y172" s="44">
        <v>2</v>
      </c>
      <c r="Z172" s="50">
        <f t="shared" si="13"/>
        <v>0.95003996199840135</v>
      </c>
      <c r="AA172" s="4">
        <f t="shared" si="14"/>
        <v>0</v>
      </c>
      <c r="AB172" s="4">
        <f t="shared" si="15"/>
        <v>0</v>
      </c>
      <c r="AC172" s="4">
        <f t="shared" si="16"/>
        <v>0</v>
      </c>
      <c r="AD172" s="4">
        <f t="shared" si="17"/>
        <v>0</v>
      </c>
    </row>
    <row r="173" spans="1:30" x14ac:dyDescent="0.25">
      <c r="A173" s="40">
        <v>42774</v>
      </c>
      <c r="B173" s="39">
        <v>0.4375</v>
      </c>
      <c r="C173" s="40">
        <v>42775</v>
      </c>
      <c r="D173" s="39">
        <v>0.42708333333333331</v>
      </c>
      <c r="E173" s="41">
        <v>23.75</v>
      </c>
      <c r="F173" s="42">
        <v>2.7</v>
      </c>
      <c r="G173" s="42">
        <v>2.9</v>
      </c>
      <c r="H173" s="4">
        <v>3660</v>
      </c>
      <c r="I173" s="4">
        <v>3947</v>
      </c>
      <c r="J173" s="41">
        <f t="shared" si="12"/>
        <v>45.276500638569601</v>
      </c>
      <c r="K173" s="4">
        <v>28200</v>
      </c>
      <c r="L173" s="4">
        <v>53</v>
      </c>
      <c r="M173" s="43">
        <v>399.5</v>
      </c>
      <c r="N173" s="4">
        <v>34</v>
      </c>
      <c r="O173" s="4">
        <v>90</v>
      </c>
      <c r="P173" s="4">
        <f>36+84</f>
        <v>120</v>
      </c>
      <c r="Q173" s="4">
        <v>0</v>
      </c>
      <c r="R173" s="4">
        <v>1</v>
      </c>
      <c r="S173" s="4">
        <v>0</v>
      </c>
      <c r="T173" s="4">
        <v>0</v>
      </c>
      <c r="U173" s="4">
        <v>0</v>
      </c>
      <c r="V173" s="4">
        <v>2</v>
      </c>
      <c r="W173" s="4">
        <v>0</v>
      </c>
      <c r="X173" s="44">
        <v>0</v>
      </c>
      <c r="Y173" s="44">
        <v>0</v>
      </c>
      <c r="Z173" s="50">
        <f t="shared" si="13"/>
        <v>2.6503815071294587</v>
      </c>
      <c r="AA173" s="4">
        <f t="shared" si="14"/>
        <v>0</v>
      </c>
      <c r="AB173" s="4">
        <f t="shared" si="15"/>
        <v>2.2086512559412155E-2</v>
      </c>
      <c r="AC173" s="4">
        <f t="shared" si="16"/>
        <v>0</v>
      </c>
      <c r="AD173" s="4">
        <f t="shared" si="17"/>
        <v>0</v>
      </c>
    </row>
    <row r="174" spans="1:30" x14ac:dyDescent="0.25">
      <c r="A174" s="40">
        <v>42775</v>
      </c>
      <c r="B174" s="39">
        <v>0.42708333333333331</v>
      </c>
      <c r="C174" s="40">
        <v>42776</v>
      </c>
      <c r="D174" s="39">
        <v>0.40625</v>
      </c>
      <c r="E174" s="41">
        <v>23.5</v>
      </c>
      <c r="F174" s="42">
        <v>2.9</v>
      </c>
      <c r="G174" s="42">
        <v>3.1</v>
      </c>
      <c r="H174" s="4">
        <v>3632</v>
      </c>
      <c r="I174" s="4">
        <v>3877</v>
      </c>
      <c r="J174" s="41">
        <f t="shared" si="12"/>
        <v>41.717649239896183</v>
      </c>
      <c r="K174" s="4">
        <v>28400</v>
      </c>
      <c r="L174" s="4">
        <v>52</v>
      </c>
      <c r="M174" s="43">
        <v>311</v>
      </c>
      <c r="N174" s="4">
        <v>37</v>
      </c>
      <c r="O174" s="4">
        <v>54</v>
      </c>
      <c r="P174" s="4">
        <f>24+33</f>
        <v>57</v>
      </c>
      <c r="Q174" s="4">
        <v>1</v>
      </c>
      <c r="R174" s="4">
        <v>0</v>
      </c>
      <c r="S174" s="4">
        <v>0</v>
      </c>
      <c r="T174" s="4">
        <v>0</v>
      </c>
      <c r="U174" s="4">
        <v>0</v>
      </c>
      <c r="V174" s="4">
        <v>0</v>
      </c>
      <c r="W174" s="4">
        <v>0</v>
      </c>
      <c r="X174" s="44">
        <v>1</v>
      </c>
      <c r="Y174" s="44">
        <v>2</v>
      </c>
      <c r="Z174" s="50">
        <f t="shared" si="13"/>
        <v>1.3663281857571381</v>
      </c>
      <c r="AA174" s="4">
        <f t="shared" si="14"/>
        <v>2.3970669925563827E-2</v>
      </c>
      <c r="AB174" s="4">
        <f t="shared" si="15"/>
        <v>0</v>
      </c>
      <c r="AC174" s="4">
        <f t="shared" si="16"/>
        <v>0</v>
      </c>
      <c r="AD174" s="4">
        <f t="shared" si="17"/>
        <v>2.3970669925563827E-2</v>
      </c>
    </row>
    <row r="175" spans="1:30" x14ac:dyDescent="0.25">
      <c r="A175" s="40">
        <v>42776</v>
      </c>
      <c r="B175" s="39">
        <v>0.40625</v>
      </c>
      <c r="C175" s="40">
        <v>42777</v>
      </c>
      <c r="D175" s="39">
        <v>0.46875</v>
      </c>
      <c r="E175" s="41">
        <v>25.5</v>
      </c>
      <c r="F175" s="42">
        <v>2.2999999999999998</v>
      </c>
      <c r="G175" s="42">
        <v>2.8</v>
      </c>
      <c r="H175" s="4">
        <v>2057</v>
      </c>
      <c r="I175" s="4">
        <v>3734</v>
      </c>
      <c r="J175" s="41">
        <f t="shared" si="12"/>
        <v>37.131987577639755</v>
      </c>
      <c r="K175" s="4">
        <v>28700</v>
      </c>
      <c r="L175" s="4">
        <v>52</v>
      </c>
      <c r="M175" s="43">
        <v>262.5</v>
      </c>
      <c r="N175" s="4">
        <v>31</v>
      </c>
      <c r="O175" s="4">
        <v>54</v>
      </c>
      <c r="P175" s="4">
        <f>29+80</f>
        <v>109</v>
      </c>
      <c r="Q175" s="4">
        <v>2</v>
      </c>
      <c r="R175" s="4">
        <v>0</v>
      </c>
      <c r="S175" s="4">
        <v>0</v>
      </c>
      <c r="T175" s="4">
        <v>0</v>
      </c>
      <c r="U175" s="4">
        <v>0</v>
      </c>
      <c r="V175" s="4">
        <v>1</v>
      </c>
      <c r="W175" s="4">
        <v>0</v>
      </c>
      <c r="X175" s="44">
        <v>0</v>
      </c>
      <c r="Y175" s="44">
        <v>0</v>
      </c>
      <c r="Z175" s="50">
        <f t="shared" si="13"/>
        <v>2.9354744281353238</v>
      </c>
      <c r="AA175" s="4">
        <f t="shared" si="14"/>
        <v>5.3861916112574744E-2</v>
      </c>
      <c r="AB175" s="4">
        <f t="shared" si="15"/>
        <v>0</v>
      </c>
      <c r="AC175" s="4">
        <f t="shared" si="16"/>
        <v>0</v>
      </c>
      <c r="AD175" s="4">
        <f t="shared" si="17"/>
        <v>0</v>
      </c>
    </row>
    <row r="176" spans="1:30" x14ac:dyDescent="0.25">
      <c r="A176" s="40">
        <v>42777</v>
      </c>
      <c r="B176" s="39">
        <v>0.46875</v>
      </c>
      <c r="C176" s="40">
        <v>42778</v>
      </c>
      <c r="D176" s="39">
        <v>0.38541666666666669</v>
      </c>
      <c r="E176" s="41">
        <v>21.75</v>
      </c>
      <c r="F176" s="42">
        <v>2.4</v>
      </c>
      <c r="G176" s="42">
        <v>2.7</v>
      </c>
      <c r="H176" s="4">
        <v>3506</v>
      </c>
      <c r="I176" s="4">
        <v>3920</v>
      </c>
      <c r="J176" s="41">
        <f t="shared" si="12"/>
        <v>48.544753086419753</v>
      </c>
      <c r="K176" s="4">
        <v>28700</v>
      </c>
      <c r="L176" s="4">
        <v>52</v>
      </c>
      <c r="M176" s="43">
        <v>327.5</v>
      </c>
      <c r="N176" s="4">
        <v>34</v>
      </c>
      <c r="O176" s="4">
        <v>60</v>
      </c>
      <c r="P176" s="4">
        <f>32+46</f>
        <v>78</v>
      </c>
      <c r="Q176" s="4">
        <f>1+3</f>
        <v>4</v>
      </c>
      <c r="R176" s="4">
        <v>0</v>
      </c>
      <c r="S176" s="4">
        <v>0</v>
      </c>
      <c r="T176" s="4">
        <v>0</v>
      </c>
      <c r="U176" s="4">
        <v>0</v>
      </c>
      <c r="V176" s="4">
        <v>1</v>
      </c>
      <c r="W176" s="4">
        <v>0</v>
      </c>
      <c r="X176" s="44">
        <v>1</v>
      </c>
      <c r="Y176" s="44">
        <v>1</v>
      </c>
      <c r="Z176" s="50">
        <f>P176/J176</f>
        <v>1.6067647900308357</v>
      </c>
      <c r="AA176" s="4">
        <f>Q176/J176</f>
        <v>8.2398194360555677E-2</v>
      </c>
      <c r="AB176" s="4">
        <f t="shared" si="15"/>
        <v>0</v>
      </c>
      <c r="AC176" s="4">
        <f t="shared" si="16"/>
        <v>0</v>
      </c>
      <c r="AD176" s="4">
        <f t="shared" si="17"/>
        <v>2.0599548590138919E-2</v>
      </c>
    </row>
    <row r="177" spans="1:30" x14ac:dyDescent="0.25">
      <c r="A177" s="40">
        <v>42778</v>
      </c>
      <c r="B177" s="39">
        <v>0.38541666666666669</v>
      </c>
      <c r="C177" s="40">
        <v>42779</v>
      </c>
      <c r="D177" s="39">
        <v>0.42708333333333331</v>
      </c>
      <c r="E177" s="41">
        <v>25</v>
      </c>
      <c r="F177" s="42">
        <v>2.5</v>
      </c>
      <c r="G177" s="42">
        <v>2.6</v>
      </c>
      <c r="H177" s="4">
        <v>3912</v>
      </c>
      <c r="I177" s="4">
        <v>4157</v>
      </c>
      <c r="J177" s="41">
        <f t="shared" si="12"/>
        <v>52.727435897435889</v>
      </c>
      <c r="K177" s="4">
        <v>28600</v>
      </c>
      <c r="L177" s="4">
        <v>51</v>
      </c>
      <c r="M177" s="43">
        <v>239</v>
      </c>
      <c r="N177" s="4">
        <v>34</v>
      </c>
      <c r="O177" s="4">
        <v>53</v>
      </c>
      <c r="P177" s="4">
        <f>26+49</f>
        <v>75</v>
      </c>
      <c r="Q177" s="4">
        <v>2</v>
      </c>
      <c r="R177" s="4">
        <v>0</v>
      </c>
      <c r="S177" s="4">
        <v>0</v>
      </c>
      <c r="T177" s="4">
        <v>0</v>
      </c>
      <c r="U177" s="4">
        <v>0</v>
      </c>
      <c r="V177" s="4">
        <v>2</v>
      </c>
      <c r="W177" s="4">
        <v>0</v>
      </c>
      <c r="X177" s="44">
        <v>0</v>
      </c>
      <c r="Y177" s="44">
        <v>0</v>
      </c>
      <c r="Z177" s="50">
        <f t="shared" ref="Z177:Z190" si="18">P177/J177</f>
        <v>1.4224093913060396</v>
      </c>
      <c r="AA177" s="4">
        <f t="shared" ref="AA177:AA190" si="19">Q177/J177</f>
        <v>3.7930917101494384E-2</v>
      </c>
      <c r="AB177" s="4">
        <f t="shared" si="15"/>
        <v>0</v>
      </c>
      <c r="AC177" s="4">
        <f t="shared" si="16"/>
        <v>0</v>
      </c>
      <c r="AD177" s="4">
        <f t="shared" si="17"/>
        <v>0</v>
      </c>
    </row>
    <row r="178" spans="1:30" x14ac:dyDescent="0.25">
      <c r="A178" s="40">
        <v>42779</v>
      </c>
      <c r="B178" s="39">
        <v>0.42708333333333331</v>
      </c>
      <c r="C178" s="40">
        <v>42780</v>
      </c>
      <c r="D178" s="39">
        <v>0.42708333333333331</v>
      </c>
      <c r="E178" s="41">
        <v>24</v>
      </c>
      <c r="F178" s="42">
        <v>2.6</v>
      </c>
      <c r="G178" s="42">
        <v>2.5</v>
      </c>
      <c r="H178" s="4">
        <v>3711</v>
      </c>
      <c r="I178" s="4">
        <v>2900</v>
      </c>
      <c r="J178" s="41">
        <f t="shared" si="12"/>
        <v>43.121794871794876</v>
      </c>
      <c r="K178" s="4">
        <v>28500</v>
      </c>
      <c r="L178" s="4">
        <v>50</v>
      </c>
      <c r="M178" s="43">
        <v>181</v>
      </c>
      <c r="N178" s="4">
        <v>29</v>
      </c>
      <c r="O178" s="4">
        <v>53</v>
      </c>
      <c r="P178" s="4">
        <f>12+18</f>
        <v>30</v>
      </c>
      <c r="Q178" s="4">
        <v>0</v>
      </c>
      <c r="R178" s="4">
        <v>0</v>
      </c>
      <c r="S178" s="4">
        <v>0</v>
      </c>
      <c r="T178" s="4">
        <v>0</v>
      </c>
      <c r="U178" s="4">
        <v>0</v>
      </c>
      <c r="V178" s="4">
        <v>0</v>
      </c>
      <c r="W178" s="4">
        <v>0</v>
      </c>
      <c r="X178" s="44">
        <v>0</v>
      </c>
      <c r="Y178" s="44">
        <v>1</v>
      </c>
      <c r="Z178" s="50">
        <f t="shared" si="18"/>
        <v>0.69570387988702242</v>
      </c>
      <c r="AA178" s="4">
        <f t="shared" si="19"/>
        <v>0</v>
      </c>
      <c r="AB178" s="4">
        <f t="shared" si="15"/>
        <v>0</v>
      </c>
      <c r="AC178" s="4">
        <f t="shared" si="16"/>
        <v>0</v>
      </c>
      <c r="AD178" s="4">
        <f t="shared" si="17"/>
        <v>0</v>
      </c>
    </row>
    <row r="179" spans="1:30" x14ac:dyDescent="0.25">
      <c r="A179" s="40">
        <v>42780</v>
      </c>
      <c r="B179" s="39">
        <v>0.42708333333333331</v>
      </c>
      <c r="C179" s="40">
        <v>42781</v>
      </c>
      <c r="D179" s="39">
        <v>0.40625</v>
      </c>
      <c r="E179" s="41">
        <v>23.5</v>
      </c>
      <c r="F179" s="42">
        <v>2.7</v>
      </c>
      <c r="G179" s="42">
        <v>2.6</v>
      </c>
      <c r="H179" s="4">
        <v>3653</v>
      </c>
      <c r="I179" s="4">
        <v>3813</v>
      </c>
      <c r="J179" s="41">
        <f t="shared" si="12"/>
        <v>46.991690408357073</v>
      </c>
      <c r="K179" s="4">
        <v>28500</v>
      </c>
      <c r="L179" s="4">
        <v>50</v>
      </c>
      <c r="M179" s="43">
        <v>131.69999999999999</v>
      </c>
      <c r="N179" s="4">
        <v>34</v>
      </c>
      <c r="O179" s="4">
        <v>71</v>
      </c>
      <c r="P179" s="4">
        <f>4+18</f>
        <v>22</v>
      </c>
      <c r="Q179" s="4">
        <v>1</v>
      </c>
      <c r="R179" s="4">
        <v>0</v>
      </c>
      <c r="S179" s="4">
        <v>0</v>
      </c>
      <c r="T179" s="4">
        <v>0</v>
      </c>
      <c r="U179" s="4">
        <v>0</v>
      </c>
      <c r="V179" s="4">
        <v>0</v>
      </c>
      <c r="W179" s="4">
        <v>0</v>
      </c>
      <c r="X179" s="44">
        <v>0</v>
      </c>
      <c r="Y179" s="44">
        <v>1</v>
      </c>
      <c r="Z179" s="50">
        <f t="shared" si="18"/>
        <v>0.46816787838063145</v>
      </c>
      <c r="AA179" s="4">
        <f t="shared" si="19"/>
        <v>2.128035810821052E-2</v>
      </c>
      <c r="AB179" s="4">
        <f t="shared" si="15"/>
        <v>0</v>
      </c>
      <c r="AC179" s="4">
        <f t="shared" si="16"/>
        <v>0</v>
      </c>
      <c r="AD179" s="4">
        <f t="shared" si="17"/>
        <v>0</v>
      </c>
    </row>
    <row r="180" spans="1:30" x14ac:dyDescent="0.25">
      <c r="A180" s="40">
        <v>42781</v>
      </c>
      <c r="B180" s="39">
        <v>0.40625</v>
      </c>
      <c r="C180" s="40">
        <v>42782</v>
      </c>
      <c r="D180" s="39">
        <v>0.44791666666666669</v>
      </c>
      <c r="E180" s="41">
        <v>25</v>
      </c>
      <c r="F180" s="42">
        <v>2.6</v>
      </c>
      <c r="G180" s="42">
        <v>3.1</v>
      </c>
      <c r="H180" s="4">
        <v>3761</v>
      </c>
      <c r="I180" s="4">
        <v>4000</v>
      </c>
      <c r="J180" s="41">
        <f t="shared" si="12"/>
        <v>45.614350703060381</v>
      </c>
      <c r="K180" s="4">
        <v>26900</v>
      </c>
      <c r="L180" s="4">
        <v>50</v>
      </c>
      <c r="M180" s="43">
        <v>128.5</v>
      </c>
      <c r="N180" s="4">
        <v>34</v>
      </c>
      <c r="O180" s="4">
        <v>46</v>
      </c>
      <c r="P180" s="4">
        <f>1+11</f>
        <v>12</v>
      </c>
      <c r="Q180" s="4">
        <v>0</v>
      </c>
      <c r="R180" s="4">
        <v>0</v>
      </c>
      <c r="S180" s="4">
        <v>0</v>
      </c>
      <c r="T180" s="4">
        <v>0</v>
      </c>
      <c r="U180" s="4">
        <v>1</v>
      </c>
      <c r="V180" s="4">
        <v>0</v>
      </c>
      <c r="W180" s="4">
        <v>0</v>
      </c>
      <c r="X180" s="44">
        <v>0</v>
      </c>
      <c r="Y180" s="44">
        <v>0</v>
      </c>
      <c r="Z180" s="50">
        <f t="shared" si="18"/>
        <v>0.26307510279204499</v>
      </c>
      <c r="AA180" s="4">
        <f t="shared" si="19"/>
        <v>0</v>
      </c>
      <c r="AB180" s="4">
        <f t="shared" si="15"/>
        <v>0</v>
      </c>
      <c r="AC180" s="4">
        <f t="shared" si="16"/>
        <v>0</v>
      </c>
      <c r="AD180" s="4">
        <f t="shared" si="17"/>
        <v>0</v>
      </c>
    </row>
    <row r="181" spans="1:30" x14ac:dyDescent="0.25">
      <c r="A181" s="40">
        <v>42782</v>
      </c>
      <c r="B181" s="39">
        <v>0.44791666666666669</v>
      </c>
      <c r="C181" s="40">
        <v>42783</v>
      </c>
      <c r="D181" s="39">
        <v>0.39583333333333331</v>
      </c>
      <c r="E181" s="41">
        <v>22.75</v>
      </c>
      <c r="F181" s="42">
        <v>2.6</v>
      </c>
      <c r="G181" s="42">
        <v>2.8</v>
      </c>
      <c r="H181" s="4">
        <v>3413</v>
      </c>
      <c r="I181" s="4">
        <v>3613</v>
      </c>
      <c r="J181" s="41">
        <f t="shared" si="12"/>
        <v>43.384157509157511</v>
      </c>
      <c r="K181" s="4">
        <v>26900</v>
      </c>
      <c r="L181" s="4">
        <v>50</v>
      </c>
      <c r="M181" s="43">
        <v>145</v>
      </c>
      <c r="N181" s="4">
        <v>31</v>
      </c>
      <c r="O181" s="4">
        <v>51</v>
      </c>
      <c r="P181" s="4">
        <f>4+7</f>
        <v>11</v>
      </c>
      <c r="Q181" s="4">
        <v>0</v>
      </c>
      <c r="R181" s="4">
        <v>0</v>
      </c>
      <c r="S181" s="4">
        <v>0</v>
      </c>
      <c r="T181" s="4">
        <v>0</v>
      </c>
      <c r="U181" s="4">
        <v>0</v>
      </c>
      <c r="V181" s="4">
        <v>0</v>
      </c>
      <c r="W181" s="4">
        <v>0</v>
      </c>
      <c r="X181" s="44">
        <v>0</v>
      </c>
      <c r="Y181" s="44">
        <v>0</v>
      </c>
      <c r="Z181" s="50">
        <f t="shared" si="18"/>
        <v>0.2535487752108157</v>
      </c>
      <c r="AA181" s="4">
        <f t="shared" si="19"/>
        <v>0</v>
      </c>
      <c r="AB181" s="4">
        <f t="shared" si="15"/>
        <v>0</v>
      </c>
      <c r="AC181" s="4">
        <f t="shared" si="16"/>
        <v>0</v>
      </c>
      <c r="AD181" s="4">
        <f t="shared" si="17"/>
        <v>0</v>
      </c>
    </row>
    <row r="182" spans="1:30" x14ac:dyDescent="0.25">
      <c r="A182" s="40">
        <v>42783</v>
      </c>
      <c r="B182" s="39">
        <v>0.39583333333333331</v>
      </c>
      <c r="C182" s="40">
        <v>42784</v>
      </c>
      <c r="D182" s="39">
        <v>0.39583333333333331</v>
      </c>
      <c r="E182" s="41">
        <v>24</v>
      </c>
      <c r="F182" s="42">
        <v>2.5</v>
      </c>
      <c r="G182" s="42">
        <v>2.7</v>
      </c>
      <c r="H182" s="4">
        <v>3629</v>
      </c>
      <c r="I182" s="4">
        <v>811</v>
      </c>
      <c r="J182" s="41">
        <f t="shared" si="12"/>
        <v>29.199506172839506</v>
      </c>
      <c r="K182" s="4">
        <v>26800</v>
      </c>
      <c r="L182" s="4">
        <v>50</v>
      </c>
      <c r="M182" s="43">
        <v>145.5</v>
      </c>
      <c r="N182" s="4">
        <v>35</v>
      </c>
      <c r="O182" s="4">
        <v>65</v>
      </c>
      <c r="P182" s="4">
        <f>5+6</f>
        <v>11</v>
      </c>
      <c r="Q182" s="4">
        <v>1</v>
      </c>
      <c r="R182" s="4">
        <v>0</v>
      </c>
      <c r="S182" s="4">
        <v>0</v>
      </c>
      <c r="T182" s="4">
        <v>0</v>
      </c>
      <c r="U182" s="4">
        <v>0</v>
      </c>
      <c r="V182" s="4">
        <v>0</v>
      </c>
      <c r="W182" s="4">
        <v>0</v>
      </c>
      <c r="X182" s="44">
        <v>0</v>
      </c>
      <c r="Y182" s="44">
        <v>0</v>
      </c>
      <c r="Z182" s="50">
        <f t="shared" si="18"/>
        <v>0.37671869979198025</v>
      </c>
      <c r="AA182" s="4">
        <f t="shared" si="19"/>
        <v>3.4247154526543658E-2</v>
      </c>
      <c r="AB182" s="4">
        <f t="shared" si="15"/>
        <v>0</v>
      </c>
      <c r="AC182" s="4">
        <f t="shared" si="16"/>
        <v>0</v>
      </c>
      <c r="AD182" s="4">
        <f t="shared" si="17"/>
        <v>0</v>
      </c>
    </row>
    <row r="183" spans="1:30" x14ac:dyDescent="0.25">
      <c r="A183" s="40">
        <v>42784</v>
      </c>
      <c r="B183" s="39">
        <v>0.39583333333333331</v>
      </c>
      <c r="C183" s="40">
        <v>42785</v>
      </c>
      <c r="D183" s="39">
        <v>0.38541666666666669</v>
      </c>
      <c r="E183" s="41">
        <v>23.75</v>
      </c>
      <c r="F183" s="42">
        <v>2.4</v>
      </c>
      <c r="G183" s="42">
        <v>2.2999999999999998</v>
      </c>
      <c r="H183" s="4">
        <v>3699</v>
      </c>
      <c r="I183" s="4">
        <v>3957</v>
      </c>
      <c r="J183" s="41">
        <f t="shared" si="12"/>
        <v>54.361413043478265</v>
      </c>
      <c r="K183" s="4">
        <v>26800</v>
      </c>
      <c r="L183" s="4">
        <v>50</v>
      </c>
      <c r="M183" s="43">
        <v>121.2</v>
      </c>
      <c r="N183" s="4">
        <v>35</v>
      </c>
      <c r="O183" s="4">
        <v>42</v>
      </c>
      <c r="P183" s="4">
        <f>4+3</f>
        <v>7</v>
      </c>
      <c r="Q183" s="4">
        <v>0</v>
      </c>
      <c r="R183" s="4">
        <v>0</v>
      </c>
      <c r="S183" s="4">
        <v>0</v>
      </c>
      <c r="T183" s="4">
        <v>0</v>
      </c>
      <c r="U183" s="4">
        <v>0</v>
      </c>
      <c r="V183" s="4">
        <v>0</v>
      </c>
      <c r="W183" s="4">
        <v>0</v>
      </c>
      <c r="X183" s="44">
        <v>0</v>
      </c>
      <c r="Y183" s="44">
        <v>0</v>
      </c>
      <c r="Z183" s="50">
        <f t="shared" si="18"/>
        <v>0.12876780804798799</v>
      </c>
      <c r="AA183" s="4">
        <f t="shared" si="19"/>
        <v>0</v>
      </c>
      <c r="AB183" s="4">
        <f t="shared" si="15"/>
        <v>0</v>
      </c>
      <c r="AC183" s="4">
        <f t="shared" si="16"/>
        <v>0</v>
      </c>
      <c r="AD183" s="4">
        <f t="shared" si="17"/>
        <v>0</v>
      </c>
    </row>
    <row r="184" spans="1:30" x14ac:dyDescent="0.25">
      <c r="A184" s="40">
        <v>42785</v>
      </c>
      <c r="B184" s="39">
        <v>0.38541666666666669</v>
      </c>
      <c r="C184" s="40">
        <v>42786</v>
      </c>
      <c r="D184" s="39">
        <v>0.38541666666666669</v>
      </c>
      <c r="E184" s="41">
        <v>24</v>
      </c>
      <c r="F184" s="42">
        <v>2.6</v>
      </c>
      <c r="G184" s="42">
        <v>2.9</v>
      </c>
      <c r="H184" s="4">
        <v>2864</v>
      </c>
      <c r="I184" s="4">
        <v>4232</v>
      </c>
      <c r="J184" s="41">
        <f t="shared" si="12"/>
        <v>42.680813439434132</v>
      </c>
      <c r="K184" s="4">
        <v>27100</v>
      </c>
      <c r="L184" s="4">
        <v>50</v>
      </c>
      <c r="M184" s="43">
        <v>240.5</v>
      </c>
      <c r="N184" s="4">
        <v>35</v>
      </c>
      <c r="O184" s="4">
        <v>45</v>
      </c>
      <c r="P184" s="4">
        <f>5+7</f>
        <v>12</v>
      </c>
      <c r="Q184" s="4">
        <v>0</v>
      </c>
      <c r="R184" s="4">
        <v>0</v>
      </c>
      <c r="S184" s="4">
        <v>0</v>
      </c>
      <c r="T184" s="4">
        <v>0</v>
      </c>
      <c r="U184" s="4">
        <v>0</v>
      </c>
      <c r="V184" s="4">
        <v>1</v>
      </c>
      <c r="W184" s="4">
        <v>0</v>
      </c>
      <c r="X184" s="44">
        <v>0</v>
      </c>
      <c r="Y184" s="44">
        <v>0</v>
      </c>
      <c r="Z184" s="50">
        <f t="shared" si="18"/>
        <v>0.28115677825654622</v>
      </c>
      <c r="AA184" s="4">
        <f t="shared" si="19"/>
        <v>0</v>
      </c>
      <c r="AB184" s="4">
        <f t="shared" si="15"/>
        <v>0</v>
      </c>
      <c r="AC184" s="4">
        <f t="shared" si="16"/>
        <v>0</v>
      </c>
      <c r="AD184" s="4">
        <f t="shared" si="17"/>
        <v>0</v>
      </c>
    </row>
    <row r="185" spans="1:30" x14ac:dyDescent="0.25">
      <c r="A185" s="40">
        <v>42786</v>
      </c>
      <c r="B185" s="39">
        <v>0.38541666666666669</v>
      </c>
      <c r="C185" s="40">
        <v>42787</v>
      </c>
      <c r="D185" s="39">
        <v>0.41666666666666669</v>
      </c>
      <c r="E185" s="41">
        <v>24.75</v>
      </c>
      <c r="F185" s="42">
        <v>2.6</v>
      </c>
      <c r="G185" s="42">
        <v>2.8</v>
      </c>
      <c r="H185" s="4">
        <v>3936</v>
      </c>
      <c r="I185" s="4">
        <v>4278</v>
      </c>
      <c r="J185" s="41">
        <f t="shared" si="12"/>
        <v>50.695054945054942</v>
      </c>
      <c r="K185" s="4">
        <v>27200</v>
      </c>
      <c r="L185" s="4">
        <v>50</v>
      </c>
      <c r="M185" s="43">
        <v>217</v>
      </c>
      <c r="N185" s="4">
        <v>34</v>
      </c>
      <c r="O185" s="4">
        <v>48</v>
      </c>
      <c r="P185" s="4">
        <f>6+5</f>
        <v>11</v>
      </c>
      <c r="Q185" s="4">
        <v>0</v>
      </c>
      <c r="R185" s="4">
        <v>0</v>
      </c>
      <c r="S185" s="4">
        <v>0</v>
      </c>
      <c r="T185" s="4">
        <v>0</v>
      </c>
      <c r="U185" s="4">
        <v>0</v>
      </c>
      <c r="V185" s="4">
        <v>0</v>
      </c>
      <c r="W185" s="4">
        <v>0</v>
      </c>
      <c r="X185" s="44">
        <v>0</v>
      </c>
      <c r="Y185" s="44">
        <v>0</v>
      </c>
      <c r="Z185" s="50">
        <f t="shared" si="18"/>
        <v>0.21698368828916709</v>
      </c>
      <c r="AA185" s="4">
        <f t="shared" si="19"/>
        <v>0</v>
      </c>
      <c r="AB185" s="4">
        <f t="shared" si="15"/>
        <v>0</v>
      </c>
      <c r="AC185" s="4">
        <f t="shared" si="16"/>
        <v>0</v>
      </c>
      <c r="AD185" s="4">
        <f t="shared" si="17"/>
        <v>0</v>
      </c>
    </row>
    <row r="186" spans="1:30" x14ac:dyDescent="0.25">
      <c r="A186" s="40">
        <v>42787</v>
      </c>
      <c r="B186" s="39">
        <v>0.41666666666666669</v>
      </c>
      <c r="C186" s="40">
        <v>42788</v>
      </c>
      <c r="D186" s="39">
        <v>0.41666666666666669</v>
      </c>
      <c r="E186" s="41">
        <v>24</v>
      </c>
      <c r="F186" s="42">
        <v>2.6</v>
      </c>
      <c r="G186" s="42">
        <v>2.6</v>
      </c>
      <c r="H186" s="4">
        <v>3513</v>
      </c>
      <c r="I186" s="4">
        <v>3878</v>
      </c>
      <c r="J186" s="41">
        <f t="shared" si="12"/>
        <v>47.378205128205124</v>
      </c>
      <c r="K186" s="4">
        <v>26900</v>
      </c>
      <c r="L186" s="4">
        <v>50</v>
      </c>
      <c r="M186" s="43">
        <v>127.7</v>
      </c>
      <c r="N186" s="4">
        <v>37</v>
      </c>
      <c r="O186" s="4">
        <v>59</v>
      </c>
      <c r="P186" s="4">
        <f>3+10</f>
        <v>13</v>
      </c>
      <c r="Q186" s="4">
        <v>1</v>
      </c>
      <c r="R186" s="4">
        <v>0</v>
      </c>
      <c r="S186" s="4">
        <v>0</v>
      </c>
      <c r="T186" s="4">
        <v>0</v>
      </c>
      <c r="U186" s="4">
        <v>0</v>
      </c>
      <c r="V186" s="4">
        <v>0</v>
      </c>
      <c r="W186" s="4">
        <v>0</v>
      </c>
      <c r="X186" s="44">
        <v>0</v>
      </c>
      <c r="Y186" s="44">
        <v>0</v>
      </c>
      <c r="Z186" s="50">
        <f t="shared" si="18"/>
        <v>0.27438776890813155</v>
      </c>
      <c r="AA186" s="4">
        <f t="shared" si="19"/>
        <v>2.1106751454471658E-2</v>
      </c>
      <c r="AB186" s="4">
        <f t="shared" si="15"/>
        <v>0</v>
      </c>
      <c r="AC186" s="4">
        <f t="shared" si="16"/>
        <v>0</v>
      </c>
      <c r="AD186" s="4">
        <f t="shared" si="17"/>
        <v>0</v>
      </c>
    </row>
    <row r="187" spans="1:30" x14ac:dyDescent="0.25">
      <c r="A187" s="40">
        <v>42788</v>
      </c>
      <c r="B187" s="39">
        <v>0.41666666666666669</v>
      </c>
      <c r="C187" s="40">
        <v>42789</v>
      </c>
      <c r="D187" s="39">
        <v>0.42708333333333331</v>
      </c>
      <c r="E187" s="41">
        <v>24.25</v>
      </c>
      <c r="F187" s="42">
        <v>2.5</v>
      </c>
      <c r="G187" s="42">
        <v>2.6</v>
      </c>
      <c r="H187" s="4">
        <v>3763</v>
      </c>
      <c r="I187" s="4">
        <v>4052</v>
      </c>
      <c r="J187" s="41">
        <f t="shared" si="12"/>
        <v>51.061025641025637</v>
      </c>
      <c r="K187" s="4">
        <v>26700</v>
      </c>
      <c r="L187" s="4">
        <v>51</v>
      </c>
      <c r="M187" s="43">
        <v>174</v>
      </c>
      <c r="N187" s="4">
        <v>31</v>
      </c>
      <c r="O187" s="4">
        <v>114</v>
      </c>
      <c r="P187" s="4">
        <f>3+4</f>
        <v>7</v>
      </c>
      <c r="Q187" s="4">
        <v>0</v>
      </c>
      <c r="R187" s="4">
        <v>1</v>
      </c>
      <c r="S187" s="4">
        <v>0</v>
      </c>
      <c r="T187" s="4">
        <v>0</v>
      </c>
      <c r="U187" s="4">
        <v>0</v>
      </c>
      <c r="V187" s="4">
        <v>0</v>
      </c>
      <c r="W187" s="4">
        <v>0</v>
      </c>
      <c r="X187" s="44">
        <v>0</v>
      </c>
      <c r="Y187" s="44">
        <v>0</v>
      </c>
      <c r="Z187" s="50">
        <f t="shared" si="18"/>
        <v>0.13709086161355444</v>
      </c>
      <c r="AA187" s="4">
        <f t="shared" si="19"/>
        <v>0</v>
      </c>
      <c r="AB187" s="4">
        <f t="shared" si="15"/>
        <v>1.9584408801936348E-2</v>
      </c>
      <c r="AC187" s="4">
        <f t="shared" si="16"/>
        <v>0</v>
      </c>
      <c r="AD187" s="4">
        <f t="shared" si="17"/>
        <v>0</v>
      </c>
    </row>
    <row r="188" spans="1:30" x14ac:dyDescent="0.25">
      <c r="A188" s="40">
        <v>42789</v>
      </c>
      <c r="B188" s="39">
        <v>0.42708333333333331</v>
      </c>
      <c r="C188" s="40">
        <v>42790</v>
      </c>
      <c r="D188" s="39">
        <v>0.4375</v>
      </c>
      <c r="E188" s="41">
        <v>24.25</v>
      </c>
      <c r="F188" s="42">
        <v>2.8</v>
      </c>
      <c r="G188" s="42">
        <v>2.9</v>
      </c>
      <c r="H188" s="4">
        <v>3785</v>
      </c>
      <c r="I188" s="4">
        <v>4171</v>
      </c>
      <c r="J188" s="41">
        <f t="shared" si="12"/>
        <v>46.501026272578002</v>
      </c>
      <c r="K188" s="56">
        <v>26700</v>
      </c>
      <c r="L188" s="4">
        <v>49</v>
      </c>
      <c r="M188" s="43">
        <v>140.19999999999999</v>
      </c>
      <c r="N188" s="4">
        <v>36</v>
      </c>
      <c r="O188" s="4">
        <v>48</v>
      </c>
      <c r="P188" s="4">
        <f>1+2</f>
        <v>3</v>
      </c>
      <c r="Q188" s="4">
        <v>0</v>
      </c>
      <c r="R188" s="4">
        <v>0</v>
      </c>
      <c r="S188" s="4">
        <v>0</v>
      </c>
      <c r="T188" s="4">
        <v>0</v>
      </c>
      <c r="U188" s="4">
        <v>0</v>
      </c>
      <c r="V188" s="4">
        <v>0</v>
      </c>
      <c r="W188" s="4">
        <v>0</v>
      </c>
      <c r="X188" s="44">
        <v>0</v>
      </c>
      <c r="Y188" s="44">
        <v>1</v>
      </c>
      <c r="Z188" s="50">
        <f t="shared" si="18"/>
        <v>6.4514705168327052E-2</v>
      </c>
      <c r="AA188" s="4">
        <f t="shared" si="19"/>
        <v>0</v>
      </c>
      <c r="AB188" s="4">
        <f t="shared" si="15"/>
        <v>0</v>
      </c>
      <c r="AC188" s="4">
        <f t="shared" si="16"/>
        <v>0</v>
      </c>
      <c r="AD188" s="4">
        <f t="shared" si="17"/>
        <v>0</v>
      </c>
    </row>
    <row r="189" spans="1:30" x14ac:dyDescent="0.25">
      <c r="A189" s="40">
        <v>42790</v>
      </c>
      <c r="B189" s="39">
        <v>0.4375</v>
      </c>
      <c r="C189" s="40">
        <v>42791</v>
      </c>
      <c r="D189" s="39">
        <v>0.39583333333333331</v>
      </c>
      <c r="E189" s="41">
        <v>23</v>
      </c>
      <c r="F189" s="42">
        <v>3</v>
      </c>
      <c r="G189" s="42">
        <v>2.6</v>
      </c>
      <c r="H189" s="4">
        <v>3491</v>
      </c>
      <c r="I189" s="4">
        <v>3880</v>
      </c>
      <c r="J189" s="41">
        <f t="shared" si="12"/>
        <v>44.266239316239314</v>
      </c>
      <c r="K189" s="4">
        <v>26700</v>
      </c>
      <c r="L189" s="4">
        <v>48</v>
      </c>
      <c r="M189" s="43">
        <v>158</v>
      </c>
      <c r="N189" s="4">
        <v>38</v>
      </c>
      <c r="O189" s="4">
        <v>109</v>
      </c>
      <c r="P189" s="4">
        <f>4+5</f>
        <v>9</v>
      </c>
      <c r="Q189" s="4">
        <v>0</v>
      </c>
      <c r="R189" s="4">
        <v>1</v>
      </c>
      <c r="S189" s="4">
        <v>0</v>
      </c>
      <c r="T189" s="4">
        <v>0</v>
      </c>
      <c r="U189" s="4">
        <v>0</v>
      </c>
      <c r="V189" s="4">
        <v>1</v>
      </c>
      <c r="W189" s="4">
        <v>0</v>
      </c>
      <c r="X189" s="44">
        <v>0</v>
      </c>
      <c r="Y189" s="44">
        <v>1</v>
      </c>
      <c r="Z189" s="50">
        <f t="shared" si="18"/>
        <v>0.20331521581726733</v>
      </c>
      <c r="AA189" s="4">
        <f t="shared" si="19"/>
        <v>0</v>
      </c>
      <c r="AB189" s="4">
        <f t="shared" si="15"/>
        <v>2.2590579535251926E-2</v>
      </c>
      <c r="AC189" s="4">
        <f t="shared" si="16"/>
        <v>0</v>
      </c>
      <c r="AD189" s="4">
        <f t="shared" si="17"/>
        <v>0</v>
      </c>
    </row>
    <row r="190" spans="1:30" x14ac:dyDescent="0.25">
      <c r="A190" s="40">
        <v>42791</v>
      </c>
      <c r="B190" s="39">
        <v>0.39583333333333331</v>
      </c>
      <c r="C190" s="40">
        <v>42792</v>
      </c>
      <c r="D190" s="39">
        <v>0.39583333333333331</v>
      </c>
      <c r="E190" s="41">
        <v>24</v>
      </c>
      <c r="F190" s="42">
        <v>2.6</v>
      </c>
      <c r="G190" s="42">
        <v>2.4</v>
      </c>
      <c r="H190" s="4">
        <v>3726</v>
      </c>
      <c r="I190" s="4">
        <v>1784</v>
      </c>
      <c r="J190" s="41">
        <f t="shared" si="12"/>
        <v>36.273504273504273</v>
      </c>
      <c r="K190" s="4">
        <v>26700</v>
      </c>
      <c r="L190" s="4">
        <v>48</v>
      </c>
      <c r="M190" s="43">
        <v>118.75</v>
      </c>
      <c r="N190" s="4">
        <v>54</v>
      </c>
      <c r="O190" s="4">
        <v>100</v>
      </c>
      <c r="P190" s="4">
        <v>1</v>
      </c>
      <c r="Q190" s="4">
        <v>1</v>
      </c>
      <c r="R190" s="4">
        <v>1</v>
      </c>
      <c r="S190" s="4">
        <v>0</v>
      </c>
      <c r="T190" s="4">
        <v>0</v>
      </c>
      <c r="U190" s="4">
        <v>0</v>
      </c>
      <c r="V190" s="4">
        <v>0</v>
      </c>
      <c r="W190" s="4">
        <v>0</v>
      </c>
      <c r="X190" s="44">
        <v>0</v>
      </c>
      <c r="Y190" s="44">
        <v>0</v>
      </c>
      <c r="Z190" s="50">
        <f t="shared" si="18"/>
        <v>2.756833176248822E-2</v>
      </c>
      <c r="AA190" s="4">
        <f t="shared" si="19"/>
        <v>2.756833176248822E-2</v>
      </c>
      <c r="AB190" s="4">
        <f t="shared" si="15"/>
        <v>2.756833176248822E-2</v>
      </c>
      <c r="AC190" s="4">
        <f t="shared" si="16"/>
        <v>0</v>
      </c>
      <c r="AD190" s="4">
        <f t="shared" si="17"/>
        <v>0</v>
      </c>
    </row>
    <row r="191" spans="1:30" x14ac:dyDescent="0.25">
      <c r="A191" s="40">
        <v>42792</v>
      </c>
      <c r="B191" s="39">
        <v>0.39583333333333331</v>
      </c>
      <c r="C191" s="40">
        <v>42793</v>
      </c>
      <c r="D191" s="39">
        <v>0.39583333333333331</v>
      </c>
      <c r="E191" s="41">
        <v>24</v>
      </c>
      <c r="F191" s="42">
        <v>2.7</v>
      </c>
      <c r="G191" s="42">
        <v>3</v>
      </c>
      <c r="H191" s="4">
        <v>3600</v>
      </c>
      <c r="I191" s="4">
        <v>4117</v>
      </c>
      <c r="J191" s="41">
        <f t="shared" si="12"/>
        <v>45.094444444444441</v>
      </c>
      <c r="K191" s="4">
        <v>26600</v>
      </c>
      <c r="L191" s="4">
        <v>48</v>
      </c>
      <c r="M191" s="43">
        <v>128.5</v>
      </c>
      <c r="N191" s="4">
        <v>38</v>
      </c>
      <c r="O191" s="4">
        <v>55</v>
      </c>
      <c r="P191" s="4">
        <f>1+2</f>
        <v>3</v>
      </c>
      <c r="Q191" s="44">
        <v>0</v>
      </c>
      <c r="R191" s="4">
        <v>0</v>
      </c>
      <c r="S191" s="4">
        <v>0</v>
      </c>
      <c r="T191" s="4">
        <v>0</v>
      </c>
      <c r="U191" s="4">
        <v>0</v>
      </c>
      <c r="V191" s="4">
        <v>1</v>
      </c>
      <c r="W191" s="4">
        <v>0</v>
      </c>
      <c r="X191" s="4">
        <v>0</v>
      </c>
      <c r="Y191" s="4">
        <v>1</v>
      </c>
      <c r="Z191" s="50">
        <f>P191/J191</f>
        <v>6.6527042010595047E-2</v>
      </c>
      <c r="AA191" s="4">
        <f>Q191/J191</f>
        <v>0</v>
      </c>
      <c r="AB191" s="4">
        <f>R191/J191</f>
        <v>0</v>
      </c>
      <c r="AC191" s="4">
        <f>S191/J191</f>
        <v>0</v>
      </c>
      <c r="AD191" s="4">
        <f>X191/J191</f>
        <v>0</v>
      </c>
    </row>
    <row r="192" spans="1:30" x14ac:dyDescent="0.25">
      <c r="A192" s="40">
        <v>42793</v>
      </c>
      <c r="B192" s="39">
        <v>0.39583333333333331</v>
      </c>
      <c r="C192" s="40">
        <v>42794</v>
      </c>
      <c r="D192" s="39">
        <v>0.41666666666666669</v>
      </c>
      <c r="E192" s="41">
        <v>24.5</v>
      </c>
      <c r="F192" s="42">
        <v>2.9</v>
      </c>
      <c r="G192" s="42">
        <v>2.7</v>
      </c>
      <c r="H192" s="4">
        <v>3754</v>
      </c>
      <c r="I192" s="4">
        <v>1237</v>
      </c>
      <c r="J192" s="41">
        <f t="shared" si="12"/>
        <v>29.210515112813962</v>
      </c>
      <c r="K192" s="4">
        <v>26600</v>
      </c>
      <c r="L192" s="4">
        <v>49</v>
      </c>
      <c r="M192" s="43">
        <v>119</v>
      </c>
      <c r="N192" s="4">
        <v>33</v>
      </c>
      <c r="O192" s="4">
        <v>59</v>
      </c>
      <c r="P192" s="4">
        <v>3</v>
      </c>
      <c r="Q192" s="4">
        <v>1</v>
      </c>
      <c r="R192" s="4">
        <v>0</v>
      </c>
      <c r="S192" s="4">
        <v>0</v>
      </c>
      <c r="T192" s="4">
        <v>0</v>
      </c>
      <c r="U192" s="4">
        <v>0</v>
      </c>
      <c r="V192" s="4">
        <v>0</v>
      </c>
      <c r="W192" s="4">
        <v>0</v>
      </c>
      <c r="X192" s="44">
        <v>0</v>
      </c>
      <c r="Y192" s="44">
        <v>1</v>
      </c>
      <c r="Z192" s="50">
        <f>P192/J192</f>
        <v>0.10270274209180143</v>
      </c>
      <c r="AA192" s="4">
        <f>Q192/J192</f>
        <v>3.4234247363933809E-2</v>
      </c>
      <c r="AB192" s="4">
        <f>R192/J192</f>
        <v>0</v>
      </c>
      <c r="AC192" s="4">
        <f>S192/J192</f>
        <v>0</v>
      </c>
      <c r="AD192" s="4">
        <f>X192/J192</f>
        <v>0</v>
      </c>
    </row>
    <row r="193" spans="1:30" x14ac:dyDescent="0.25">
      <c r="A193" s="40">
        <v>42794</v>
      </c>
      <c r="B193" s="39">
        <v>0.41666666666666669</v>
      </c>
      <c r="C193" s="40">
        <v>42795</v>
      </c>
      <c r="D193" s="39">
        <v>0.4375</v>
      </c>
      <c r="E193" s="41">
        <v>24.5</v>
      </c>
      <c r="F193" s="42">
        <v>2.5</v>
      </c>
      <c r="G193" s="42">
        <v>2.5</v>
      </c>
      <c r="H193" s="4">
        <v>3744</v>
      </c>
      <c r="I193" s="4">
        <v>606</v>
      </c>
      <c r="J193" s="41">
        <f t="shared" si="12"/>
        <v>29</v>
      </c>
      <c r="K193" s="4">
        <v>26600</v>
      </c>
      <c r="L193" s="4">
        <v>51</v>
      </c>
      <c r="M193" s="43">
        <v>95.1</v>
      </c>
      <c r="N193" s="4">
        <v>33</v>
      </c>
      <c r="O193" s="4">
        <v>56</v>
      </c>
      <c r="P193" s="4">
        <f>5+1</f>
        <v>6</v>
      </c>
      <c r="Q193" s="4">
        <v>0</v>
      </c>
      <c r="R193" s="4">
        <v>0</v>
      </c>
      <c r="S193" s="4">
        <v>0</v>
      </c>
      <c r="T193" s="4">
        <v>0</v>
      </c>
      <c r="U193" s="4">
        <v>0</v>
      </c>
      <c r="V193" s="4">
        <v>0</v>
      </c>
      <c r="W193" s="4">
        <v>0</v>
      </c>
      <c r="X193" s="44">
        <v>0</v>
      </c>
      <c r="Y193" s="44">
        <v>1</v>
      </c>
      <c r="Z193" s="50">
        <f>P193/J193</f>
        <v>0.20689655172413793</v>
      </c>
      <c r="AA193" s="4">
        <f>Q193/J193</f>
        <v>0</v>
      </c>
      <c r="AB193" s="4">
        <f>R193/J193</f>
        <v>0</v>
      </c>
      <c r="AC193" s="4">
        <f>S193/J193</f>
        <v>0</v>
      </c>
      <c r="AD193" s="4">
        <f>X193/J193</f>
        <v>0</v>
      </c>
    </row>
    <row r="194" spans="1:30" x14ac:dyDescent="0.25">
      <c r="A194" s="40">
        <v>42795</v>
      </c>
      <c r="B194" s="39">
        <v>0.4375</v>
      </c>
      <c r="C194" s="40">
        <v>42796</v>
      </c>
      <c r="D194" s="39">
        <v>0.51041666666666663</v>
      </c>
      <c r="E194" s="41">
        <v>25.75</v>
      </c>
      <c r="F194" s="42">
        <v>2.9</v>
      </c>
      <c r="G194" s="42">
        <v>3.3</v>
      </c>
      <c r="H194" s="4">
        <v>4154</v>
      </c>
      <c r="I194" s="4">
        <v>4795</v>
      </c>
      <c r="J194" s="41">
        <f t="shared" si="12"/>
        <v>48.090734935562523</v>
      </c>
      <c r="K194" s="4">
        <v>26500</v>
      </c>
      <c r="L194" s="4">
        <v>49</v>
      </c>
      <c r="M194" s="43">
        <v>89.3</v>
      </c>
      <c r="N194" s="4">
        <v>38</v>
      </c>
      <c r="O194" s="4">
        <v>50</v>
      </c>
      <c r="P194" s="4">
        <f>2+4</f>
        <v>6</v>
      </c>
      <c r="Q194" s="4">
        <v>0</v>
      </c>
      <c r="R194" s="4">
        <v>0</v>
      </c>
      <c r="S194" s="4">
        <v>0</v>
      </c>
      <c r="T194" s="4">
        <v>0</v>
      </c>
      <c r="U194" s="4">
        <v>0</v>
      </c>
      <c r="V194" s="4">
        <v>0</v>
      </c>
      <c r="W194" s="4">
        <v>0</v>
      </c>
      <c r="X194" s="44">
        <v>0</v>
      </c>
      <c r="Y194" s="44">
        <f>4+1</f>
        <v>5</v>
      </c>
      <c r="Z194" s="50">
        <f t="shared" ref="Z194:Z253" si="20">P194/J194</f>
        <v>0.1247641569221075</v>
      </c>
      <c r="AA194" s="4">
        <f t="shared" ref="AA194:AA253" si="21">Q194/J194</f>
        <v>0</v>
      </c>
      <c r="AB194" s="4">
        <f t="shared" ref="AB194:AB253" si="22">R194/J194</f>
        <v>0</v>
      </c>
      <c r="AC194" s="4">
        <f t="shared" ref="AC194:AC253" si="23">S194/J194</f>
        <v>0</v>
      </c>
      <c r="AD194" s="4">
        <f t="shared" ref="AD194:AD253" si="24">X194/J194</f>
        <v>0</v>
      </c>
    </row>
    <row r="195" spans="1:30" x14ac:dyDescent="0.25">
      <c r="A195" s="40">
        <v>42796</v>
      </c>
      <c r="B195" s="39">
        <v>0.51041666666666663</v>
      </c>
      <c r="C195" s="40">
        <v>42797</v>
      </c>
      <c r="D195" s="39">
        <v>0.41666666666666669</v>
      </c>
      <c r="E195" s="41">
        <v>21.75</v>
      </c>
      <c r="F195" s="42">
        <v>2.7</v>
      </c>
      <c r="G195" s="42">
        <v>3</v>
      </c>
      <c r="H195" s="4">
        <v>3781</v>
      </c>
      <c r="I195" s="4">
        <v>3831</v>
      </c>
      <c r="J195" s="41">
        <f t="shared" si="12"/>
        <v>44.622839506172838</v>
      </c>
      <c r="K195" s="4">
        <v>26500</v>
      </c>
      <c r="L195" s="4">
        <v>49</v>
      </c>
      <c r="M195" s="43">
        <v>101.5</v>
      </c>
      <c r="N195" s="4">
        <v>51</v>
      </c>
      <c r="O195" s="4">
        <v>51</v>
      </c>
      <c r="P195" s="4">
        <v>1</v>
      </c>
      <c r="Q195" s="4">
        <v>0</v>
      </c>
      <c r="R195" s="4">
        <v>0</v>
      </c>
      <c r="S195" s="4">
        <v>0</v>
      </c>
      <c r="T195" s="4">
        <v>0</v>
      </c>
      <c r="U195" s="4">
        <v>0</v>
      </c>
      <c r="V195" s="4">
        <v>0</v>
      </c>
      <c r="W195" s="4">
        <v>0</v>
      </c>
      <c r="X195" s="44">
        <v>0</v>
      </c>
      <c r="Y195" s="44">
        <f>3+2</f>
        <v>5</v>
      </c>
      <c r="Z195" s="50">
        <f t="shared" si="20"/>
        <v>2.2410048555105203E-2</v>
      </c>
      <c r="AA195" s="4">
        <f t="shared" si="21"/>
        <v>0</v>
      </c>
      <c r="AB195" s="4">
        <f t="shared" si="22"/>
        <v>0</v>
      </c>
      <c r="AC195" s="4">
        <f t="shared" si="23"/>
        <v>0</v>
      </c>
      <c r="AD195" s="4">
        <f t="shared" si="24"/>
        <v>0</v>
      </c>
    </row>
    <row r="196" spans="1:30" x14ac:dyDescent="0.25">
      <c r="A196" s="40">
        <v>42797</v>
      </c>
      <c r="B196" s="39">
        <v>0.41666666666666669</v>
      </c>
      <c r="C196" s="40">
        <v>42798</v>
      </c>
      <c r="D196" s="39">
        <v>0.40625</v>
      </c>
      <c r="E196" s="41">
        <v>23.75</v>
      </c>
      <c r="F196" s="42">
        <v>2.6</v>
      </c>
      <c r="G196" s="42">
        <v>3.2</v>
      </c>
      <c r="H196" s="4">
        <v>3650</v>
      </c>
      <c r="I196" s="4">
        <v>4255</v>
      </c>
      <c r="J196" s="41">
        <f t="shared" si="12"/>
        <v>45.558894230769234</v>
      </c>
      <c r="K196" s="4">
        <v>26400</v>
      </c>
      <c r="L196" s="4">
        <v>49</v>
      </c>
      <c r="P196" s="4">
        <v>0</v>
      </c>
      <c r="Q196" s="4">
        <v>0</v>
      </c>
      <c r="R196" s="4">
        <v>0</v>
      </c>
      <c r="S196" s="4">
        <v>0</v>
      </c>
      <c r="T196" s="4">
        <v>0</v>
      </c>
      <c r="U196" s="4">
        <v>0</v>
      </c>
      <c r="V196" s="4">
        <v>0</v>
      </c>
      <c r="W196" s="4">
        <v>0</v>
      </c>
      <c r="X196" s="44">
        <v>0</v>
      </c>
      <c r="Y196" s="44">
        <v>1</v>
      </c>
      <c r="Z196" s="50">
        <f t="shared" si="20"/>
        <v>0</v>
      </c>
      <c r="AA196" s="4">
        <f t="shared" si="21"/>
        <v>0</v>
      </c>
      <c r="AB196" s="4">
        <f t="shared" si="22"/>
        <v>0</v>
      </c>
      <c r="AC196" s="4">
        <f t="shared" si="23"/>
        <v>0</v>
      </c>
      <c r="AD196" s="4">
        <f t="shared" si="24"/>
        <v>0</v>
      </c>
    </row>
    <row r="197" spans="1:30" x14ac:dyDescent="0.25">
      <c r="A197" s="40">
        <v>42798</v>
      </c>
      <c r="B197" s="39">
        <v>0.40625</v>
      </c>
      <c r="C197" s="40">
        <v>42799</v>
      </c>
      <c r="D197" s="39">
        <v>0.375</v>
      </c>
      <c r="E197" s="41">
        <v>23.25</v>
      </c>
      <c r="F197" s="42">
        <v>2.9</v>
      </c>
      <c r="G197" s="42">
        <v>3</v>
      </c>
      <c r="H197" s="4">
        <v>3757</v>
      </c>
      <c r="I197" s="4">
        <v>4410</v>
      </c>
      <c r="J197" s="41">
        <f t="shared" si="12"/>
        <v>46.09195402298851</v>
      </c>
      <c r="K197" s="4">
        <v>26300</v>
      </c>
      <c r="L197" s="4">
        <v>50</v>
      </c>
      <c r="M197" s="43">
        <v>46.6</v>
      </c>
      <c r="N197" s="4">
        <v>31</v>
      </c>
      <c r="O197" s="4">
        <v>56</v>
      </c>
      <c r="P197" s="4">
        <f>1+5</f>
        <v>6</v>
      </c>
      <c r="Q197" s="4">
        <v>0</v>
      </c>
      <c r="R197" s="4">
        <v>0</v>
      </c>
      <c r="S197" s="4">
        <v>0</v>
      </c>
      <c r="T197" s="4">
        <v>0</v>
      </c>
      <c r="U197" s="4">
        <v>0</v>
      </c>
      <c r="V197" s="4">
        <v>0</v>
      </c>
      <c r="W197" s="4">
        <v>0</v>
      </c>
      <c r="X197" s="44">
        <v>0</v>
      </c>
      <c r="Y197" s="44">
        <v>1</v>
      </c>
      <c r="Z197" s="50">
        <f t="shared" si="20"/>
        <v>0.13017456359102242</v>
      </c>
      <c r="AA197" s="4">
        <f t="shared" si="21"/>
        <v>0</v>
      </c>
      <c r="AB197" s="4">
        <f t="shared" si="22"/>
        <v>0</v>
      </c>
      <c r="AC197" s="4">
        <f t="shared" si="23"/>
        <v>0</v>
      </c>
      <c r="AD197" s="4">
        <f t="shared" si="24"/>
        <v>0</v>
      </c>
    </row>
    <row r="198" spans="1:30" x14ac:dyDescent="0.25">
      <c r="A198" s="40">
        <v>42799</v>
      </c>
      <c r="B198" s="39">
        <v>0.375</v>
      </c>
      <c r="C198" s="40">
        <v>42800</v>
      </c>
      <c r="D198" s="39">
        <v>0.40625</v>
      </c>
      <c r="E198" s="41">
        <v>24.75</v>
      </c>
      <c r="F198" s="42">
        <v>2.5</v>
      </c>
      <c r="G198" s="42">
        <v>2.9</v>
      </c>
      <c r="H198" s="4">
        <v>3950</v>
      </c>
      <c r="I198" s="4">
        <v>4775</v>
      </c>
      <c r="J198" s="41">
        <f t="shared" si="12"/>
        <v>53.775862068965516</v>
      </c>
      <c r="K198" s="4">
        <v>26200</v>
      </c>
      <c r="L198" s="4">
        <v>48</v>
      </c>
      <c r="M198" s="43">
        <v>72.900000000000006</v>
      </c>
      <c r="N198" s="4">
        <v>50</v>
      </c>
      <c r="O198" s="4">
        <v>50</v>
      </c>
      <c r="P198" s="4">
        <v>2</v>
      </c>
      <c r="Q198" s="4">
        <v>0</v>
      </c>
      <c r="R198" s="4">
        <v>0</v>
      </c>
      <c r="S198" s="4">
        <v>0</v>
      </c>
      <c r="T198" s="4">
        <v>0</v>
      </c>
      <c r="U198" s="4">
        <v>0</v>
      </c>
      <c r="V198" s="4">
        <v>0</v>
      </c>
      <c r="W198" s="4">
        <v>0</v>
      </c>
      <c r="X198" s="44">
        <v>0</v>
      </c>
      <c r="Y198" s="44">
        <v>1</v>
      </c>
      <c r="Z198" s="50">
        <f t="shared" si="20"/>
        <v>3.7191407502404621E-2</v>
      </c>
      <c r="AA198" s="4">
        <f t="shared" si="21"/>
        <v>0</v>
      </c>
      <c r="AB198" s="4">
        <f t="shared" si="22"/>
        <v>0</v>
      </c>
      <c r="AC198" s="4">
        <f t="shared" si="23"/>
        <v>0</v>
      </c>
      <c r="AD198" s="4">
        <f t="shared" si="24"/>
        <v>0</v>
      </c>
    </row>
    <row r="199" spans="1:30" x14ac:dyDescent="0.25">
      <c r="A199" s="40">
        <v>42800</v>
      </c>
      <c r="B199" s="39">
        <v>0.40625</v>
      </c>
      <c r="C199" s="40">
        <v>42801</v>
      </c>
      <c r="D199" s="39">
        <v>0.39583333333333331</v>
      </c>
      <c r="E199" s="41">
        <v>23.75</v>
      </c>
      <c r="F199" s="42">
        <v>2.6</v>
      </c>
      <c r="G199" s="42">
        <v>3.2</v>
      </c>
      <c r="H199" s="4">
        <v>3873</v>
      </c>
      <c r="I199" s="4">
        <v>4480</v>
      </c>
      <c r="J199" s="41">
        <f t="shared" si="12"/>
        <v>48.160256410256416</v>
      </c>
      <c r="K199" s="4">
        <v>26100</v>
      </c>
      <c r="L199" s="4">
        <v>49</v>
      </c>
      <c r="M199" s="43">
        <v>76.7</v>
      </c>
      <c r="N199" s="4">
        <v>33</v>
      </c>
      <c r="O199" s="4">
        <v>63</v>
      </c>
      <c r="P199" s="4">
        <v>1</v>
      </c>
      <c r="Q199" s="4">
        <v>1</v>
      </c>
      <c r="R199" s="4">
        <v>0</v>
      </c>
      <c r="S199" s="4">
        <v>0</v>
      </c>
      <c r="T199" s="4">
        <v>0</v>
      </c>
      <c r="U199" s="4">
        <v>0</v>
      </c>
      <c r="V199" s="4">
        <v>0</v>
      </c>
      <c r="W199" s="4">
        <v>0</v>
      </c>
      <c r="X199" s="44">
        <v>0</v>
      </c>
      <c r="Y199" s="44">
        <v>1</v>
      </c>
      <c r="Z199" s="4">
        <f t="shared" si="20"/>
        <v>2.0764009050978301E-2</v>
      </c>
      <c r="AA199" s="4">
        <f t="shared" si="21"/>
        <v>2.0764009050978301E-2</v>
      </c>
      <c r="AB199" s="4">
        <f t="shared" si="22"/>
        <v>0</v>
      </c>
      <c r="AC199" s="4">
        <f t="shared" si="23"/>
        <v>0</v>
      </c>
      <c r="AD199" s="4">
        <f t="shared" si="24"/>
        <v>0</v>
      </c>
    </row>
    <row r="200" spans="1:30" x14ac:dyDescent="0.25">
      <c r="A200" s="40">
        <v>42801</v>
      </c>
      <c r="B200" s="39">
        <v>0.39583333333333331</v>
      </c>
      <c r="C200" s="40">
        <v>42802</v>
      </c>
      <c r="D200" s="39">
        <v>0.40625</v>
      </c>
      <c r="E200" s="41">
        <v>24.25</v>
      </c>
      <c r="F200" s="42">
        <v>2.7</v>
      </c>
      <c r="G200" s="42">
        <v>3.3</v>
      </c>
      <c r="H200" s="4">
        <v>3836</v>
      </c>
      <c r="I200" s="4">
        <v>4358</v>
      </c>
      <c r="J200" s="41">
        <f t="shared" si="12"/>
        <v>45.689113355780023</v>
      </c>
      <c r="K200" s="4">
        <v>25900</v>
      </c>
      <c r="L200" s="4">
        <v>48</v>
      </c>
      <c r="M200" s="43">
        <v>71.8</v>
      </c>
      <c r="N200" s="4">
        <v>31</v>
      </c>
      <c r="O200" s="4">
        <v>64</v>
      </c>
      <c r="P200" s="4">
        <f>3+7</f>
        <v>10</v>
      </c>
      <c r="Q200" s="4">
        <f>1+3</f>
        <v>4</v>
      </c>
      <c r="R200" s="4">
        <v>0</v>
      </c>
      <c r="S200" s="4">
        <v>0</v>
      </c>
      <c r="T200" s="4">
        <v>0</v>
      </c>
      <c r="U200" s="4">
        <v>0</v>
      </c>
      <c r="V200" s="4">
        <v>0</v>
      </c>
      <c r="W200" s="4">
        <v>0</v>
      </c>
      <c r="X200" s="44">
        <v>0</v>
      </c>
      <c r="Y200" s="44">
        <v>1</v>
      </c>
      <c r="Z200" s="4">
        <f t="shared" si="20"/>
        <v>0.21887052003242527</v>
      </c>
      <c r="AA200" s="4">
        <f t="shared" si="21"/>
        <v>8.75482080129701E-2</v>
      </c>
      <c r="AB200" s="4">
        <f t="shared" si="22"/>
        <v>0</v>
      </c>
      <c r="AC200" s="4">
        <f t="shared" si="23"/>
        <v>0</v>
      </c>
      <c r="AD200" s="4">
        <f t="shared" si="24"/>
        <v>0</v>
      </c>
    </row>
    <row r="201" spans="1:30" x14ac:dyDescent="0.25">
      <c r="A201" s="40">
        <v>42802</v>
      </c>
      <c r="B201" s="39">
        <v>0.40625</v>
      </c>
      <c r="C201" s="40">
        <v>42803</v>
      </c>
      <c r="D201" s="39">
        <v>0.45833333333333331</v>
      </c>
      <c r="E201" s="41">
        <v>25.25</v>
      </c>
      <c r="F201" s="42">
        <v>2.9</v>
      </c>
      <c r="G201" s="42">
        <v>3.4</v>
      </c>
      <c r="H201" s="4">
        <v>4073</v>
      </c>
      <c r="I201" s="4">
        <v>671</v>
      </c>
      <c r="J201" s="41">
        <f t="shared" si="12"/>
        <v>26.697261663286003</v>
      </c>
      <c r="K201" s="4">
        <v>25900</v>
      </c>
      <c r="L201" s="4">
        <v>50</v>
      </c>
      <c r="M201" s="43">
        <v>71.400000000000006</v>
      </c>
      <c r="N201" s="4">
        <v>33</v>
      </c>
      <c r="O201" s="4">
        <v>71</v>
      </c>
      <c r="P201" s="4">
        <f>1+2</f>
        <v>3</v>
      </c>
      <c r="Q201" s="4">
        <v>1</v>
      </c>
      <c r="R201" s="4">
        <v>0</v>
      </c>
      <c r="S201" s="4">
        <v>0</v>
      </c>
      <c r="T201" s="4">
        <v>0</v>
      </c>
      <c r="U201" s="4">
        <v>0</v>
      </c>
      <c r="V201" s="4">
        <v>0</v>
      </c>
      <c r="W201" s="4">
        <v>0</v>
      </c>
      <c r="X201" s="44">
        <v>0</v>
      </c>
      <c r="Y201" s="44">
        <v>2</v>
      </c>
      <c r="Z201" s="4">
        <f t="shared" si="20"/>
        <v>0.11237107527494444</v>
      </c>
      <c r="AA201" s="4">
        <f t="shared" si="21"/>
        <v>3.7457025091648145E-2</v>
      </c>
      <c r="AB201" s="4">
        <f t="shared" si="22"/>
        <v>0</v>
      </c>
      <c r="AC201" s="4">
        <f t="shared" si="23"/>
        <v>0</v>
      </c>
      <c r="AD201" s="4">
        <f t="shared" si="24"/>
        <v>0</v>
      </c>
    </row>
    <row r="202" spans="1:30" x14ac:dyDescent="0.25">
      <c r="A202" s="40">
        <v>42803</v>
      </c>
      <c r="B202" s="39">
        <v>0.45833333333333331</v>
      </c>
      <c r="C202" s="40">
        <v>42804</v>
      </c>
      <c r="D202" s="39">
        <v>0.40625</v>
      </c>
      <c r="E202" s="41">
        <v>22.75</v>
      </c>
      <c r="F202" s="42">
        <v>2.7</v>
      </c>
      <c r="G202" s="42">
        <v>2.6</v>
      </c>
      <c r="H202" s="4">
        <v>3368</v>
      </c>
      <c r="I202" s="4">
        <v>4201</v>
      </c>
      <c r="J202" s="41">
        <f t="shared" si="12"/>
        <v>47.719610636277302</v>
      </c>
      <c r="K202" s="4">
        <v>25300</v>
      </c>
      <c r="L202" s="4">
        <v>51</v>
      </c>
      <c r="M202" s="43">
        <v>71.3</v>
      </c>
      <c r="N202" s="4">
        <v>43</v>
      </c>
      <c r="O202" s="4">
        <v>73</v>
      </c>
      <c r="P202" s="4">
        <f>1+3</f>
        <v>4</v>
      </c>
      <c r="Q202" s="4">
        <v>1</v>
      </c>
      <c r="R202" s="4">
        <v>0</v>
      </c>
      <c r="S202" s="4">
        <v>0</v>
      </c>
      <c r="T202" s="4">
        <v>0</v>
      </c>
      <c r="U202" s="4">
        <v>0</v>
      </c>
      <c r="V202" s="4">
        <v>1</v>
      </c>
      <c r="W202" s="4">
        <v>0</v>
      </c>
      <c r="X202" s="44">
        <v>0</v>
      </c>
      <c r="Y202" s="44">
        <v>2</v>
      </c>
      <c r="Z202" s="4">
        <f t="shared" si="20"/>
        <v>8.3822980671160979E-2</v>
      </c>
      <c r="AA202" s="4">
        <f t="shared" si="21"/>
        <v>2.0955745167790245E-2</v>
      </c>
      <c r="AB202" s="4">
        <f t="shared" si="22"/>
        <v>0</v>
      </c>
      <c r="AC202" s="4">
        <f t="shared" si="23"/>
        <v>0</v>
      </c>
      <c r="AD202" s="4">
        <f t="shared" si="24"/>
        <v>0</v>
      </c>
    </row>
    <row r="203" spans="1:30" x14ac:dyDescent="0.25">
      <c r="A203" s="40">
        <v>42804</v>
      </c>
      <c r="B203" s="39">
        <v>0.40625</v>
      </c>
      <c r="C203" s="40">
        <v>42805</v>
      </c>
      <c r="D203" s="39">
        <v>0.4375</v>
      </c>
      <c r="E203" s="41">
        <v>24.75</v>
      </c>
      <c r="F203" s="42">
        <v>3</v>
      </c>
      <c r="G203" s="42">
        <v>3</v>
      </c>
      <c r="H203" s="4">
        <v>3825</v>
      </c>
      <c r="I203" s="4">
        <v>4388</v>
      </c>
      <c r="J203" s="41">
        <f t="shared" si="12"/>
        <v>45.62777777777778</v>
      </c>
      <c r="K203" s="4">
        <v>24800</v>
      </c>
      <c r="L203" s="4">
        <v>52</v>
      </c>
      <c r="M203" s="43">
        <v>70.599999999999994</v>
      </c>
      <c r="N203" s="4">
        <v>40</v>
      </c>
      <c r="O203" s="4">
        <v>71</v>
      </c>
      <c r="P203" s="4">
        <f>1+7</f>
        <v>8</v>
      </c>
      <c r="Q203" s="4">
        <f>3</f>
        <v>3</v>
      </c>
      <c r="R203" s="4">
        <v>0</v>
      </c>
      <c r="S203" s="4">
        <v>0</v>
      </c>
      <c r="T203" s="4">
        <v>0</v>
      </c>
      <c r="U203" s="4">
        <v>0</v>
      </c>
      <c r="V203" s="4">
        <v>1</v>
      </c>
      <c r="W203" s="4">
        <v>0</v>
      </c>
      <c r="X203" s="44">
        <v>0</v>
      </c>
      <c r="Y203" s="44">
        <f>3+1</f>
        <v>4</v>
      </c>
      <c r="Z203" s="4">
        <f t="shared" si="20"/>
        <v>0.17533179106294897</v>
      </c>
      <c r="AA203" s="4">
        <f t="shared" si="21"/>
        <v>6.5749421648605866E-2</v>
      </c>
      <c r="AB203" s="4">
        <f t="shared" si="22"/>
        <v>0</v>
      </c>
      <c r="AC203" s="4">
        <f t="shared" si="23"/>
        <v>0</v>
      </c>
      <c r="AD203" s="4">
        <f t="shared" si="24"/>
        <v>0</v>
      </c>
    </row>
    <row r="204" spans="1:30" x14ac:dyDescent="0.25">
      <c r="A204" s="40">
        <v>42805</v>
      </c>
      <c r="B204" s="39">
        <v>0.4375</v>
      </c>
      <c r="C204" s="40">
        <v>42806</v>
      </c>
      <c r="D204" s="39">
        <v>0.38541666666666669</v>
      </c>
      <c r="E204" s="41">
        <v>22.75</v>
      </c>
      <c r="F204" s="42">
        <v>2.7</v>
      </c>
      <c r="G204" s="42">
        <v>3.2</v>
      </c>
      <c r="H204" s="4">
        <v>3096</v>
      </c>
      <c r="I204" s="4">
        <v>3808</v>
      </c>
      <c r="J204" s="41">
        <f t="shared" si="12"/>
        <v>38.944444444444443</v>
      </c>
      <c r="K204" s="4">
        <v>24300</v>
      </c>
      <c r="L204" s="4">
        <v>52</v>
      </c>
      <c r="M204" s="43">
        <v>67.7</v>
      </c>
      <c r="N204" s="4">
        <v>51</v>
      </c>
      <c r="O204" s="4">
        <v>100</v>
      </c>
      <c r="P204" s="4">
        <f>3+6</f>
        <v>9</v>
      </c>
      <c r="Q204" s="4">
        <v>2</v>
      </c>
      <c r="R204" s="4">
        <v>1</v>
      </c>
      <c r="S204" s="4">
        <v>0</v>
      </c>
      <c r="T204" s="4">
        <v>0</v>
      </c>
      <c r="U204" s="4">
        <v>0</v>
      </c>
      <c r="V204" s="4">
        <v>0</v>
      </c>
      <c r="W204" s="4">
        <v>0</v>
      </c>
      <c r="X204" s="44">
        <v>0</v>
      </c>
      <c r="Y204" s="44">
        <v>2</v>
      </c>
      <c r="Z204" s="4">
        <f t="shared" si="20"/>
        <v>0.23109843081312412</v>
      </c>
      <c r="AA204" s="4">
        <f t="shared" si="21"/>
        <v>5.1355206847360918E-2</v>
      </c>
      <c r="AB204" s="4">
        <f t="shared" si="22"/>
        <v>2.5677603423680459E-2</v>
      </c>
      <c r="AC204" s="4">
        <f t="shared" si="23"/>
        <v>0</v>
      </c>
      <c r="AD204" s="4">
        <f t="shared" si="24"/>
        <v>0</v>
      </c>
    </row>
    <row r="205" spans="1:30" x14ac:dyDescent="0.25">
      <c r="A205" s="40">
        <v>42806</v>
      </c>
      <c r="B205" s="39">
        <v>0.38541666666666669</v>
      </c>
      <c r="C205" s="40">
        <v>42807</v>
      </c>
      <c r="D205" s="39">
        <v>0.375</v>
      </c>
      <c r="E205" s="41">
        <v>23.75</v>
      </c>
      <c r="F205" s="42">
        <v>2.7</v>
      </c>
      <c r="G205" s="42">
        <v>3.4</v>
      </c>
      <c r="H205" s="4">
        <v>1094</v>
      </c>
      <c r="I205" s="4">
        <v>500</v>
      </c>
      <c r="J205" s="41">
        <f t="shared" si="12"/>
        <v>9.2040668119099482</v>
      </c>
      <c r="K205" s="4">
        <v>23700</v>
      </c>
      <c r="L205" s="4">
        <v>52</v>
      </c>
      <c r="M205" s="43">
        <v>61.9</v>
      </c>
      <c r="N205" s="4">
        <v>61</v>
      </c>
      <c r="O205" s="4">
        <v>63</v>
      </c>
      <c r="P205" s="4">
        <v>2</v>
      </c>
      <c r="Q205" s="4">
        <v>0</v>
      </c>
      <c r="R205" s="4">
        <v>0</v>
      </c>
      <c r="S205" s="4">
        <v>0</v>
      </c>
      <c r="T205" s="4">
        <v>0</v>
      </c>
      <c r="U205" s="4">
        <v>0</v>
      </c>
      <c r="V205" s="4">
        <v>0</v>
      </c>
      <c r="W205" s="4">
        <v>0</v>
      </c>
      <c r="X205" s="44">
        <v>0</v>
      </c>
      <c r="Y205" s="44">
        <v>1</v>
      </c>
      <c r="Z205" s="4">
        <f t="shared" si="20"/>
        <v>0.21729525011835255</v>
      </c>
      <c r="AA205" s="4">
        <f t="shared" si="21"/>
        <v>0</v>
      </c>
      <c r="AB205" s="4">
        <f t="shared" si="22"/>
        <v>0</v>
      </c>
      <c r="AC205" s="4">
        <f t="shared" si="23"/>
        <v>0</v>
      </c>
      <c r="AD205" s="4">
        <f t="shared" si="24"/>
        <v>0</v>
      </c>
    </row>
    <row r="206" spans="1:30" x14ac:dyDescent="0.25">
      <c r="A206" s="40">
        <v>42807</v>
      </c>
      <c r="B206" s="39">
        <v>0.375</v>
      </c>
      <c r="C206" s="40">
        <v>42808</v>
      </c>
      <c r="D206" s="39">
        <v>0.41666666666666669</v>
      </c>
      <c r="E206" s="41">
        <v>23</v>
      </c>
      <c r="F206" s="42">
        <v>2.5</v>
      </c>
      <c r="G206" s="42">
        <v>2.9</v>
      </c>
      <c r="H206" s="4">
        <v>3156</v>
      </c>
      <c r="I206" s="4">
        <v>3958</v>
      </c>
      <c r="J206" s="41">
        <f t="shared" si="12"/>
        <v>43.787126436781605</v>
      </c>
      <c r="K206" s="4">
        <v>23000</v>
      </c>
      <c r="L206" s="4">
        <v>54</v>
      </c>
      <c r="M206" s="43">
        <v>67.7</v>
      </c>
      <c r="N206" s="4">
        <v>52</v>
      </c>
      <c r="O206" s="4">
        <v>79</v>
      </c>
      <c r="P206" s="4">
        <f>1+10</f>
        <v>11</v>
      </c>
      <c r="Q206" s="4">
        <v>6</v>
      </c>
      <c r="R206" s="4">
        <v>0</v>
      </c>
      <c r="S206" s="4">
        <v>0</v>
      </c>
      <c r="T206" s="4">
        <v>0</v>
      </c>
      <c r="U206" s="4">
        <v>0</v>
      </c>
      <c r="V206" s="4">
        <v>3</v>
      </c>
      <c r="W206" s="4">
        <v>0</v>
      </c>
      <c r="X206" s="44">
        <v>0</v>
      </c>
      <c r="Y206" s="44">
        <f>1+5</f>
        <v>6</v>
      </c>
      <c r="Z206" s="4">
        <f t="shared" si="20"/>
        <v>0.25121538897697326</v>
      </c>
      <c r="AA206" s="4">
        <f t="shared" si="21"/>
        <v>0.13702657580562178</v>
      </c>
      <c r="AB206" s="4">
        <f t="shared" si="22"/>
        <v>0</v>
      </c>
      <c r="AC206" s="4">
        <f t="shared" si="23"/>
        <v>0</v>
      </c>
      <c r="AD206" s="4">
        <f t="shared" si="24"/>
        <v>0</v>
      </c>
    </row>
    <row r="207" spans="1:30" x14ac:dyDescent="0.25">
      <c r="A207" s="40">
        <v>42808</v>
      </c>
      <c r="B207" s="39">
        <v>0.41666666666666669</v>
      </c>
      <c r="C207" s="40">
        <v>42809</v>
      </c>
      <c r="D207" s="39">
        <v>0.41666666666666669</v>
      </c>
      <c r="E207" s="41">
        <v>24</v>
      </c>
      <c r="F207" s="42">
        <v>2.7</v>
      </c>
      <c r="G207" s="42">
        <v>2.8</v>
      </c>
      <c r="H207" s="4">
        <v>3434</v>
      </c>
      <c r="I207" s="4">
        <v>4069</v>
      </c>
      <c r="J207" s="41">
        <f t="shared" si="12"/>
        <v>45.417768959435627</v>
      </c>
      <c r="K207" s="4">
        <v>22400</v>
      </c>
      <c r="L207" s="4">
        <v>54</v>
      </c>
      <c r="M207" s="43">
        <v>63.1</v>
      </c>
      <c r="N207" s="4">
        <v>56</v>
      </c>
      <c r="O207" s="4">
        <v>68</v>
      </c>
      <c r="P207" s="4">
        <v>2</v>
      </c>
      <c r="Q207" s="4">
        <f>1+2</f>
        <v>3</v>
      </c>
      <c r="R207" s="4">
        <v>0</v>
      </c>
      <c r="S207" s="4">
        <v>0</v>
      </c>
      <c r="T207" s="4">
        <v>0</v>
      </c>
      <c r="U207" s="4">
        <v>0</v>
      </c>
      <c r="V207" s="4">
        <v>2</v>
      </c>
      <c r="W207" s="4">
        <v>0</v>
      </c>
      <c r="X207" s="44">
        <v>0</v>
      </c>
      <c r="Y207" s="44">
        <v>2</v>
      </c>
      <c r="Z207" s="4">
        <f t="shared" si="20"/>
        <v>4.4035628473654831E-2</v>
      </c>
      <c r="AA207" s="4">
        <f t="shared" si="21"/>
        <v>6.6053442710482246E-2</v>
      </c>
      <c r="AB207" s="4">
        <f t="shared" si="22"/>
        <v>0</v>
      </c>
      <c r="AC207" s="4">
        <f t="shared" si="23"/>
        <v>0</v>
      </c>
      <c r="AD207" s="4">
        <f t="shared" si="24"/>
        <v>0</v>
      </c>
    </row>
    <row r="208" spans="1:30" x14ac:dyDescent="0.25">
      <c r="A208" s="40">
        <v>42809</v>
      </c>
      <c r="B208" s="39">
        <v>0.41666666666666669</v>
      </c>
      <c r="C208" s="40">
        <v>42810</v>
      </c>
      <c r="D208" s="39">
        <v>0.41666666666666669</v>
      </c>
      <c r="E208" s="41">
        <v>24</v>
      </c>
      <c r="F208" s="42">
        <v>2.5</v>
      </c>
      <c r="G208" s="42">
        <v>2.9</v>
      </c>
      <c r="H208" s="4">
        <v>3475</v>
      </c>
      <c r="I208" s="4">
        <v>4064</v>
      </c>
      <c r="J208" s="41">
        <f xml:space="preserve"> (((H208/F208)+(I208/G208))/60)</f>
        <v>46.522988505747129</v>
      </c>
      <c r="K208" s="4">
        <v>21600</v>
      </c>
      <c r="L208" s="4">
        <v>55</v>
      </c>
      <c r="M208" s="43">
        <v>71.400000000000006</v>
      </c>
      <c r="N208" s="4">
        <v>44</v>
      </c>
      <c r="O208" s="4">
        <v>76</v>
      </c>
      <c r="P208" s="4">
        <f>2+4</f>
        <v>6</v>
      </c>
      <c r="Q208" s="4">
        <v>2</v>
      </c>
      <c r="R208" s="4">
        <v>0</v>
      </c>
      <c r="S208" s="4">
        <v>0</v>
      </c>
      <c r="T208" s="4">
        <v>0</v>
      </c>
      <c r="U208" s="4">
        <v>0</v>
      </c>
      <c r="V208" s="4">
        <v>0</v>
      </c>
      <c r="W208" s="4">
        <v>0</v>
      </c>
      <c r="X208" s="44">
        <v>0</v>
      </c>
      <c r="Y208" s="44">
        <v>2</v>
      </c>
      <c r="Z208" s="4">
        <f t="shared" si="20"/>
        <v>0.12896849907350216</v>
      </c>
      <c r="AA208" s="4">
        <f t="shared" si="21"/>
        <v>4.2989499691167388E-2</v>
      </c>
      <c r="AB208" s="4">
        <f t="shared" si="22"/>
        <v>0</v>
      </c>
      <c r="AC208" s="4">
        <f t="shared" si="23"/>
        <v>0</v>
      </c>
      <c r="AD208" s="4">
        <f t="shared" si="24"/>
        <v>0</v>
      </c>
    </row>
    <row r="209" spans="1:31" x14ac:dyDescent="0.25">
      <c r="A209" s="40">
        <v>42810</v>
      </c>
      <c r="B209" s="39">
        <v>0.41666666666666669</v>
      </c>
      <c r="C209" s="40">
        <v>42811</v>
      </c>
      <c r="D209" s="39">
        <v>0.42708333333333331</v>
      </c>
      <c r="E209" s="41">
        <v>24.25</v>
      </c>
      <c r="F209" s="42">
        <v>2.4</v>
      </c>
      <c r="G209" s="42">
        <v>2.9</v>
      </c>
      <c r="H209" s="4">
        <v>1373</v>
      </c>
      <c r="I209" s="4">
        <v>1673</v>
      </c>
      <c r="J209" s="41">
        <f xml:space="preserve"> (((H209/F209)+(I209/G209))/60)</f>
        <v>19.149664750957854</v>
      </c>
      <c r="K209" s="4">
        <v>20800</v>
      </c>
      <c r="L209" s="4">
        <v>55</v>
      </c>
      <c r="M209" s="43">
        <v>59.3</v>
      </c>
      <c r="N209" s="4">
        <v>42</v>
      </c>
      <c r="O209" s="4">
        <v>69</v>
      </c>
      <c r="P209" s="4">
        <f>2+1</f>
        <v>3</v>
      </c>
      <c r="Q209" s="4">
        <v>1</v>
      </c>
      <c r="R209" s="4">
        <v>0</v>
      </c>
      <c r="S209" s="4">
        <v>0</v>
      </c>
      <c r="T209" s="4">
        <v>0</v>
      </c>
      <c r="U209" s="4">
        <v>0</v>
      </c>
      <c r="V209" s="4">
        <v>0</v>
      </c>
      <c r="W209" s="4">
        <v>0</v>
      </c>
      <c r="X209" s="44">
        <v>0</v>
      </c>
      <c r="Y209" s="44">
        <v>1</v>
      </c>
      <c r="Z209" s="4">
        <f t="shared" si="20"/>
        <v>0.15666070602358415</v>
      </c>
      <c r="AA209" s="4">
        <f t="shared" si="21"/>
        <v>5.2220235341194715E-2</v>
      </c>
      <c r="AB209" s="4">
        <f t="shared" si="22"/>
        <v>0</v>
      </c>
      <c r="AC209" s="4">
        <f t="shared" si="23"/>
        <v>0</v>
      </c>
      <c r="AD209" s="4">
        <f t="shared" si="24"/>
        <v>0</v>
      </c>
    </row>
    <row r="210" spans="1:31" x14ac:dyDescent="0.25">
      <c r="A210" s="40">
        <v>42811</v>
      </c>
      <c r="B210" s="39">
        <v>0.42708333333333331</v>
      </c>
      <c r="C210" s="40">
        <v>42812</v>
      </c>
      <c r="D210" s="39">
        <v>0.40625</v>
      </c>
      <c r="E210" s="41">
        <v>23.5</v>
      </c>
      <c r="G210" s="42">
        <v>2.7</v>
      </c>
      <c r="H210" s="42"/>
      <c r="I210" s="4">
        <v>3238</v>
      </c>
      <c r="J210" s="41">
        <f xml:space="preserve"> (I210/G210)/60</f>
        <v>19.987654320987652</v>
      </c>
      <c r="K210" s="4">
        <v>19900</v>
      </c>
      <c r="L210" s="4">
        <v>56</v>
      </c>
      <c r="M210" s="43">
        <v>66.099999999999994</v>
      </c>
      <c r="N210" s="4">
        <v>57</v>
      </c>
      <c r="O210" s="4">
        <v>47</v>
      </c>
      <c r="P210" s="4">
        <v>8</v>
      </c>
      <c r="Q210" s="4">
        <v>3</v>
      </c>
      <c r="R210" s="4">
        <v>0</v>
      </c>
      <c r="S210" s="4">
        <v>0</v>
      </c>
      <c r="T210" s="4">
        <v>0</v>
      </c>
      <c r="U210" s="4">
        <v>0</v>
      </c>
      <c r="V210" s="4">
        <v>2</v>
      </c>
      <c r="W210" s="4">
        <v>0</v>
      </c>
      <c r="X210" s="44">
        <v>0</v>
      </c>
      <c r="Y210" s="44">
        <v>2</v>
      </c>
      <c r="Z210" s="4">
        <f t="shared" si="20"/>
        <v>0.40024706609017918</v>
      </c>
      <c r="AA210" s="4">
        <f t="shared" si="21"/>
        <v>0.1500926497838172</v>
      </c>
      <c r="AB210" s="4">
        <f t="shared" si="22"/>
        <v>0</v>
      </c>
      <c r="AC210" s="4">
        <f t="shared" si="23"/>
        <v>0</v>
      </c>
      <c r="AD210" s="4">
        <f t="shared" si="24"/>
        <v>0</v>
      </c>
      <c r="AE210" s="4" t="s">
        <v>45</v>
      </c>
    </row>
    <row r="211" spans="1:31" x14ac:dyDescent="0.25">
      <c r="A211" s="40">
        <v>42812</v>
      </c>
      <c r="B211" s="39">
        <v>0.40625</v>
      </c>
      <c r="C211" s="40">
        <v>42813</v>
      </c>
      <c r="D211" s="39">
        <v>0.38541666666666669</v>
      </c>
      <c r="E211" s="41">
        <v>23.5</v>
      </c>
      <c r="G211" s="42">
        <v>2.1</v>
      </c>
      <c r="H211" s="42"/>
      <c r="I211" s="4">
        <v>2884</v>
      </c>
      <c r="J211" s="41">
        <f xml:space="preserve"> (I211/G211)/60</f>
        <v>22.888888888888889</v>
      </c>
      <c r="K211" s="4">
        <v>19900</v>
      </c>
      <c r="L211" s="4">
        <v>56</v>
      </c>
      <c r="M211" s="43">
        <v>65.8</v>
      </c>
      <c r="N211" s="4">
        <v>76</v>
      </c>
      <c r="O211" s="4">
        <v>78</v>
      </c>
      <c r="P211" s="4">
        <v>0</v>
      </c>
      <c r="Q211" s="4">
        <v>2</v>
      </c>
      <c r="R211" s="4">
        <v>0</v>
      </c>
      <c r="S211" s="4">
        <v>0</v>
      </c>
      <c r="T211" s="4">
        <v>0</v>
      </c>
      <c r="U211" s="4">
        <v>0</v>
      </c>
      <c r="V211" s="4">
        <v>0</v>
      </c>
      <c r="W211" s="4">
        <v>0</v>
      </c>
      <c r="X211" s="44">
        <v>0</v>
      </c>
      <c r="Y211" s="44">
        <v>1</v>
      </c>
      <c r="Z211" s="4">
        <f t="shared" si="20"/>
        <v>0</v>
      </c>
      <c r="AA211" s="4">
        <f t="shared" si="21"/>
        <v>8.7378640776699032E-2</v>
      </c>
      <c r="AB211" s="4">
        <f t="shared" si="22"/>
        <v>0</v>
      </c>
      <c r="AC211" s="4">
        <f t="shared" si="23"/>
        <v>0</v>
      </c>
      <c r="AD211" s="4">
        <f t="shared" si="24"/>
        <v>0</v>
      </c>
      <c r="AE211" s="4" t="s">
        <v>45</v>
      </c>
    </row>
    <row r="212" spans="1:31" x14ac:dyDescent="0.25">
      <c r="A212" s="40">
        <v>42813</v>
      </c>
      <c r="B212" s="39">
        <v>0.38541666666666669</v>
      </c>
      <c r="C212" s="40">
        <v>42814</v>
      </c>
      <c r="D212" s="39">
        <v>0.40625</v>
      </c>
      <c r="E212" s="41">
        <v>24.5</v>
      </c>
      <c r="G212" s="42">
        <v>1.9</v>
      </c>
      <c r="H212" s="42"/>
      <c r="I212" s="4">
        <v>2662</v>
      </c>
      <c r="J212" s="41">
        <f xml:space="preserve"> (I212/G212)/60</f>
        <v>23.350877192982459</v>
      </c>
      <c r="K212" s="4">
        <v>20400</v>
      </c>
      <c r="L212" s="4">
        <v>56</v>
      </c>
      <c r="M212" s="43">
        <v>52.7</v>
      </c>
      <c r="N212" s="4">
        <v>55</v>
      </c>
      <c r="O212" s="4">
        <v>97</v>
      </c>
      <c r="P212" s="4">
        <v>3</v>
      </c>
      <c r="Q212" s="4">
        <v>4</v>
      </c>
      <c r="R212" s="4">
        <v>1</v>
      </c>
      <c r="S212" s="4">
        <v>0</v>
      </c>
      <c r="T212" s="4">
        <v>0</v>
      </c>
      <c r="U212" s="4">
        <v>0</v>
      </c>
      <c r="V212" s="4">
        <v>0</v>
      </c>
      <c r="W212" s="4">
        <v>0</v>
      </c>
      <c r="X212" s="44">
        <v>0</v>
      </c>
      <c r="Y212" s="44">
        <v>1</v>
      </c>
      <c r="Z212" s="4">
        <f t="shared" si="20"/>
        <v>0.12847483095416978</v>
      </c>
      <c r="AA212" s="4">
        <f t="shared" si="21"/>
        <v>0.1712997746055597</v>
      </c>
      <c r="AB212" s="4">
        <f t="shared" si="22"/>
        <v>4.2824943651389925E-2</v>
      </c>
      <c r="AC212" s="4">
        <f t="shared" si="23"/>
        <v>0</v>
      </c>
      <c r="AD212" s="4">
        <f t="shared" si="24"/>
        <v>0</v>
      </c>
      <c r="AE212" s="4" t="s">
        <v>45</v>
      </c>
    </row>
    <row r="213" spans="1:31" x14ac:dyDescent="0.25">
      <c r="A213" s="40">
        <v>42814</v>
      </c>
      <c r="B213" s="39">
        <v>0.40625</v>
      </c>
      <c r="C213" s="40">
        <v>42815</v>
      </c>
      <c r="D213" s="39">
        <v>0.4375</v>
      </c>
      <c r="E213" s="41">
        <v>24.75</v>
      </c>
      <c r="F213" s="42">
        <v>1.2</v>
      </c>
      <c r="G213" s="42">
        <v>1.1000000000000001</v>
      </c>
      <c r="H213" s="4">
        <v>1580</v>
      </c>
      <c r="I213" s="4">
        <v>1952</v>
      </c>
      <c r="J213" s="41">
        <f xml:space="preserve"> (((H213/F213)+(I213/G213))/60)</f>
        <v>51.520202020202014</v>
      </c>
      <c r="K213" s="4">
        <v>20700</v>
      </c>
      <c r="L213" s="4">
        <v>56</v>
      </c>
      <c r="M213" s="43">
        <v>60</v>
      </c>
      <c r="N213" s="4">
        <v>59</v>
      </c>
      <c r="O213" s="4">
        <v>68</v>
      </c>
      <c r="P213" s="4">
        <v>2</v>
      </c>
      <c r="Q213" s="4">
        <v>1</v>
      </c>
      <c r="R213" s="4">
        <v>0</v>
      </c>
      <c r="S213" s="4">
        <v>0</v>
      </c>
      <c r="T213" s="4">
        <v>0</v>
      </c>
      <c r="U213" s="4">
        <v>0</v>
      </c>
      <c r="V213" s="4">
        <v>0</v>
      </c>
      <c r="W213" s="4">
        <v>0</v>
      </c>
      <c r="X213" s="4">
        <v>0</v>
      </c>
      <c r="Y213" s="4">
        <v>0</v>
      </c>
      <c r="Z213" s="4">
        <f t="shared" si="20"/>
        <v>3.8819723556514071E-2</v>
      </c>
      <c r="AA213" s="4">
        <f t="shared" si="21"/>
        <v>1.9409861778257036E-2</v>
      </c>
      <c r="AB213" s="4">
        <f t="shared" si="22"/>
        <v>0</v>
      </c>
      <c r="AC213" s="4">
        <f t="shared" si="23"/>
        <v>0</v>
      </c>
      <c r="AD213" s="4">
        <f t="shared" si="24"/>
        <v>0</v>
      </c>
    </row>
    <row r="214" spans="1:31" x14ac:dyDescent="0.25">
      <c r="A214" s="40">
        <v>42815</v>
      </c>
      <c r="B214" s="39">
        <v>0.4375</v>
      </c>
      <c r="C214" s="40">
        <v>42816</v>
      </c>
      <c r="D214" s="39">
        <v>0.39583333333333331</v>
      </c>
      <c r="E214" s="41">
        <v>23</v>
      </c>
      <c r="F214" s="42">
        <v>1.3</v>
      </c>
      <c r="G214" s="42">
        <v>1.4</v>
      </c>
      <c r="H214" s="4">
        <v>1550</v>
      </c>
      <c r="I214" s="4">
        <v>1836</v>
      </c>
      <c r="J214" s="41">
        <f xml:space="preserve"> (((H214/F214)+(I214/G214))/60)</f>
        <v>41.72893772893773</v>
      </c>
      <c r="K214" s="4">
        <v>20900</v>
      </c>
      <c r="L214" s="4">
        <v>54</v>
      </c>
      <c r="M214" s="43">
        <v>43.2</v>
      </c>
      <c r="N214" s="4">
        <v>43</v>
      </c>
      <c r="O214" s="4">
        <v>79</v>
      </c>
      <c r="P214" s="4">
        <f>1+2</f>
        <v>3</v>
      </c>
      <c r="Q214" s="4">
        <f>2+1</f>
        <v>3</v>
      </c>
      <c r="R214" s="4">
        <v>0</v>
      </c>
      <c r="S214" s="4">
        <v>0</v>
      </c>
      <c r="T214" s="4">
        <v>0</v>
      </c>
      <c r="U214" s="4">
        <v>0</v>
      </c>
      <c r="V214" s="4">
        <v>0</v>
      </c>
      <c r="W214" s="4">
        <v>0</v>
      </c>
      <c r="X214" s="4">
        <v>0</v>
      </c>
      <c r="Y214" s="4">
        <v>0</v>
      </c>
      <c r="Z214" s="4">
        <f t="shared" si="20"/>
        <v>7.1892556179775274E-2</v>
      </c>
      <c r="AA214" s="4">
        <f t="shared" si="21"/>
        <v>7.1892556179775274E-2</v>
      </c>
      <c r="AB214" s="4">
        <f t="shared" si="22"/>
        <v>0</v>
      </c>
      <c r="AC214" s="4">
        <f t="shared" si="23"/>
        <v>0</v>
      </c>
      <c r="AD214" s="4">
        <f t="shared" si="24"/>
        <v>0</v>
      </c>
    </row>
    <row r="215" spans="1:31" x14ac:dyDescent="0.25">
      <c r="A215" s="40">
        <v>42816</v>
      </c>
      <c r="B215" s="39">
        <v>0.39583333333333331</v>
      </c>
      <c r="C215" s="40">
        <v>42817</v>
      </c>
      <c r="D215" s="39">
        <v>0.42708333333333331</v>
      </c>
      <c r="E215" s="41">
        <v>24.75</v>
      </c>
      <c r="F215" s="42">
        <v>1.4</v>
      </c>
      <c r="G215" s="42">
        <v>1.6</v>
      </c>
      <c r="H215" s="4">
        <v>1825</v>
      </c>
      <c r="I215" s="4">
        <v>912</v>
      </c>
      <c r="J215" s="41">
        <f xml:space="preserve"> (((H215/F215)+(I215/G215))/60)</f>
        <v>31.226190476190478</v>
      </c>
      <c r="K215" s="4">
        <v>23200</v>
      </c>
      <c r="L215" s="4">
        <v>56</v>
      </c>
      <c r="M215" s="43">
        <v>47.25</v>
      </c>
      <c r="N215" s="4">
        <v>50</v>
      </c>
      <c r="O215" s="4">
        <v>74</v>
      </c>
      <c r="P215" s="4">
        <f>3+3</f>
        <v>6</v>
      </c>
      <c r="Q215" s="4">
        <v>1</v>
      </c>
      <c r="R215" s="4">
        <v>0</v>
      </c>
      <c r="S215" s="4">
        <v>0</v>
      </c>
      <c r="T215" s="4">
        <v>0</v>
      </c>
      <c r="U215" s="4">
        <v>0</v>
      </c>
      <c r="V215" s="4">
        <v>0</v>
      </c>
      <c r="W215" s="4">
        <v>0</v>
      </c>
      <c r="X215" s="44">
        <v>0</v>
      </c>
      <c r="Y215" s="44">
        <v>0</v>
      </c>
      <c r="Z215" s="4">
        <f t="shared" si="20"/>
        <v>0.19214639725505145</v>
      </c>
      <c r="AA215" s="4">
        <f t="shared" si="21"/>
        <v>3.2024399542508575E-2</v>
      </c>
      <c r="AB215" s="4">
        <f t="shared" si="22"/>
        <v>0</v>
      </c>
      <c r="AC215" s="4">
        <f t="shared" si="23"/>
        <v>0</v>
      </c>
      <c r="AD215" s="4">
        <f t="shared" si="24"/>
        <v>0</v>
      </c>
    </row>
    <row r="216" spans="1:31" x14ac:dyDescent="0.25">
      <c r="A216" s="38">
        <v>42817</v>
      </c>
      <c r="B216" s="39">
        <v>0.42708333333333331</v>
      </c>
      <c r="C216" s="40">
        <v>42818</v>
      </c>
      <c r="D216" s="39">
        <v>0.5</v>
      </c>
      <c r="E216" s="41">
        <v>25.75</v>
      </c>
      <c r="F216" s="42">
        <v>1.9</v>
      </c>
      <c r="G216" s="42">
        <v>1.7</v>
      </c>
      <c r="I216" s="4">
        <v>2750</v>
      </c>
      <c r="J216" s="41">
        <f xml:space="preserve"> (I216/G216)/60</f>
        <v>26.96078431372549</v>
      </c>
      <c r="K216" s="4">
        <v>24000</v>
      </c>
      <c r="L216" s="4">
        <v>54</v>
      </c>
      <c r="M216" s="43">
        <v>87.1</v>
      </c>
      <c r="N216" s="4">
        <v>44</v>
      </c>
      <c r="O216" s="4">
        <v>78</v>
      </c>
      <c r="P216" s="4">
        <v>2</v>
      </c>
      <c r="Q216" s="4">
        <v>6</v>
      </c>
      <c r="R216" s="4">
        <v>0</v>
      </c>
      <c r="S216" s="4">
        <v>0</v>
      </c>
      <c r="T216" s="4">
        <v>0</v>
      </c>
      <c r="U216" s="4">
        <v>0</v>
      </c>
      <c r="V216" s="4">
        <v>0</v>
      </c>
      <c r="W216" s="4">
        <v>0</v>
      </c>
      <c r="X216" s="44">
        <v>1</v>
      </c>
      <c r="Y216" s="44">
        <v>1</v>
      </c>
      <c r="Z216" s="4">
        <f t="shared" si="20"/>
        <v>7.4181818181818182E-2</v>
      </c>
      <c r="AA216" s="4">
        <f t="shared" si="21"/>
        <v>0.22254545454545455</v>
      </c>
      <c r="AB216" s="4">
        <f t="shared" si="22"/>
        <v>0</v>
      </c>
      <c r="AC216" s="4">
        <f t="shared" si="23"/>
        <v>0</v>
      </c>
      <c r="AD216" s="4">
        <f t="shared" si="24"/>
        <v>3.7090909090909091E-2</v>
      </c>
    </row>
    <row r="217" spans="1:31" x14ac:dyDescent="0.25">
      <c r="A217" s="38">
        <v>42818</v>
      </c>
      <c r="B217" s="39">
        <v>0.53125</v>
      </c>
      <c r="C217" s="40">
        <v>42819</v>
      </c>
      <c r="D217" s="39">
        <v>0.42708333333333331</v>
      </c>
      <c r="E217" s="41">
        <v>21.5</v>
      </c>
      <c r="F217" s="42">
        <v>1.9</v>
      </c>
      <c r="G217" s="42">
        <v>1.3</v>
      </c>
      <c r="I217" s="4">
        <v>2221</v>
      </c>
      <c r="J217" s="41">
        <f xml:space="preserve"> (I217/G217)/60</f>
        <v>28.474358974358971</v>
      </c>
      <c r="K217" s="4">
        <v>23700</v>
      </c>
      <c r="L217" s="4">
        <v>58</v>
      </c>
      <c r="M217" s="43">
        <v>80.75</v>
      </c>
      <c r="N217" s="4">
        <v>32</v>
      </c>
      <c r="O217" s="4">
        <v>99</v>
      </c>
      <c r="P217" s="4">
        <v>13</v>
      </c>
      <c r="Q217" s="4">
        <v>16</v>
      </c>
      <c r="R217" s="4">
        <v>1</v>
      </c>
      <c r="S217" s="4">
        <v>0</v>
      </c>
      <c r="T217" s="4">
        <v>2</v>
      </c>
      <c r="U217" s="4">
        <v>0</v>
      </c>
      <c r="V217" s="4">
        <v>0</v>
      </c>
      <c r="W217" s="4">
        <v>0</v>
      </c>
      <c r="X217" s="44">
        <v>0</v>
      </c>
      <c r="Y217" s="44">
        <v>0</v>
      </c>
      <c r="Z217" s="4">
        <f t="shared" si="20"/>
        <v>0.45655110310670877</v>
      </c>
      <c r="AA217" s="4">
        <f t="shared" si="21"/>
        <v>0.5619090499774877</v>
      </c>
      <c r="AB217" s="4">
        <f t="shared" si="22"/>
        <v>3.5119315623592981E-2</v>
      </c>
      <c r="AC217" s="4">
        <f t="shared" si="23"/>
        <v>0</v>
      </c>
      <c r="AD217" s="4">
        <f t="shared" si="24"/>
        <v>0</v>
      </c>
    </row>
    <row r="218" spans="1:31" x14ac:dyDescent="0.25">
      <c r="A218" s="38">
        <v>42819</v>
      </c>
      <c r="B218" s="39">
        <v>0.42708333333333331</v>
      </c>
      <c r="C218" s="40">
        <v>42820</v>
      </c>
      <c r="D218" s="39">
        <v>0.38541666666666669</v>
      </c>
      <c r="E218" s="48">
        <v>23</v>
      </c>
      <c r="F218" s="49">
        <v>1.9</v>
      </c>
      <c r="G218" s="49">
        <v>2.6</v>
      </c>
      <c r="H218" s="50">
        <v>1265</v>
      </c>
      <c r="I218" s="4">
        <v>2990</v>
      </c>
      <c r="J218" s="41">
        <f xml:space="preserve"> (((H218/F218)+(I218/G218))/60)</f>
        <v>30.263157894736839</v>
      </c>
      <c r="K218" s="4">
        <v>25600</v>
      </c>
      <c r="L218" s="4">
        <v>52</v>
      </c>
      <c r="M218" s="43">
        <v>56.6</v>
      </c>
      <c r="N218" s="4">
        <v>38</v>
      </c>
      <c r="O218" s="4">
        <v>92</v>
      </c>
      <c r="P218" s="4">
        <v>19</v>
      </c>
      <c r="Q218" s="4">
        <v>25</v>
      </c>
      <c r="R218" s="4">
        <v>0</v>
      </c>
      <c r="S218" s="4">
        <v>0</v>
      </c>
      <c r="T218" s="4">
        <v>1</v>
      </c>
      <c r="U218" s="4">
        <v>0</v>
      </c>
      <c r="V218" s="4">
        <v>4</v>
      </c>
      <c r="W218" s="4">
        <v>0</v>
      </c>
      <c r="X218" s="44">
        <v>0</v>
      </c>
      <c r="Y218" s="44">
        <v>0</v>
      </c>
      <c r="Z218" s="4">
        <f t="shared" si="20"/>
        <v>0.62782608695652176</v>
      </c>
      <c r="AA218" s="4">
        <f t="shared" si="21"/>
        <v>0.82608695652173925</v>
      </c>
      <c r="AB218" s="4">
        <f t="shared" si="22"/>
        <v>0</v>
      </c>
      <c r="AC218" s="4">
        <f t="shared" si="23"/>
        <v>0</v>
      </c>
      <c r="AD218" s="4">
        <f t="shared" si="24"/>
        <v>0</v>
      </c>
    </row>
    <row r="219" spans="1:31" x14ac:dyDescent="0.25">
      <c r="A219" s="40">
        <v>42820</v>
      </c>
      <c r="B219" s="39">
        <v>0.38541666666666669</v>
      </c>
      <c r="C219" s="40">
        <v>42821</v>
      </c>
      <c r="D219" s="39">
        <v>0.48958333333333331</v>
      </c>
      <c r="E219" s="48">
        <v>25.5</v>
      </c>
      <c r="F219" s="49">
        <v>1.7</v>
      </c>
      <c r="G219" s="49">
        <v>2.7</v>
      </c>
      <c r="H219" s="50">
        <f>49218.4-48975.9</f>
        <v>242.5</v>
      </c>
      <c r="I219" s="4">
        <v>2931</v>
      </c>
      <c r="J219" s="41">
        <f xml:space="preserve"> (((H219/F219)+(I219/G219))/60)</f>
        <v>20.47004357298475</v>
      </c>
      <c r="K219" s="4">
        <v>25000</v>
      </c>
      <c r="L219" s="4">
        <v>54</v>
      </c>
      <c r="M219" s="43">
        <v>91.4</v>
      </c>
      <c r="N219" s="4">
        <v>38</v>
      </c>
      <c r="O219" s="4">
        <v>94</v>
      </c>
      <c r="P219" s="4">
        <f>6+18</f>
        <v>24</v>
      </c>
      <c r="Q219" s="4">
        <f>9+28</f>
        <v>37</v>
      </c>
      <c r="R219" s="4">
        <v>1</v>
      </c>
      <c r="S219" s="4">
        <v>0</v>
      </c>
      <c r="T219" s="4">
        <f>2+1</f>
        <v>3</v>
      </c>
      <c r="U219" s="4">
        <f>1+5</f>
        <v>6</v>
      </c>
      <c r="V219" s="4">
        <v>1</v>
      </c>
      <c r="W219" s="4">
        <v>0</v>
      </c>
      <c r="X219" s="44">
        <v>0</v>
      </c>
      <c r="Y219" s="44">
        <v>1</v>
      </c>
      <c r="Z219" s="4">
        <f t="shared" si="20"/>
        <v>1.1724449884256178</v>
      </c>
      <c r="AA219" s="4">
        <f t="shared" si="21"/>
        <v>1.807519357156161</v>
      </c>
      <c r="AB219" s="4">
        <f t="shared" si="22"/>
        <v>4.8851874517734081E-2</v>
      </c>
      <c r="AC219" s="4">
        <f t="shared" si="23"/>
        <v>0</v>
      </c>
      <c r="AD219" s="4">
        <f t="shared" si="24"/>
        <v>0</v>
      </c>
      <c r="AE219" s="4" t="s">
        <v>46</v>
      </c>
    </row>
    <row r="220" spans="1:31" x14ac:dyDescent="0.25">
      <c r="A220" s="40">
        <v>42821</v>
      </c>
      <c r="B220" s="39">
        <v>0.48958333333333331</v>
      </c>
      <c r="C220" s="40">
        <v>42821</v>
      </c>
      <c r="D220" s="39">
        <v>0.19791666666666666</v>
      </c>
      <c r="E220" s="48">
        <v>5</v>
      </c>
      <c r="F220" s="49"/>
      <c r="G220" s="49"/>
      <c r="H220" s="49"/>
      <c r="I220" s="4">
        <v>754</v>
      </c>
      <c r="J220" s="41">
        <v>5</v>
      </c>
      <c r="K220" s="4">
        <v>24800</v>
      </c>
      <c r="L220" s="4">
        <v>54</v>
      </c>
      <c r="M220" s="43">
        <v>91.4</v>
      </c>
      <c r="N220" s="4">
        <v>39</v>
      </c>
      <c r="O220" s="4">
        <v>90</v>
      </c>
      <c r="P220" s="4">
        <v>49</v>
      </c>
      <c r="Q220" s="4">
        <v>23</v>
      </c>
      <c r="R220" s="4">
        <v>0</v>
      </c>
      <c r="S220" s="4">
        <v>0</v>
      </c>
      <c r="T220" s="4">
        <v>5</v>
      </c>
      <c r="U220" s="4">
        <v>5</v>
      </c>
      <c r="V220" s="4">
        <v>1</v>
      </c>
      <c r="W220" s="4">
        <v>0</v>
      </c>
      <c r="X220" s="44">
        <v>0</v>
      </c>
      <c r="Y220" s="44">
        <v>0</v>
      </c>
      <c r="Z220" s="4">
        <f t="shared" si="20"/>
        <v>9.8000000000000007</v>
      </c>
      <c r="AA220" s="4">
        <f t="shared" si="21"/>
        <v>4.5999999999999996</v>
      </c>
      <c r="AB220" s="4">
        <f t="shared" si="22"/>
        <v>0</v>
      </c>
      <c r="AC220" s="4">
        <f t="shared" si="23"/>
        <v>0</v>
      </c>
      <c r="AD220" s="4">
        <f t="shared" si="24"/>
        <v>0</v>
      </c>
      <c r="AE220" s="4" t="s">
        <v>47</v>
      </c>
    </row>
    <row r="221" spans="1:31" x14ac:dyDescent="0.25">
      <c r="A221" s="38">
        <v>42822</v>
      </c>
      <c r="B221" s="39">
        <v>0.46875</v>
      </c>
      <c r="C221" s="40">
        <v>42823</v>
      </c>
      <c r="D221" s="39">
        <v>0.45833333333333331</v>
      </c>
      <c r="E221" s="48">
        <v>23.75</v>
      </c>
      <c r="F221" s="49">
        <v>2.4</v>
      </c>
      <c r="G221" s="49">
        <v>2.5</v>
      </c>
      <c r="H221" s="50">
        <v>1798</v>
      </c>
      <c r="I221" s="4">
        <v>6311</v>
      </c>
      <c r="J221" s="41">
        <f t="shared" ref="J221:J284" si="25" xml:space="preserve"> (((H221/F221)+(I221/G221))/60)</f>
        <v>54.559444444444445</v>
      </c>
      <c r="K221" s="4">
        <v>24200</v>
      </c>
      <c r="L221" s="4">
        <v>54</v>
      </c>
      <c r="M221" s="43">
        <v>50.15</v>
      </c>
      <c r="N221" s="4">
        <v>36</v>
      </c>
      <c r="O221" s="4">
        <v>99</v>
      </c>
      <c r="P221" s="4">
        <f>38+99</f>
        <v>137</v>
      </c>
      <c r="Q221" s="4">
        <f>37+85</f>
        <v>122</v>
      </c>
      <c r="R221" s="4">
        <f>1</f>
        <v>1</v>
      </c>
      <c r="S221" s="4">
        <v>0</v>
      </c>
      <c r="T221" s="4">
        <f>7+12</f>
        <v>19</v>
      </c>
      <c r="U221" s="4">
        <v>21</v>
      </c>
      <c r="V221" s="4">
        <v>0</v>
      </c>
      <c r="W221" s="4">
        <v>0</v>
      </c>
      <c r="X221" s="44">
        <v>0</v>
      </c>
      <c r="Y221" s="44">
        <v>0</v>
      </c>
      <c r="Z221" s="4">
        <f t="shared" si="20"/>
        <v>2.5110226358609875</v>
      </c>
      <c r="AA221" s="4">
        <f t="shared" si="21"/>
        <v>2.2360931501827772</v>
      </c>
      <c r="AB221" s="4">
        <f t="shared" si="22"/>
        <v>1.8328632378547354E-2</v>
      </c>
      <c r="AC221" s="4">
        <f t="shared" si="23"/>
        <v>0</v>
      </c>
      <c r="AD221" s="4">
        <f t="shared" si="24"/>
        <v>0</v>
      </c>
      <c r="AE221" s="50"/>
    </row>
    <row r="222" spans="1:31" x14ac:dyDescent="0.25">
      <c r="A222" s="57">
        <v>42823</v>
      </c>
      <c r="B222" s="58">
        <v>0.45833333333333331</v>
      </c>
      <c r="C222" s="57">
        <v>42824</v>
      </c>
      <c r="D222" s="58">
        <v>0.46875</v>
      </c>
      <c r="E222" s="59">
        <v>24.25</v>
      </c>
      <c r="F222" s="60">
        <v>2.4</v>
      </c>
      <c r="G222" s="60">
        <v>2.6</v>
      </c>
      <c r="H222" s="61">
        <v>578</v>
      </c>
      <c r="I222" s="61">
        <v>3672</v>
      </c>
      <c r="J222" s="59">
        <f t="shared" si="25"/>
        <v>27.552350427350422</v>
      </c>
      <c r="K222" s="61">
        <v>23500</v>
      </c>
      <c r="L222" s="61">
        <v>54</v>
      </c>
      <c r="M222" s="62">
        <v>48.55</v>
      </c>
      <c r="N222" s="61">
        <v>39</v>
      </c>
      <c r="O222" s="61">
        <v>91</v>
      </c>
      <c r="P222" s="61">
        <f>2+28</f>
        <v>30</v>
      </c>
      <c r="Q222" s="61">
        <f>2+97</f>
        <v>99</v>
      </c>
      <c r="R222" s="61">
        <v>0</v>
      </c>
      <c r="S222" s="61">
        <v>0</v>
      </c>
      <c r="T222" s="61">
        <f>2</f>
        <v>2</v>
      </c>
      <c r="U222" s="61">
        <f>13+1</f>
        <v>14</v>
      </c>
      <c r="V222" s="61">
        <v>0</v>
      </c>
      <c r="W222" s="61">
        <v>0</v>
      </c>
      <c r="X222" s="63">
        <v>0</v>
      </c>
      <c r="Y222" s="63">
        <v>1</v>
      </c>
      <c r="Z222" s="61">
        <f t="shared" si="20"/>
        <v>1.0888363255651636</v>
      </c>
      <c r="AA222" s="61">
        <f t="shared" si="21"/>
        <v>3.5931598743650399</v>
      </c>
      <c r="AB222" s="61">
        <f t="shared" si="22"/>
        <v>0</v>
      </c>
      <c r="AC222" s="61">
        <f t="shared" si="23"/>
        <v>0</v>
      </c>
      <c r="AD222" s="61">
        <f t="shared" si="24"/>
        <v>0</v>
      </c>
      <c r="AE222" s="61" t="s">
        <v>48</v>
      </c>
    </row>
    <row r="223" spans="1:31" x14ac:dyDescent="0.25">
      <c r="A223" s="57">
        <v>42824</v>
      </c>
      <c r="B223" s="58">
        <v>0.46875</v>
      </c>
      <c r="C223" s="57">
        <v>42825</v>
      </c>
      <c r="D223" s="58">
        <v>0.45833333333333331</v>
      </c>
      <c r="E223" s="59">
        <v>22.75</v>
      </c>
      <c r="F223" s="60">
        <v>2.7</v>
      </c>
      <c r="G223" s="60">
        <v>2.8</v>
      </c>
      <c r="H223" s="61">
        <v>3965</v>
      </c>
      <c r="I223" s="61">
        <v>4087</v>
      </c>
      <c r="J223" s="59">
        <f t="shared" si="25"/>
        <v>48.802689594356266</v>
      </c>
      <c r="K223" s="61">
        <v>23100</v>
      </c>
      <c r="L223" s="61">
        <v>55</v>
      </c>
      <c r="M223" s="62">
        <v>39.5</v>
      </c>
      <c r="N223" s="61">
        <v>52</v>
      </c>
      <c r="O223" s="61">
        <v>82</v>
      </c>
      <c r="P223" s="61">
        <f>28+141</f>
        <v>169</v>
      </c>
      <c r="Q223" s="61">
        <f>30+94</f>
        <v>124</v>
      </c>
      <c r="R223" s="61">
        <v>0</v>
      </c>
      <c r="S223" s="61">
        <v>0</v>
      </c>
      <c r="T223" s="61">
        <f>5+21</f>
        <v>26</v>
      </c>
      <c r="U223" s="61">
        <f>7+21</f>
        <v>28</v>
      </c>
      <c r="V223" s="61">
        <v>0</v>
      </c>
      <c r="W223" s="61">
        <v>0</v>
      </c>
      <c r="X223" s="63">
        <v>0</v>
      </c>
      <c r="Y223" s="63">
        <v>1</v>
      </c>
      <c r="Z223" s="61">
        <f t="shared" si="20"/>
        <v>3.4629238962998428</v>
      </c>
      <c r="AA223" s="61">
        <f t="shared" si="21"/>
        <v>2.5408435688827251</v>
      </c>
      <c r="AB223" s="61">
        <f t="shared" si="22"/>
        <v>0</v>
      </c>
      <c r="AC223" s="61">
        <f t="shared" si="23"/>
        <v>0</v>
      </c>
      <c r="AD223" s="61">
        <f t="shared" si="24"/>
        <v>0</v>
      </c>
      <c r="AE223" s="61" t="s">
        <v>48</v>
      </c>
    </row>
    <row r="224" spans="1:31" x14ac:dyDescent="0.25">
      <c r="A224" s="57">
        <v>42825</v>
      </c>
      <c r="B224" s="58">
        <v>0.45833333333333331</v>
      </c>
      <c r="C224" s="57">
        <v>42826</v>
      </c>
      <c r="D224" s="58">
        <v>0.4375</v>
      </c>
      <c r="E224" s="59">
        <v>24.5</v>
      </c>
      <c r="F224" s="60">
        <v>3</v>
      </c>
      <c r="G224" s="60">
        <v>2.8</v>
      </c>
      <c r="H224" s="61">
        <v>1539</v>
      </c>
      <c r="I224" s="61">
        <v>1425</v>
      </c>
      <c r="J224" s="59">
        <f t="shared" si="25"/>
        <v>17.032142857142858</v>
      </c>
      <c r="K224" s="61">
        <v>23000</v>
      </c>
      <c r="L224" s="61">
        <v>56</v>
      </c>
      <c r="M224" s="62">
        <v>44.6</v>
      </c>
      <c r="N224" s="61">
        <v>40</v>
      </c>
      <c r="O224" s="61">
        <v>79</v>
      </c>
      <c r="P224" s="61">
        <f>6+10</f>
        <v>16</v>
      </c>
      <c r="Q224" s="61">
        <f>5+7</f>
        <v>12</v>
      </c>
      <c r="R224" s="61">
        <v>0</v>
      </c>
      <c r="S224" s="61">
        <v>0</v>
      </c>
      <c r="T224" s="61">
        <f>1+3</f>
        <v>4</v>
      </c>
      <c r="U224" s="61">
        <f>4+1</f>
        <v>5</v>
      </c>
      <c r="V224" s="61">
        <v>0</v>
      </c>
      <c r="W224" s="61">
        <v>0</v>
      </c>
      <c r="X224" s="63">
        <v>0</v>
      </c>
      <c r="Y224" s="63">
        <v>0</v>
      </c>
      <c r="Z224" s="61">
        <f t="shared" si="20"/>
        <v>0.93940029356259169</v>
      </c>
      <c r="AA224" s="61">
        <f t="shared" si="21"/>
        <v>0.7045502201719438</v>
      </c>
      <c r="AB224" s="61">
        <f t="shared" si="22"/>
        <v>0</v>
      </c>
      <c r="AC224" s="61">
        <f t="shared" si="23"/>
        <v>0</v>
      </c>
      <c r="AD224" s="61">
        <f t="shared" si="24"/>
        <v>0</v>
      </c>
      <c r="AE224" s="61" t="s">
        <v>48</v>
      </c>
    </row>
    <row r="225" spans="1:31" x14ac:dyDescent="0.25">
      <c r="A225" s="40">
        <v>42826</v>
      </c>
      <c r="B225" s="39">
        <v>0.4375</v>
      </c>
      <c r="C225" s="40">
        <v>42827</v>
      </c>
      <c r="D225" s="39">
        <v>0.38541666666666669</v>
      </c>
      <c r="E225" s="48">
        <v>22.75</v>
      </c>
      <c r="F225" s="49">
        <v>2.2000000000000002</v>
      </c>
      <c r="G225" s="49">
        <v>2.7</v>
      </c>
      <c r="H225" s="50">
        <v>2802</v>
      </c>
      <c r="I225" s="4">
        <v>3637</v>
      </c>
      <c r="J225" s="41">
        <f t="shared" si="25"/>
        <v>43.67789001122334</v>
      </c>
      <c r="K225" s="4">
        <v>22500</v>
      </c>
      <c r="L225" s="4">
        <v>56</v>
      </c>
      <c r="M225" s="43">
        <v>42.2</v>
      </c>
      <c r="N225" s="4">
        <v>64</v>
      </c>
      <c r="O225" s="4">
        <v>82</v>
      </c>
      <c r="P225" s="4">
        <f>7+7</f>
        <v>14</v>
      </c>
      <c r="Q225" s="4">
        <f>8+8</f>
        <v>16</v>
      </c>
      <c r="R225" s="4">
        <v>0</v>
      </c>
      <c r="S225" s="4">
        <v>0</v>
      </c>
      <c r="T225" s="4">
        <f>1+1</f>
        <v>2</v>
      </c>
      <c r="U225" s="4">
        <v>0</v>
      </c>
      <c r="V225" s="4">
        <v>0</v>
      </c>
      <c r="W225" s="4">
        <v>0</v>
      </c>
      <c r="X225" s="44">
        <v>0</v>
      </c>
      <c r="Y225" s="44">
        <v>0</v>
      </c>
      <c r="Z225" s="4">
        <f t="shared" si="20"/>
        <v>0.32052830382609143</v>
      </c>
      <c r="AA225" s="4">
        <f t="shared" si="21"/>
        <v>0.36631806151553309</v>
      </c>
      <c r="AB225" s="4">
        <f t="shared" si="22"/>
        <v>0</v>
      </c>
      <c r="AC225" s="4">
        <f t="shared" si="23"/>
        <v>0</v>
      </c>
      <c r="AD225" s="4">
        <f t="shared" si="24"/>
        <v>0</v>
      </c>
      <c r="AE225" s="4" t="s">
        <v>49</v>
      </c>
    </row>
    <row r="226" spans="1:31" x14ac:dyDescent="0.25">
      <c r="A226" s="40">
        <v>42827</v>
      </c>
      <c r="B226" s="39">
        <v>0.38541666666666669</v>
      </c>
      <c r="C226" s="40">
        <v>42828</v>
      </c>
      <c r="D226" s="39">
        <v>0.42708333333333331</v>
      </c>
      <c r="E226" s="48">
        <v>25</v>
      </c>
      <c r="F226" s="49">
        <v>2.8</v>
      </c>
      <c r="G226" s="49">
        <v>2.9</v>
      </c>
      <c r="H226" s="50">
        <v>4040</v>
      </c>
      <c r="I226" s="4">
        <v>1144</v>
      </c>
      <c r="J226" s="41">
        <f t="shared" si="25"/>
        <v>30.622331691297209</v>
      </c>
      <c r="K226" s="4">
        <v>21700</v>
      </c>
      <c r="L226" s="4">
        <v>56</v>
      </c>
      <c r="M226" s="43">
        <v>41.1</v>
      </c>
      <c r="N226" s="4">
        <v>37</v>
      </c>
      <c r="O226" s="4">
        <v>89</v>
      </c>
      <c r="P226" s="4">
        <v>53</v>
      </c>
      <c r="Q226" s="4">
        <f>27+4</f>
        <v>31</v>
      </c>
      <c r="R226" s="4">
        <v>0</v>
      </c>
      <c r="S226" s="4">
        <v>0</v>
      </c>
      <c r="T226" s="4">
        <v>11</v>
      </c>
      <c r="U226" s="4">
        <v>11</v>
      </c>
      <c r="V226" s="4">
        <v>0</v>
      </c>
      <c r="W226" s="4">
        <v>0</v>
      </c>
      <c r="X226" s="44">
        <v>1</v>
      </c>
      <c r="Y226" s="44">
        <v>0</v>
      </c>
      <c r="Z226" s="4">
        <f t="shared" si="20"/>
        <v>1.7307630435948309</v>
      </c>
      <c r="AA226" s="4">
        <f t="shared" si="21"/>
        <v>1.0123331009705614</v>
      </c>
      <c r="AB226" s="4">
        <f t="shared" si="22"/>
        <v>0</v>
      </c>
      <c r="AC226" s="4">
        <f t="shared" si="23"/>
        <v>0</v>
      </c>
      <c r="AD226" s="4">
        <f t="shared" si="24"/>
        <v>3.2655906482921333E-2</v>
      </c>
    </row>
    <row r="227" spans="1:31" x14ac:dyDescent="0.25">
      <c r="A227" s="40">
        <v>42828</v>
      </c>
      <c r="B227" s="39">
        <v>0.42708333333333331</v>
      </c>
      <c r="C227" s="40">
        <v>42829</v>
      </c>
      <c r="D227" s="39">
        <v>0.44791666666666669</v>
      </c>
      <c r="E227" s="41">
        <v>24.5</v>
      </c>
      <c r="F227" s="42">
        <v>3.1</v>
      </c>
      <c r="G227" s="42">
        <v>3.3</v>
      </c>
      <c r="H227" s="4">
        <v>4109</v>
      </c>
      <c r="I227" s="4">
        <v>716</v>
      </c>
      <c r="J227" s="41">
        <f t="shared" si="25"/>
        <v>25.707559465623984</v>
      </c>
      <c r="K227" s="4">
        <v>20900</v>
      </c>
      <c r="L227" s="4">
        <v>58</v>
      </c>
      <c r="M227" s="43">
        <v>35.5</v>
      </c>
      <c r="N227" s="4">
        <v>56</v>
      </c>
      <c r="O227" s="4">
        <v>83</v>
      </c>
      <c r="P227" s="4">
        <f>8+1</f>
        <v>9</v>
      </c>
      <c r="Q227" s="4">
        <f>19+1</f>
        <v>20</v>
      </c>
      <c r="R227" s="4">
        <v>0</v>
      </c>
      <c r="S227" s="4">
        <v>0</v>
      </c>
      <c r="T227" s="4">
        <v>2</v>
      </c>
      <c r="U227" s="4">
        <v>2</v>
      </c>
      <c r="V227" s="4">
        <v>0</v>
      </c>
      <c r="W227" s="4">
        <v>0</v>
      </c>
      <c r="X227" s="4">
        <v>0</v>
      </c>
      <c r="Y227" s="4">
        <v>0</v>
      </c>
      <c r="Z227" s="4">
        <f t="shared" si="20"/>
        <v>0.35009157567192456</v>
      </c>
      <c r="AA227" s="4">
        <f t="shared" si="21"/>
        <v>0.77798127927094352</v>
      </c>
      <c r="AB227" s="4">
        <f t="shared" si="22"/>
        <v>0</v>
      </c>
      <c r="AC227" s="4">
        <f t="shared" si="23"/>
        <v>0</v>
      </c>
      <c r="AD227" s="4">
        <f t="shared" si="24"/>
        <v>0</v>
      </c>
    </row>
    <row r="228" spans="1:31" x14ac:dyDescent="0.25">
      <c r="A228" s="40">
        <v>42829</v>
      </c>
      <c r="B228" s="39">
        <v>0.44791666666666669</v>
      </c>
      <c r="C228" s="40">
        <v>42830</v>
      </c>
      <c r="D228" s="39">
        <v>0.39583333333333331</v>
      </c>
      <c r="E228" s="41">
        <v>22.75</v>
      </c>
      <c r="F228" s="42">
        <v>3.1</v>
      </c>
      <c r="G228" s="42">
        <v>2.8</v>
      </c>
      <c r="H228" s="4">
        <v>1471</v>
      </c>
      <c r="I228" s="4">
        <v>4143</v>
      </c>
      <c r="J228" s="41">
        <f t="shared" si="25"/>
        <v>32.569316436251924</v>
      </c>
      <c r="K228" s="4">
        <v>20200</v>
      </c>
      <c r="L228" s="4">
        <v>58</v>
      </c>
      <c r="M228" s="43">
        <v>32.9</v>
      </c>
      <c r="N228" s="4">
        <v>50</v>
      </c>
      <c r="O228" s="4">
        <v>83</v>
      </c>
      <c r="P228" s="4">
        <f>6+9</f>
        <v>15</v>
      </c>
      <c r="Q228" s="4">
        <f>4+10</f>
        <v>14</v>
      </c>
      <c r="R228" s="4">
        <v>0</v>
      </c>
      <c r="S228" s="4">
        <v>0</v>
      </c>
      <c r="T228" s="4">
        <v>0</v>
      </c>
      <c r="U228" s="4">
        <v>0</v>
      </c>
      <c r="V228" s="4">
        <v>0</v>
      </c>
      <c r="W228" s="4">
        <v>0</v>
      </c>
      <c r="X228" s="44">
        <v>0</v>
      </c>
      <c r="Y228" s="44">
        <v>0</v>
      </c>
      <c r="Z228" s="4">
        <f t="shared" si="20"/>
        <v>0.46055618113323227</v>
      </c>
      <c r="AA228" s="4">
        <f t="shared" si="21"/>
        <v>0.42985243572435011</v>
      </c>
      <c r="AB228" s="4">
        <f t="shared" si="22"/>
        <v>0</v>
      </c>
      <c r="AC228" s="4">
        <f t="shared" si="23"/>
        <v>0</v>
      </c>
      <c r="AD228" s="4">
        <f t="shared" si="24"/>
        <v>0</v>
      </c>
    </row>
    <row r="229" spans="1:31" x14ac:dyDescent="0.25">
      <c r="A229" s="40">
        <v>42830</v>
      </c>
      <c r="B229" s="39">
        <v>0.39583333333333331</v>
      </c>
      <c r="C229" s="40">
        <v>42831</v>
      </c>
      <c r="D229" s="39">
        <v>0.45833333333333331</v>
      </c>
      <c r="E229" s="41">
        <v>25.5</v>
      </c>
      <c r="F229" s="42">
        <v>2.8</v>
      </c>
      <c r="G229" s="42">
        <v>3</v>
      </c>
      <c r="H229" s="4">
        <v>4150</v>
      </c>
      <c r="I229" s="4">
        <v>4565</v>
      </c>
      <c r="J229" s="41">
        <f t="shared" si="25"/>
        <v>50.063492063492063</v>
      </c>
      <c r="K229" s="4">
        <v>19700</v>
      </c>
      <c r="L229" s="4">
        <v>58</v>
      </c>
      <c r="M229" s="43">
        <v>34.75</v>
      </c>
      <c r="N229" s="4">
        <v>60</v>
      </c>
      <c r="O229" s="4">
        <v>86</v>
      </c>
      <c r="P229" s="4">
        <f>6+14</f>
        <v>20</v>
      </c>
      <c r="Q229" s="4">
        <f>3+8</f>
        <v>11</v>
      </c>
      <c r="R229" s="4">
        <v>0</v>
      </c>
      <c r="S229" s="4">
        <v>0</v>
      </c>
      <c r="T229" s="4">
        <f>2+2</f>
        <v>4</v>
      </c>
      <c r="U229" s="4">
        <v>2</v>
      </c>
      <c r="V229" s="4">
        <v>0</v>
      </c>
      <c r="W229" s="4">
        <v>0</v>
      </c>
      <c r="X229" s="44">
        <v>0</v>
      </c>
      <c r="Y229" s="44">
        <v>0</v>
      </c>
      <c r="Z229" s="4">
        <f t="shared" si="20"/>
        <v>0.39949270767279643</v>
      </c>
      <c r="AA229" s="4">
        <f t="shared" si="21"/>
        <v>0.21972098922003805</v>
      </c>
      <c r="AB229" s="4">
        <f t="shared" si="22"/>
        <v>0</v>
      </c>
      <c r="AC229" s="4">
        <f t="shared" si="23"/>
        <v>0</v>
      </c>
      <c r="AD229" s="4">
        <f t="shared" si="24"/>
        <v>0</v>
      </c>
    </row>
    <row r="230" spans="1:31" x14ac:dyDescent="0.25">
      <c r="A230" s="40">
        <v>42831</v>
      </c>
      <c r="B230" s="39">
        <v>0.45833333333333331</v>
      </c>
      <c r="C230" s="40">
        <v>42832</v>
      </c>
      <c r="D230" s="39">
        <v>0.40625</v>
      </c>
      <c r="E230" s="41">
        <v>22.75</v>
      </c>
      <c r="F230" s="42">
        <v>2.5</v>
      </c>
      <c r="G230" s="42">
        <v>3</v>
      </c>
      <c r="H230" s="4">
        <v>3824</v>
      </c>
      <c r="I230" s="4">
        <v>1039</v>
      </c>
      <c r="J230" s="41">
        <f t="shared" si="25"/>
        <v>31.265555555555554</v>
      </c>
      <c r="K230" s="4">
        <v>19700</v>
      </c>
      <c r="L230" s="4">
        <v>57</v>
      </c>
      <c r="M230" s="43">
        <v>45.9</v>
      </c>
      <c r="N230" s="4">
        <v>75</v>
      </c>
      <c r="O230" s="4">
        <v>89</v>
      </c>
      <c r="P230" s="4">
        <v>1</v>
      </c>
      <c r="Q230" s="4">
        <v>14</v>
      </c>
      <c r="R230" s="4">
        <v>0</v>
      </c>
      <c r="S230" s="4">
        <v>0</v>
      </c>
      <c r="T230" s="4">
        <v>0</v>
      </c>
      <c r="U230" s="4">
        <v>3</v>
      </c>
      <c r="V230" s="4">
        <v>0</v>
      </c>
      <c r="W230" s="4">
        <v>0</v>
      </c>
      <c r="X230" s="44">
        <v>0</v>
      </c>
      <c r="Y230" s="44">
        <v>0</v>
      </c>
      <c r="Z230" s="4">
        <f t="shared" si="20"/>
        <v>3.1984079036213087E-2</v>
      </c>
      <c r="AA230" s="4">
        <f t="shared" si="21"/>
        <v>0.44777710650698321</v>
      </c>
      <c r="AB230" s="4">
        <f t="shared" si="22"/>
        <v>0</v>
      </c>
      <c r="AC230" s="4">
        <f t="shared" si="23"/>
        <v>0</v>
      </c>
      <c r="AD230" s="4">
        <f t="shared" si="24"/>
        <v>0</v>
      </c>
    </row>
    <row r="231" spans="1:31" x14ac:dyDescent="0.25">
      <c r="A231" s="40">
        <v>42832</v>
      </c>
      <c r="B231" s="39">
        <v>0.40625</v>
      </c>
      <c r="C231" s="40">
        <v>42833</v>
      </c>
      <c r="D231" s="39">
        <v>0.41666666666666669</v>
      </c>
      <c r="E231" s="41">
        <v>24.25</v>
      </c>
      <c r="F231" s="42">
        <v>2.5</v>
      </c>
      <c r="G231" s="42">
        <v>3</v>
      </c>
      <c r="H231" s="4">
        <v>2135</v>
      </c>
      <c r="I231" s="4">
        <v>4162</v>
      </c>
      <c r="J231" s="41">
        <f t="shared" si="25"/>
        <v>37.355555555555547</v>
      </c>
      <c r="K231" s="4">
        <v>24600</v>
      </c>
      <c r="L231" s="4">
        <v>55</v>
      </c>
      <c r="M231" s="43">
        <v>34.9</v>
      </c>
      <c r="N231" s="4">
        <v>75</v>
      </c>
      <c r="O231" s="4">
        <v>85</v>
      </c>
      <c r="P231" s="4">
        <v>2</v>
      </c>
      <c r="Q231" s="4">
        <v>10</v>
      </c>
      <c r="R231" s="4">
        <v>0</v>
      </c>
      <c r="S231" s="4">
        <v>0</v>
      </c>
      <c r="T231" s="4">
        <v>0</v>
      </c>
      <c r="U231" s="4">
        <v>2</v>
      </c>
      <c r="V231" s="4">
        <v>0</v>
      </c>
      <c r="W231" s="4">
        <v>0</v>
      </c>
      <c r="X231" s="44">
        <v>0</v>
      </c>
      <c r="Y231" s="44">
        <v>0</v>
      </c>
      <c r="Z231" s="4">
        <f t="shared" si="20"/>
        <v>5.3539559785841774E-2</v>
      </c>
      <c r="AA231" s="4">
        <f t="shared" si="21"/>
        <v>0.26769779892920886</v>
      </c>
      <c r="AB231" s="4">
        <f t="shared" si="22"/>
        <v>0</v>
      </c>
      <c r="AC231" s="4">
        <f t="shared" si="23"/>
        <v>0</v>
      </c>
      <c r="AD231" s="4">
        <f t="shared" si="24"/>
        <v>0</v>
      </c>
    </row>
    <row r="232" spans="1:31" x14ac:dyDescent="0.25">
      <c r="A232" s="57">
        <v>42833</v>
      </c>
      <c r="B232" s="58">
        <v>0.41666666666666669</v>
      </c>
      <c r="C232" s="57">
        <v>42834</v>
      </c>
      <c r="D232" s="58">
        <v>0.41666666666666669</v>
      </c>
      <c r="E232" s="59">
        <v>24</v>
      </c>
      <c r="F232" s="60">
        <v>2.8</v>
      </c>
      <c r="G232" s="60">
        <v>2.6</v>
      </c>
      <c r="H232" s="61">
        <v>377</v>
      </c>
      <c r="I232" s="61">
        <v>3865</v>
      </c>
      <c r="J232" s="59">
        <f t="shared" si="25"/>
        <v>27.019688644688642</v>
      </c>
      <c r="K232" s="61">
        <v>25500</v>
      </c>
      <c r="L232" s="61">
        <v>54</v>
      </c>
      <c r="M232" s="62">
        <v>73.3</v>
      </c>
      <c r="N232" s="61">
        <v>62</v>
      </c>
      <c r="O232" s="61">
        <v>88</v>
      </c>
      <c r="P232" s="61">
        <v>18</v>
      </c>
      <c r="Q232" s="61">
        <v>56</v>
      </c>
      <c r="R232" s="61">
        <v>0</v>
      </c>
      <c r="S232" s="61">
        <v>0</v>
      </c>
      <c r="T232" s="61">
        <v>8</v>
      </c>
      <c r="U232" s="61">
        <v>18</v>
      </c>
      <c r="V232" s="61">
        <v>0</v>
      </c>
      <c r="W232" s="61">
        <v>0</v>
      </c>
      <c r="X232" s="63">
        <v>0</v>
      </c>
      <c r="Y232" s="63">
        <v>0</v>
      </c>
      <c r="Z232" s="61">
        <f t="shared" si="20"/>
        <v>0.66618088153056221</v>
      </c>
      <c r="AA232" s="61">
        <f t="shared" si="21"/>
        <v>2.0725627425395268</v>
      </c>
      <c r="AB232" s="61">
        <f t="shared" si="22"/>
        <v>0</v>
      </c>
      <c r="AC232" s="61">
        <f t="shared" si="23"/>
        <v>0</v>
      </c>
      <c r="AD232" s="61">
        <f t="shared" si="24"/>
        <v>0</v>
      </c>
      <c r="AE232" s="61" t="s">
        <v>50</v>
      </c>
    </row>
    <row r="233" spans="1:31" x14ac:dyDescent="0.25">
      <c r="A233" s="57">
        <v>42834</v>
      </c>
      <c r="B233" s="58">
        <v>0.41666666666666669</v>
      </c>
      <c r="C233" s="57">
        <v>42835</v>
      </c>
      <c r="D233" s="58">
        <v>0.40625</v>
      </c>
      <c r="E233" s="59">
        <v>23.75</v>
      </c>
      <c r="F233" s="60">
        <v>1.7</v>
      </c>
      <c r="G233" s="60">
        <v>1.9</v>
      </c>
      <c r="H233" s="61">
        <v>2516</v>
      </c>
      <c r="I233" s="61">
        <v>2820</v>
      </c>
      <c r="J233" s="59">
        <f t="shared" si="25"/>
        <v>49.403508771929829</v>
      </c>
      <c r="K233" s="61">
        <v>24800</v>
      </c>
      <c r="L233" s="61">
        <v>54</v>
      </c>
      <c r="M233" s="62">
        <v>59.4</v>
      </c>
      <c r="N233" s="61">
        <v>39</v>
      </c>
      <c r="O233" s="61">
        <v>87</v>
      </c>
      <c r="P233" s="61">
        <f>19</f>
        <v>19</v>
      </c>
      <c r="Q233" s="61">
        <v>10</v>
      </c>
      <c r="R233" s="61">
        <v>0</v>
      </c>
      <c r="S233" s="61">
        <v>0</v>
      </c>
      <c r="T233" s="61">
        <v>6</v>
      </c>
      <c r="U233" s="61">
        <v>1</v>
      </c>
      <c r="V233" s="61">
        <v>0</v>
      </c>
      <c r="W233" s="61">
        <v>0</v>
      </c>
      <c r="X233" s="63">
        <v>0</v>
      </c>
      <c r="Y233" s="63">
        <v>0</v>
      </c>
      <c r="Z233" s="61">
        <f t="shared" si="20"/>
        <v>0.38458806818181812</v>
      </c>
      <c r="AA233" s="61">
        <f t="shared" si="21"/>
        <v>0.20241477272727271</v>
      </c>
      <c r="AB233" s="61">
        <f t="shared" si="22"/>
        <v>0</v>
      </c>
      <c r="AC233" s="61">
        <f t="shared" si="23"/>
        <v>0</v>
      </c>
      <c r="AD233" s="61">
        <f t="shared" si="24"/>
        <v>0</v>
      </c>
      <c r="AE233" s="61" t="s">
        <v>50</v>
      </c>
    </row>
    <row r="234" spans="1:31" x14ac:dyDescent="0.25">
      <c r="A234" s="57">
        <v>42835</v>
      </c>
      <c r="B234" s="58">
        <v>0.40625</v>
      </c>
      <c r="C234" s="57">
        <v>42836</v>
      </c>
      <c r="D234" s="58">
        <v>0.45833333333333331</v>
      </c>
      <c r="E234" s="59">
        <v>25.25</v>
      </c>
      <c r="F234" s="60">
        <v>1.9</v>
      </c>
      <c r="G234" s="60">
        <v>2.5</v>
      </c>
      <c r="H234" s="61">
        <v>2919</v>
      </c>
      <c r="I234" s="61">
        <v>3230</v>
      </c>
      <c r="J234" s="59">
        <f t="shared" si="25"/>
        <v>47.138596491228071</v>
      </c>
      <c r="K234" s="61">
        <v>23700</v>
      </c>
      <c r="L234" s="61">
        <v>57</v>
      </c>
      <c r="M234" s="62">
        <v>41</v>
      </c>
      <c r="N234" s="61">
        <v>37</v>
      </c>
      <c r="O234" s="61">
        <v>87</v>
      </c>
      <c r="P234" s="61">
        <f>11</f>
        <v>11</v>
      </c>
      <c r="Q234" s="61">
        <f>6</f>
        <v>6</v>
      </c>
      <c r="R234" s="61">
        <v>0</v>
      </c>
      <c r="S234" s="61">
        <v>0</v>
      </c>
      <c r="T234" s="61">
        <v>2</v>
      </c>
      <c r="U234" s="61">
        <v>2</v>
      </c>
      <c r="V234" s="61">
        <v>0</v>
      </c>
      <c r="W234" s="61">
        <v>0</v>
      </c>
      <c r="X234" s="63">
        <v>0</v>
      </c>
      <c r="Y234" s="63">
        <v>0</v>
      </c>
      <c r="Z234" s="61">
        <f t="shared" si="20"/>
        <v>0.23335442331311176</v>
      </c>
      <c r="AA234" s="61">
        <f t="shared" si="21"/>
        <v>0.12728423089806096</v>
      </c>
      <c r="AB234" s="61">
        <f t="shared" si="22"/>
        <v>0</v>
      </c>
      <c r="AC234" s="61">
        <f t="shared" si="23"/>
        <v>0</v>
      </c>
      <c r="AD234" s="61">
        <f t="shared" si="24"/>
        <v>0</v>
      </c>
      <c r="AE234" s="61" t="s">
        <v>50</v>
      </c>
    </row>
    <row r="235" spans="1:31" x14ac:dyDescent="0.25">
      <c r="A235" s="57">
        <v>42836</v>
      </c>
      <c r="B235" s="58">
        <v>0.45833333333333331</v>
      </c>
      <c r="C235" s="57">
        <v>42837</v>
      </c>
      <c r="D235" s="58">
        <v>0.41666666666666669</v>
      </c>
      <c r="E235" s="59">
        <v>23</v>
      </c>
      <c r="F235" s="60">
        <v>1.8</v>
      </c>
      <c r="G235" s="60">
        <v>2.1</v>
      </c>
      <c r="H235" s="61">
        <v>2527</v>
      </c>
      <c r="I235" s="61">
        <v>2836</v>
      </c>
      <c r="J235" s="59">
        <f t="shared" si="25"/>
        <v>45.906084656084658</v>
      </c>
      <c r="K235" s="61">
        <v>23300</v>
      </c>
      <c r="L235" s="61">
        <v>55</v>
      </c>
      <c r="M235" s="62">
        <v>31.7</v>
      </c>
      <c r="N235" s="61">
        <v>54</v>
      </c>
      <c r="O235" s="61">
        <v>83</v>
      </c>
      <c r="P235" s="61">
        <v>12</v>
      </c>
      <c r="Q235" s="61">
        <v>5</v>
      </c>
      <c r="R235" s="61">
        <v>0</v>
      </c>
      <c r="S235" s="61">
        <v>0</v>
      </c>
      <c r="T235" s="61">
        <v>9</v>
      </c>
      <c r="U235" s="61">
        <v>3</v>
      </c>
      <c r="V235" s="61">
        <v>0</v>
      </c>
      <c r="W235" s="61">
        <v>0</v>
      </c>
      <c r="X235" s="63">
        <v>0</v>
      </c>
      <c r="Y235" s="63">
        <v>0</v>
      </c>
      <c r="Z235" s="61">
        <f t="shared" si="20"/>
        <v>0.26140325601498343</v>
      </c>
      <c r="AA235" s="61">
        <f t="shared" si="21"/>
        <v>0.10891802333957643</v>
      </c>
      <c r="AB235" s="61">
        <f t="shared" si="22"/>
        <v>0</v>
      </c>
      <c r="AC235" s="61">
        <f t="shared" si="23"/>
        <v>0</v>
      </c>
      <c r="AD235" s="61">
        <f t="shared" si="24"/>
        <v>0</v>
      </c>
      <c r="AE235" s="61" t="s">
        <v>50</v>
      </c>
    </row>
    <row r="236" spans="1:31" x14ac:dyDescent="0.25">
      <c r="A236" s="57">
        <v>42837</v>
      </c>
      <c r="B236" s="58">
        <v>0.41666666666666669</v>
      </c>
      <c r="C236" s="57">
        <v>42838</v>
      </c>
      <c r="D236" s="58">
        <v>0.40625</v>
      </c>
      <c r="E236" s="59">
        <v>23.75</v>
      </c>
      <c r="F236" s="60">
        <v>2</v>
      </c>
      <c r="G236" s="60">
        <v>2.4</v>
      </c>
      <c r="H236" s="61">
        <v>2528</v>
      </c>
      <c r="I236" s="61">
        <v>3204</v>
      </c>
      <c r="J236" s="59">
        <f t="shared" si="25"/>
        <v>43.31666666666667</v>
      </c>
      <c r="K236" s="61">
        <v>23200</v>
      </c>
      <c r="L236" s="61">
        <v>56</v>
      </c>
      <c r="M236" s="62">
        <v>30.7</v>
      </c>
      <c r="N236" s="61">
        <v>71</v>
      </c>
      <c r="O236" s="61">
        <v>82</v>
      </c>
      <c r="P236" s="61">
        <f>11</f>
        <v>11</v>
      </c>
      <c r="Q236" s="61">
        <f>5</f>
        <v>5</v>
      </c>
      <c r="R236" s="61">
        <v>0</v>
      </c>
      <c r="S236" s="61">
        <v>0</v>
      </c>
      <c r="T236" s="61">
        <v>3</v>
      </c>
      <c r="U236" s="61">
        <v>1</v>
      </c>
      <c r="V236" s="61">
        <v>0</v>
      </c>
      <c r="W236" s="61">
        <v>0</v>
      </c>
      <c r="X236" s="63">
        <v>0</v>
      </c>
      <c r="Y236" s="63">
        <v>0</v>
      </c>
      <c r="Z236" s="61">
        <f t="shared" si="20"/>
        <v>0.25394382454790304</v>
      </c>
      <c r="AA236" s="61">
        <f t="shared" si="21"/>
        <v>0.11542901115813774</v>
      </c>
      <c r="AB236" s="61">
        <f t="shared" si="22"/>
        <v>0</v>
      </c>
      <c r="AC236" s="61">
        <f t="shared" si="23"/>
        <v>0</v>
      </c>
      <c r="AD236" s="61">
        <f t="shared" si="24"/>
        <v>0</v>
      </c>
      <c r="AE236" s="61" t="s">
        <v>50</v>
      </c>
    </row>
    <row r="237" spans="1:31" x14ac:dyDescent="0.25">
      <c r="A237" s="57">
        <v>42838</v>
      </c>
      <c r="B237" s="58">
        <v>0.40625</v>
      </c>
      <c r="C237" s="57">
        <v>42839</v>
      </c>
      <c r="D237" s="58">
        <v>0.40625</v>
      </c>
      <c r="E237" s="59">
        <v>24</v>
      </c>
      <c r="F237" s="60">
        <v>2</v>
      </c>
      <c r="G237" s="60">
        <v>2.1</v>
      </c>
      <c r="H237" s="61">
        <v>580</v>
      </c>
      <c r="I237" s="61">
        <v>2219</v>
      </c>
      <c r="J237" s="59">
        <f t="shared" si="25"/>
        <v>22.444444444444443</v>
      </c>
      <c r="K237" s="61">
        <v>24200</v>
      </c>
      <c r="L237" s="61">
        <v>56</v>
      </c>
      <c r="M237" s="62">
        <v>28.8</v>
      </c>
      <c r="N237" s="61">
        <v>70</v>
      </c>
      <c r="O237" s="61">
        <v>87</v>
      </c>
      <c r="P237" s="61">
        <v>9</v>
      </c>
      <c r="Q237" s="61">
        <v>2</v>
      </c>
      <c r="R237" s="61">
        <v>0</v>
      </c>
      <c r="S237" s="61">
        <v>0</v>
      </c>
      <c r="T237" s="61">
        <v>6</v>
      </c>
      <c r="U237" s="61">
        <v>1</v>
      </c>
      <c r="V237" s="61">
        <v>0</v>
      </c>
      <c r="W237" s="61">
        <v>0</v>
      </c>
      <c r="X237" s="63">
        <v>0</v>
      </c>
      <c r="Y237" s="63">
        <v>0</v>
      </c>
      <c r="Z237" s="61">
        <f t="shared" si="20"/>
        <v>0.40099009900990101</v>
      </c>
      <c r="AA237" s="61">
        <f t="shared" si="21"/>
        <v>8.9108910891089119E-2</v>
      </c>
      <c r="AB237" s="61">
        <f t="shared" si="22"/>
        <v>0</v>
      </c>
      <c r="AC237" s="61">
        <f t="shared" si="23"/>
        <v>0</v>
      </c>
      <c r="AD237" s="61">
        <f t="shared" si="24"/>
        <v>0</v>
      </c>
      <c r="AE237" s="61" t="s">
        <v>50</v>
      </c>
    </row>
    <row r="238" spans="1:31" x14ac:dyDescent="0.25">
      <c r="A238" s="57">
        <v>42839</v>
      </c>
      <c r="B238" s="58">
        <v>0.46875</v>
      </c>
      <c r="C238" s="57">
        <v>42840</v>
      </c>
      <c r="D238" s="58">
        <v>0.46875</v>
      </c>
      <c r="E238" s="59">
        <v>24</v>
      </c>
      <c r="F238" s="60">
        <v>2.6</v>
      </c>
      <c r="G238" s="60">
        <v>2.5</v>
      </c>
      <c r="H238" s="61">
        <v>1248</v>
      </c>
      <c r="I238" s="61">
        <v>2402</v>
      </c>
      <c r="J238" s="59">
        <f t="shared" si="25"/>
        <v>24.013333333333332</v>
      </c>
      <c r="K238" s="61">
        <v>25700</v>
      </c>
      <c r="L238" s="61">
        <v>54</v>
      </c>
      <c r="M238" s="62">
        <v>39.85</v>
      </c>
      <c r="N238" s="61">
        <v>68</v>
      </c>
      <c r="O238" s="61">
        <v>86</v>
      </c>
      <c r="P238" s="61">
        <f>5+7</f>
        <v>12</v>
      </c>
      <c r="Q238" s="61">
        <f>3+7</f>
        <v>10</v>
      </c>
      <c r="R238" s="61">
        <v>0</v>
      </c>
      <c r="S238" s="61">
        <v>0</v>
      </c>
      <c r="T238" s="61">
        <v>3</v>
      </c>
      <c r="U238" s="61">
        <v>1</v>
      </c>
      <c r="V238" s="61">
        <v>0</v>
      </c>
      <c r="W238" s="61">
        <v>0</v>
      </c>
      <c r="X238" s="63">
        <v>0</v>
      </c>
      <c r="Y238" s="63">
        <v>0</v>
      </c>
      <c r="Z238" s="61">
        <f t="shared" si="20"/>
        <v>0.49972237645752365</v>
      </c>
      <c r="AA238" s="61">
        <f t="shared" si="21"/>
        <v>0.41643531371460302</v>
      </c>
      <c r="AB238" s="61">
        <f t="shared" si="22"/>
        <v>0</v>
      </c>
      <c r="AC238" s="61">
        <f t="shared" si="23"/>
        <v>0</v>
      </c>
      <c r="AD238" s="61">
        <f t="shared" si="24"/>
        <v>0</v>
      </c>
      <c r="AE238" s="61" t="s">
        <v>50</v>
      </c>
    </row>
    <row r="239" spans="1:31" x14ac:dyDescent="0.25">
      <c r="A239" s="57">
        <v>42840</v>
      </c>
      <c r="B239" s="58">
        <v>0.46875</v>
      </c>
      <c r="C239" s="57">
        <v>42841</v>
      </c>
      <c r="D239" s="58">
        <v>0.375</v>
      </c>
      <c r="E239" s="59">
        <v>21.75</v>
      </c>
      <c r="F239" s="60">
        <v>2.4</v>
      </c>
      <c r="G239" s="60">
        <v>2.5</v>
      </c>
      <c r="H239" s="61">
        <v>3028</v>
      </c>
      <c r="I239" s="61">
        <v>3200</v>
      </c>
      <c r="J239" s="59">
        <f t="shared" si="25"/>
        <v>42.361111111111114</v>
      </c>
      <c r="K239" s="61">
        <v>25800</v>
      </c>
      <c r="L239" s="61">
        <v>53</v>
      </c>
      <c r="M239" s="62">
        <v>65.7</v>
      </c>
      <c r="N239" s="61">
        <v>64</v>
      </c>
      <c r="O239" s="61">
        <v>85</v>
      </c>
      <c r="P239" s="61">
        <f>9+22</f>
        <v>31</v>
      </c>
      <c r="Q239" s="61">
        <f>1+4</f>
        <v>5</v>
      </c>
      <c r="R239" s="61">
        <v>0</v>
      </c>
      <c r="S239" s="61">
        <v>0</v>
      </c>
      <c r="T239" s="61">
        <v>6</v>
      </c>
      <c r="U239" s="61">
        <v>1</v>
      </c>
      <c r="V239" s="61">
        <v>0</v>
      </c>
      <c r="W239" s="61">
        <v>0</v>
      </c>
      <c r="X239" s="63">
        <v>0</v>
      </c>
      <c r="Y239" s="63">
        <v>0</v>
      </c>
      <c r="Z239" s="61">
        <f t="shared" si="20"/>
        <v>0.73180327868852457</v>
      </c>
      <c r="AA239" s="61">
        <f t="shared" si="21"/>
        <v>0.11803278688524589</v>
      </c>
      <c r="AB239" s="61">
        <f t="shared" si="22"/>
        <v>0</v>
      </c>
      <c r="AC239" s="61">
        <f t="shared" si="23"/>
        <v>0</v>
      </c>
      <c r="AD239" s="61">
        <f t="shared" si="24"/>
        <v>0</v>
      </c>
      <c r="AE239" s="61" t="s">
        <v>50</v>
      </c>
    </row>
    <row r="240" spans="1:31" x14ac:dyDescent="0.25">
      <c r="A240" s="57">
        <v>42841</v>
      </c>
      <c r="B240" s="58">
        <v>0.375</v>
      </c>
      <c r="C240" s="57">
        <v>42842</v>
      </c>
      <c r="D240" s="58">
        <v>0.40625</v>
      </c>
      <c r="E240" s="59">
        <v>24.75</v>
      </c>
      <c r="F240" s="60">
        <v>2.2999999999999998</v>
      </c>
      <c r="G240" s="60">
        <v>2.2999999999999998</v>
      </c>
      <c r="H240" s="61">
        <v>3498</v>
      </c>
      <c r="I240" s="61">
        <v>3630</v>
      </c>
      <c r="J240" s="59">
        <f t="shared" si="25"/>
        <v>51.652173913043484</v>
      </c>
      <c r="K240" s="61">
        <v>25800</v>
      </c>
      <c r="L240" s="61">
        <v>53</v>
      </c>
      <c r="M240" s="62">
        <v>47.6</v>
      </c>
      <c r="N240" s="61">
        <v>62</v>
      </c>
      <c r="O240" s="61">
        <v>83</v>
      </c>
      <c r="P240" s="61">
        <v>11</v>
      </c>
      <c r="Q240" s="61">
        <v>2</v>
      </c>
      <c r="R240" s="61">
        <v>0</v>
      </c>
      <c r="S240" s="61">
        <v>0</v>
      </c>
      <c r="T240" s="61">
        <v>1</v>
      </c>
      <c r="U240" s="61">
        <v>0</v>
      </c>
      <c r="V240" s="61">
        <v>0</v>
      </c>
      <c r="W240" s="61">
        <v>0</v>
      </c>
      <c r="X240" s="63">
        <v>0</v>
      </c>
      <c r="Y240" s="63">
        <v>0</v>
      </c>
      <c r="Z240" s="61">
        <f t="shared" si="20"/>
        <v>0.21296296296296294</v>
      </c>
      <c r="AA240" s="61">
        <f t="shared" si="21"/>
        <v>3.8720538720538718E-2</v>
      </c>
      <c r="AB240" s="61">
        <f t="shared" si="22"/>
        <v>0</v>
      </c>
      <c r="AC240" s="61">
        <f t="shared" si="23"/>
        <v>0</v>
      </c>
      <c r="AD240" s="61">
        <f t="shared" si="24"/>
        <v>0</v>
      </c>
      <c r="AE240" s="61" t="s">
        <v>50</v>
      </c>
    </row>
    <row r="241" spans="1:30" x14ac:dyDescent="0.25">
      <c r="A241" s="46">
        <v>42842</v>
      </c>
      <c r="B241" s="47">
        <v>0.40625</v>
      </c>
      <c r="C241" s="40">
        <v>42843</v>
      </c>
      <c r="D241" s="39">
        <v>0.42708333333333331</v>
      </c>
      <c r="E241" s="41">
        <v>24.5</v>
      </c>
      <c r="F241" s="42">
        <v>2.6</v>
      </c>
      <c r="G241" s="42">
        <v>2.5</v>
      </c>
      <c r="H241" s="4">
        <v>3396</v>
      </c>
      <c r="I241" s="4">
        <v>3493</v>
      </c>
      <c r="J241" s="41">
        <f t="shared" si="25"/>
        <v>45.055897435897442</v>
      </c>
      <c r="K241" s="4">
        <v>25800</v>
      </c>
      <c r="L241" s="4">
        <v>53</v>
      </c>
      <c r="M241" s="43">
        <v>36</v>
      </c>
      <c r="N241" s="4">
        <v>74</v>
      </c>
      <c r="O241" s="4">
        <v>80</v>
      </c>
      <c r="P241" s="4">
        <v>16</v>
      </c>
      <c r="Q241" s="4">
        <v>0</v>
      </c>
      <c r="R241" s="4">
        <v>0</v>
      </c>
      <c r="S241" s="4">
        <v>0</v>
      </c>
      <c r="T241" s="4">
        <v>2</v>
      </c>
      <c r="U241" s="4">
        <v>0</v>
      </c>
      <c r="V241" s="4">
        <v>0</v>
      </c>
      <c r="W241" s="4">
        <v>0</v>
      </c>
      <c r="X241" s="44">
        <v>0</v>
      </c>
      <c r="Y241" s="44">
        <v>0</v>
      </c>
      <c r="Z241" s="50">
        <f t="shared" si="20"/>
        <v>0.35511444473531451</v>
      </c>
      <c r="AA241" s="50">
        <f t="shared" si="21"/>
        <v>0</v>
      </c>
      <c r="AB241" s="50">
        <f t="shared" si="22"/>
        <v>0</v>
      </c>
      <c r="AC241" s="50">
        <f t="shared" si="23"/>
        <v>0</v>
      </c>
      <c r="AD241" s="50">
        <f t="shared" si="24"/>
        <v>0</v>
      </c>
    </row>
    <row r="242" spans="1:30" x14ac:dyDescent="0.25">
      <c r="A242" s="40">
        <v>42843</v>
      </c>
      <c r="B242" s="39">
        <v>0.42708333333333331</v>
      </c>
      <c r="C242" s="40">
        <v>42844</v>
      </c>
      <c r="D242" s="39">
        <v>0.40625</v>
      </c>
      <c r="E242" s="41">
        <v>23.5</v>
      </c>
      <c r="F242" s="42">
        <v>2.2999999999999998</v>
      </c>
      <c r="G242" s="42">
        <v>2.4</v>
      </c>
      <c r="H242" s="4">
        <v>3422</v>
      </c>
      <c r="I242" s="4">
        <v>3375</v>
      </c>
      <c r="J242" s="41">
        <f t="shared" si="25"/>
        <v>48.234601449275367</v>
      </c>
      <c r="K242" s="4">
        <v>25826</v>
      </c>
      <c r="L242" s="4">
        <v>54</v>
      </c>
      <c r="M242" s="43">
        <v>37.15</v>
      </c>
      <c r="N242" s="4">
        <v>74</v>
      </c>
      <c r="O242" s="4">
        <v>98</v>
      </c>
      <c r="P242" s="4">
        <f>10+3</f>
        <v>13</v>
      </c>
      <c r="Q242" s="4">
        <f>1+0</f>
        <v>1</v>
      </c>
      <c r="R242" s="4">
        <v>0</v>
      </c>
      <c r="S242" s="4">
        <v>0</v>
      </c>
      <c r="T242" s="4">
        <v>3</v>
      </c>
      <c r="U242" s="4">
        <v>1</v>
      </c>
      <c r="V242" s="4">
        <v>0</v>
      </c>
      <c r="W242" s="4">
        <v>0</v>
      </c>
      <c r="X242" s="44">
        <v>0</v>
      </c>
      <c r="Y242" s="44">
        <v>0</v>
      </c>
      <c r="Z242" s="50">
        <f t="shared" si="20"/>
        <v>0.26951606542600137</v>
      </c>
      <c r="AA242" s="50">
        <f t="shared" si="21"/>
        <v>2.0732005032769337E-2</v>
      </c>
      <c r="AB242" s="50">
        <f t="shared" si="22"/>
        <v>0</v>
      </c>
      <c r="AC242" s="50">
        <f t="shared" si="23"/>
        <v>0</v>
      </c>
      <c r="AD242" s="50">
        <f t="shared" si="24"/>
        <v>0</v>
      </c>
    </row>
    <row r="243" spans="1:30" x14ac:dyDescent="0.25">
      <c r="A243" s="40">
        <v>42844</v>
      </c>
      <c r="B243" s="39">
        <v>0.40625</v>
      </c>
      <c r="C243" s="40">
        <v>42845</v>
      </c>
      <c r="D243" s="39">
        <v>0.4375</v>
      </c>
      <c r="E243" s="41">
        <v>24.75</v>
      </c>
      <c r="F243" s="42">
        <v>2.6</v>
      </c>
      <c r="G243" s="42">
        <v>2.7</v>
      </c>
      <c r="H243" s="4">
        <v>3551</v>
      </c>
      <c r="I243" s="4">
        <v>3714</v>
      </c>
      <c r="J243" s="41">
        <f t="shared" si="25"/>
        <v>45.688746438746435</v>
      </c>
      <c r="K243" s="4">
        <v>25916</v>
      </c>
      <c r="L243" s="4">
        <v>54</v>
      </c>
      <c r="M243" s="43">
        <v>37.700000000000003</v>
      </c>
      <c r="N243" s="4">
        <v>38</v>
      </c>
      <c r="O243" s="4">
        <v>99</v>
      </c>
      <c r="P243" s="4">
        <f>8+5</f>
        <v>13</v>
      </c>
      <c r="Q243" s="4">
        <f>2+1</f>
        <v>3</v>
      </c>
      <c r="R243" s="4">
        <v>0</v>
      </c>
      <c r="S243" s="4">
        <v>0</v>
      </c>
      <c r="T243" s="4">
        <v>3</v>
      </c>
      <c r="U243" s="4">
        <v>0</v>
      </c>
      <c r="V243" s="4">
        <v>0</v>
      </c>
      <c r="W243" s="4">
        <v>0</v>
      </c>
      <c r="X243" s="44">
        <v>0</v>
      </c>
      <c r="Y243" s="44">
        <v>0</v>
      </c>
      <c r="Z243" s="50">
        <f t="shared" si="20"/>
        <v>0.28453396105819451</v>
      </c>
      <c r="AA243" s="50">
        <f t="shared" si="21"/>
        <v>6.5661683321121808E-2</v>
      </c>
      <c r="AB243" s="50">
        <f t="shared" si="22"/>
        <v>0</v>
      </c>
      <c r="AC243" s="50">
        <f t="shared" si="23"/>
        <v>0</v>
      </c>
      <c r="AD243" s="50">
        <f t="shared" si="24"/>
        <v>0</v>
      </c>
    </row>
    <row r="244" spans="1:30" x14ac:dyDescent="0.25">
      <c r="A244" s="40">
        <v>42845</v>
      </c>
      <c r="B244" s="39">
        <v>0.4375</v>
      </c>
      <c r="C244" s="40">
        <v>42846</v>
      </c>
      <c r="D244" s="39">
        <v>0.41666666666666669</v>
      </c>
      <c r="E244" s="41">
        <v>23.5</v>
      </c>
      <c r="F244" s="42">
        <v>2.8</v>
      </c>
      <c r="G244" s="42">
        <v>2.8</v>
      </c>
      <c r="H244" s="4">
        <v>431</v>
      </c>
      <c r="I244" s="4">
        <v>2844</v>
      </c>
      <c r="J244" s="41">
        <f t="shared" si="25"/>
        <v>19.494047619047624</v>
      </c>
      <c r="K244" s="4">
        <v>25955</v>
      </c>
      <c r="L244" s="4">
        <v>55</v>
      </c>
      <c r="M244" s="43">
        <v>49.44</v>
      </c>
      <c r="N244" s="4">
        <v>70</v>
      </c>
      <c r="O244" s="4">
        <v>86</v>
      </c>
      <c r="P244" s="4">
        <v>7</v>
      </c>
      <c r="Q244" s="4">
        <v>2</v>
      </c>
      <c r="R244" s="4">
        <v>0</v>
      </c>
      <c r="S244" s="4">
        <v>0</v>
      </c>
      <c r="T244" s="4">
        <v>3</v>
      </c>
      <c r="U244" s="4">
        <v>0</v>
      </c>
      <c r="V244" s="4">
        <v>0</v>
      </c>
      <c r="W244" s="4">
        <v>0</v>
      </c>
      <c r="X244" s="44">
        <v>0</v>
      </c>
      <c r="Y244" s="44">
        <v>0</v>
      </c>
      <c r="Z244" s="50">
        <f t="shared" si="20"/>
        <v>0.35908396946564874</v>
      </c>
      <c r="AA244" s="50">
        <f t="shared" si="21"/>
        <v>0.10259541984732821</v>
      </c>
      <c r="AB244" s="50">
        <f t="shared" si="22"/>
        <v>0</v>
      </c>
      <c r="AC244" s="50">
        <f t="shared" si="23"/>
        <v>0</v>
      </c>
      <c r="AD244" s="50">
        <f t="shared" si="24"/>
        <v>0</v>
      </c>
    </row>
    <row r="245" spans="1:30" x14ac:dyDescent="0.25">
      <c r="A245" s="40">
        <v>42846</v>
      </c>
      <c r="B245" s="39">
        <v>0.41666666666666669</v>
      </c>
      <c r="C245" s="40">
        <v>42847</v>
      </c>
      <c r="D245" s="39">
        <v>0.44791666666666669</v>
      </c>
      <c r="E245" s="41">
        <v>24.75</v>
      </c>
      <c r="F245" s="42">
        <v>2.5</v>
      </c>
      <c r="G245" s="42">
        <v>2.1</v>
      </c>
      <c r="H245" s="4">
        <v>3745</v>
      </c>
      <c r="I245" s="4">
        <v>3438</v>
      </c>
      <c r="J245" s="41">
        <f t="shared" si="25"/>
        <v>52.252380952380946</v>
      </c>
      <c r="K245" s="4">
        <v>26046</v>
      </c>
      <c r="L245" s="4">
        <v>56</v>
      </c>
      <c r="M245" s="43">
        <v>49.3</v>
      </c>
      <c r="N245" s="4">
        <v>71</v>
      </c>
      <c r="O245" s="4">
        <v>84</v>
      </c>
      <c r="P245" s="4">
        <v>9</v>
      </c>
      <c r="Q245" s="4">
        <v>1</v>
      </c>
      <c r="R245" s="4">
        <v>0</v>
      </c>
      <c r="S245" s="4">
        <v>0</v>
      </c>
      <c r="T245" s="4">
        <v>3</v>
      </c>
      <c r="U245" s="4">
        <v>1</v>
      </c>
      <c r="V245" s="4">
        <v>0</v>
      </c>
      <c r="W245" s="4">
        <v>0</v>
      </c>
      <c r="X245" s="44">
        <v>0</v>
      </c>
      <c r="Y245" s="44">
        <v>0</v>
      </c>
      <c r="Z245" s="4">
        <f t="shared" si="20"/>
        <v>0.17224095507153925</v>
      </c>
      <c r="AA245" s="4">
        <f t="shared" si="21"/>
        <v>1.9137883896837696E-2</v>
      </c>
      <c r="AB245" s="4">
        <f t="shared" si="22"/>
        <v>0</v>
      </c>
      <c r="AC245" s="4">
        <f t="shared" si="23"/>
        <v>0</v>
      </c>
      <c r="AD245" s="4">
        <f t="shared" si="24"/>
        <v>0</v>
      </c>
    </row>
    <row r="246" spans="1:30" x14ac:dyDescent="0.25">
      <c r="A246" s="40">
        <v>42847</v>
      </c>
      <c r="B246" s="39">
        <v>0.44791666666666669</v>
      </c>
      <c r="C246" s="40">
        <v>42848</v>
      </c>
      <c r="D246" s="39">
        <v>0.38541666666666669</v>
      </c>
      <c r="E246" s="41">
        <v>22.5</v>
      </c>
      <c r="F246" s="42">
        <v>2.6</v>
      </c>
      <c r="G246" s="42">
        <v>2.6</v>
      </c>
      <c r="H246" s="4">
        <v>3225</v>
      </c>
      <c r="I246" s="4">
        <v>3204</v>
      </c>
      <c r="J246" s="41">
        <f t="shared" si="25"/>
        <v>41.21153846153846</v>
      </c>
      <c r="K246" s="4">
        <v>26020</v>
      </c>
      <c r="L246" s="4">
        <v>56</v>
      </c>
      <c r="M246" s="43">
        <v>49.5</v>
      </c>
      <c r="N246" s="4">
        <v>72</v>
      </c>
      <c r="O246" s="4">
        <v>88</v>
      </c>
      <c r="P246" s="4">
        <v>18</v>
      </c>
      <c r="Q246" s="4">
        <v>5</v>
      </c>
      <c r="R246" s="4">
        <v>0</v>
      </c>
      <c r="S246" s="4">
        <v>0</v>
      </c>
      <c r="T246" s="4">
        <v>2</v>
      </c>
      <c r="U246" s="4">
        <v>1</v>
      </c>
      <c r="V246" s="4">
        <v>0</v>
      </c>
      <c r="W246" s="4">
        <v>0</v>
      </c>
      <c r="X246" s="44">
        <v>0</v>
      </c>
      <c r="Y246" s="44">
        <v>0</v>
      </c>
      <c r="Z246" s="4">
        <f t="shared" si="20"/>
        <v>0.43677088194120395</v>
      </c>
      <c r="AA246" s="4">
        <f t="shared" si="21"/>
        <v>0.12132524498366776</v>
      </c>
      <c r="AB246" s="4">
        <f t="shared" si="22"/>
        <v>0</v>
      </c>
      <c r="AC246" s="4">
        <f t="shared" si="23"/>
        <v>0</v>
      </c>
      <c r="AD246" s="4">
        <f t="shared" si="24"/>
        <v>0</v>
      </c>
    </row>
    <row r="247" spans="1:30" x14ac:dyDescent="0.25">
      <c r="A247" s="40">
        <v>42848</v>
      </c>
      <c r="B247" s="39">
        <v>0.38541666666666669</v>
      </c>
      <c r="C247" s="40">
        <v>42849</v>
      </c>
      <c r="D247" s="39">
        <v>0.38541666666666669</v>
      </c>
      <c r="E247" s="41">
        <v>24</v>
      </c>
      <c r="F247" s="42">
        <v>2.6</v>
      </c>
      <c r="G247" s="42">
        <v>2.8</v>
      </c>
      <c r="H247" s="4">
        <v>723</v>
      </c>
      <c r="I247" s="4">
        <v>552</v>
      </c>
      <c r="J247" s="41">
        <f t="shared" si="25"/>
        <v>7.9203296703296706</v>
      </c>
      <c r="K247" s="4">
        <v>25968</v>
      </c>
      <c r="L247" s="4">
        <v>56</v>
      </c>
      <c r="M247" s="43">
        <v>40.5</v>
      </c>
      <c r="N247" s="4">
        <v>78</v>
      </c>
      <c r="O247" s="4">
        <v>89</v>
      </c>
      <c r="P247" s="4">
        <v>4</v>
      </c>
      <c r="Q247" s="4">
        <v>1</v>
      </c>
      <c r="R247" s="4">
        <v>0</v>
      </c>
      <c r="S247" s="4">
        <v>0</v>
      </c>
      <c r="T247" s="4">
        <v>2</v>
      </c>
      <c r="U247" s="4">
        <v>0</v>
      </c>
      <c r="V247" s="4">
        <v>0</v>
      </c>
      <c r="W247" s="4">
        <v>0</v>
      </c>
      <c r="X247" s="44">
        <v>0</v>
      </c>
      <c r="Y247" s="44">
        <v>0</v>
      </c>
      <c r="Z247" s="4">
        <f t="shared" si="20"/>
        <v>0.50502948317724594</v>
      </c>
      <c r="AA247" s="4">
        <f t="shared" si="21"/>
        <v>0.12625737079431149</v>
      </c>
      <c r="AB247" s="4">
        <f t="shared" si="22"/>
        <v>0</v>
      </c>
      <c r="AC247" s="4">
        <f t="shared" si="23"/>
        <v>0</v>
      </c>
      <c r="AD247" s="4">
        <f t="shared" si="24"/>
        <v>0</v>
      </c>
    </row>
    <row r="248" spans="1:30" x14ac:dyDescent="0.25">
      <c r="A248" s="40">
        <v>42849</v>
      </c>
      <c r="B248" s="39">
        <v>0.38541666666666669</v>
      </c>
      <c r="C248" s="40">
        <v>42850</v>
      </c>
      <c r="D248" s="39">
        <v>0.44791666666666669</v>
      </c>
      <c r="E248" s="41">
        <v>25.5</v>
      </c>
      <c r="F248" s="42">
        <v>2.2999999999999998</v>
      </c>
      <c r="G248" s="42">
        <v>2.4</v>
      </c>
      <c r="H248" s="4">
        <v>3697</v>
      </c>
      <c r="I248" s="4">
        <v>3762</v>
      </c>
      <c r="J248" s="41">
        <f t="shared" si="25"/>
        <v>52.914855072463766</v>
      </c>
      <c r="K248" s="4">
        <v>25942</v>
      </c>
      <c r="L248" s="4">
        <v>57</v>
      </c>
      <c r="M248" s="43">
        <v>37.5</v>
      </c>
      <c r="N248" s="4">
        <v>41</v>
      </c>
      <c r="O248" s="4">
        <v>83</v>
      </c>
      <c r="P248" s="4">
        <v>18</v>
      </c>
      <c r="Q248" s="4">
        <v>0</v>
      </c>
      <c r="R248" s="4">
        <v>0</v>
      </c>
      <c r="S248" s="4">
        <v>0</v>
      </c>
      <c r="T248" s="4">
        <v>7</v>
      </c>
      <c r="U248" s="4">
        <v>0</v>
      </c>
      <c r="V248" s="4">
        <v>0</v>
      </c>
      <c r="W248" s="4">
        <v>0</v>
      </c>
      <c r="X248" s="44">
        <v>0</v>
      </c>
      <c r="Y248" s="44">
        <v>0</v>
      </c>
      <c r="Z248" s="4">
        <f t="shared" si="20"/>
        <v>0.34016912595432913</v>
      </c>
      <c r="AA248" s="4">
        <f t="shared" si="21"/>
        <v>0</v>
      </c>
      <c r="AB248" s="4">
        <f t="shared" si="22"/>
        <v>0</v>
      </c>
      <c r="AC248" s="4">
        <f t="shared" si="23"/>
        <v>0</v>
      </c>
      <c r="AD248" s="4">
        <f t="shared" si="24"/>
        <v>0</v>
      </c>
    </row>
    <row r="249" spans="1:30" x14ac:dyDescent="0.25">
      <c r="A249" s="40">
        <v>42850</v>
      </c>
      <c r="B249" s="39">
        <v>0.44791666666666669</v>
      </c>
      <c r="C249" s="40">
        <v>42851</v>
      </c>
      <c r="D249" s="39">
        <v>0.40625</v>
      </c>
      <c r="E249" s="41">
        <v>23</v>
      </c>
      <c r="F249" s="42">
        <v>2.4</v>
      </c>
      <c r="G249" s="42">
        <v>2.4</v>
      </c>
      <c r="H249" s="4">
        <v>3306</v>
      </c>
      <c r="I249" s="4">
        <v>3356</v>
      </c>
      <c r="J249" s="41">
        <f t="shared" si="25"/>
        <v>46.263888888888893</v>
      </c>
      <c r="K249" s="4">
        <v>25942</v>
      </c>
      <c r="L249" s="4">
        <v>58</v>
      </c>
      <c r="M249" s="43">
        <v>36.4</v>
      </c>
      <c r="N249" s="4">
        <v>71</v>
      </c>
      <c r="O249" s="4">
        <v>91</v>
      </c>
      <c r="P249" s="4">
        <v>16</v>
      </c>
      <c r="Q249" s="4">
        <v>1</v>
      </c>
      <c r="R249" s="4">
        <v>0</v>
      </c>
      <c r="S249" s="4">
        <v>0</v>
      </c>
      <c r="T249" s="4">
        <v>6</v>
      </c>
      <c r="U249" s="4">
        <v>0</v>
      </c>
      <c r="V249" s="4">
        <v>0</v>
      </c>
      <c r="W249" s="4">
        <v>0</v>
      </c>
      <c r="X249" s="44">
        <v>0</v>
      </c>
      <c r="Y249" s="44">
        <v>0</v>
      </c>
      <c r="Z249" s="4">
        <f t="shared" si="20"/>
        <v>0.34584208946262379</v>
      </c>
      <c r="AA249" s="4">
        <f t="shared" si="21"/>
        <v>2.1615130591413987E-2</v>
      </c>
      <c r="AB249" s="4">
        <f t="shared" si="22"/>
        <v>0</v>
      </c>
      <c r="AC249" s="4">
        <f t="shared" si="23"/>
        <v>0</v>
      </c>
      <c r="AD249" s="4">
        <f t="shared" si="24"/>
        <v>0</v>
      </c>
    </row>
    <row r="250" spans="1:30" x14ac:dyDescent="0.25">
      <c r="A250" s="40">
        <v>42851</v>
      </c>
      <c r="B250" s="39">
        <v>0.40625</v>
      </c>
      <c r="C250" s="40">
        <v>42852</v>
      </c>
      <c r="D250" s="39">
        <v>0.44791666666666669</v>
      </c>
      <c r="E250" s="41">
        <v>25</v>
      </c>
      <c r="F250" s="42">
        <v>2.1</v>
      </c>
      <c r="G250" s="42">
        <v>2</v>
      </c>
      <c r="H250" s="4">
        <v>3133</v>
      </c>
      <c r="I250" s="4">
        <v>3294</v>
      </c>
      <c r="J250" s="41">
        <f t="shared" si="25"/>
        <v>52.315079365079363</v>
      </c>
      <c r="K250" s="4">
        <v>25631</v>
      </c>
      <c r="L250" s="4">
        <v>58</v>
      </c>
      <c r="M250" s="43">
        <v>36.6</v>
      </c>
      <c r="N250" s="4">
        <v>69</v>
      </c>
      <c r="O250" s="4">
        <v>86</v>
      </c>
      <c r="P250" s="4">
        <f>6+15</f>
        <v>21</v>
      </c>
      <c r="Q250" s="4">
        <v>0</v>
      </c>
      <c r="R250" s="4">
        <v>0</v>
      </c>
      <c r="S250" s="4">
        <v>0</v>
      </c>
      <c r="T250" s="4">
        <v>4</v>
      </c>
      <c r="U250" s="4">
        <v>0</v>
      </c>
      <c r="V250" s="4">
        <v>0</v>
      </c>
      <c r="W250" s="4">
        <v>0</v>
      </c>
      <c r="X250" s="44">
        <v>0</v>
      </c>
      <c r="Y250" s="44">
        <v>0</v>
      </c>
      <c r="Z250" s="4">
        <f t="shared" si="20"/>
        <v>0.40141389929760152</v>
      </c>
      <c r="AA250" s="4">
        <f t="shared" si="21"/>
        <v>0</v>
      </c>
      <c r="AB250" s="4">
        <f t="shared" si="22"/>
        <v>0</v>
      </c>
      <c r="AC250" s="4">
        <f t="shared" si="23"/>
        <v>0</v>
      </c>
      <c r="AD250" s="4">
        <f t="shared" si="24"/>
        <v>0</v>
      </c>
    </row>
    <row r="251" spans="1:30" x14ac:dyDescent="0.25">
      <c r="A251" s="40">
        <v>42852</v>
      </c>
      <c r="B251" s="39">
        <v>0.44791666666666669</v>
      </c>
      <c r="C251" s="40">
        <v>42853</v>
      </c>
      <c r="D251" s="39">
        <v>0.41666666666666669</v>
      </c>
      <c r="E251" s="41">
        <v>23.25</v>
      </c>
      <c r="F251" s="42">
        <v>2.2999999999999998</v>
      </c>
      <c r="G251" s="42">
        <v>2.5</v>
      </c>
      <c r="H251" s="4">
        <v>3075</v>
      </c>
      <c r="I251" s="4">
        <v>3711</v>
      </c>
      <c r="J251" s="41">
        <f t="shared" si="25"/>
        <v>47.022608695652174</v>
      </c>
      <c r="K251" s="4">
        <v>25051</v>
      </c>
      <c r="L251" s="4">
        <v>56</v>
      </c>
      <c r="M251" s="43">
        <v>36.700000000000003</v>
      </c>
      <c r="N251" s="4">
        <v>74</v>
      </c>
      <c r="O251" s="4">
        <v>90</v>
      </c>
      <c r="P251" s="4">
        <f>11+19</f>
        <v>30</v>
      </c>
      <c r="Q251" s="4">
        <v>3</v>
      </c>
      <c r="R251" s="4">
        <v>0</v>
      </c>
      <c r="S251" s="4">
        <v>0</v>
      </c>
      <c r="T251" s="4">
        <v>8</v>
      </c>
      <c r="U251" s="4">
        <v>1</v>
      </c>
      <c r="V251" s="4">
        <v>0</v>
      </c>
      <c r="W251" s="4">
        <v>1</v>
      </c>
      <c r="X251" s="44">
        <v>1</v>
      </c>
      <c r="Y251" s="44">
        <v>0</v>
      </c>
      <c r="Z251" s="4">
        <f t="shared" si="20"/>
        <v>0.63799097566388041</v>
      </c>
      <c r="AA251" s="4">
        <f t="shared" si="21"/>
        <v>6.3799097566388047E-2</v>
      </c>
      <c r="AB251" s="4">
        <f t="shared" si="22"/>
        <v>0</v>
      </c>
      <c r="AC251" s="4">
        <f t="shared" si="23"/>
        <v>0</v>
      </c>
      <c r="AD251" s="4">
        <f t="shared" si="24"/>
        <v>2.1266365855462682E-2</v>
      </c>
    </row>
    <row r="252" spans="1:30" x14ac:dyDescent="0.25">
      <c r="A252" s="40">
        <v>42853</v>
      </c>
      <c r="B252" s="39">
        <v>0.41666666666666669</v>
      </c>
      <c r="C252" s="40">
        <v>42854</v>
      </c>
      <c r="D252" s="39">
        <v>0.36458333333333331</v>
      </c>
      <c r="E252" s="41">
        <v>22.75</v>
      </c>
      <c r="F252" s="42">
        <v>2.6</v>
      </c>
      <c r="G252" s="42">
        <v>2.7</v>
      </c>
      <c r="H252" s="4">
        <v>3346</v>
      </c>
      <c r="I252" s="4">
        <v>3480</v>
      </c>
      <c r="J252" s="41">
        <f t="shared" si="25"/>
        <v>42.93019943019943</v>
      </c>
      <c r="K252" s="4">
        <v>24368</v>
      </c>
      <c r="L252" s="4">
        <v>56</v>
      </c>
      <c r="M252" s="43">
        <v>30.45</v>
      </c>
      <c r="N252" s="4">
        <v>72</v>
      </c>
      <c r="O252" s="4">
        <v>103</v>
      </c>
      <c r="P252" s="4">
        <f>16+20</f>
        <v>36</v>
      </c>
      <c r="Q252" s="4">
        <v>7</v>
      </c>
      <c r="R252" s="4">
        <v>0</v>
      </c>
      <c r="S252" s="4">
        <v>0</v>
      </c>
      <c r="T252" s="4">
        <f>6+7</f>
        <v>13</v>
      </c>
      <c r="U252" s="4">
        <v>3</v>
      </c>
      <c r="V252" s="4">
        <v>0</v>
      </c>
      <c r="W252" s="4">
        <v>0</v>
      </c>
      <c r="X252" s="44">
        <v>0</v>
      </c>
      <c r="Y252" s="44">
        <v>0</v>
      </c>
      <c r="Z252" s="4">
        <f t="shared" si="20"/>
        <v>0.83857052792248732</v>
      </c>
      <c r="AA252" s="4">
        <f t="shared" si="21"/>
        <v>0.16305538042937254</v>
      </c>
      <c r="AB252" s="4">
        <f t="shared" si="22"/>
        <v>0</v>
      </c>
      <c r="AC252" s="4">
        <f t="shared" si="23"/>
        <v>0</v>
      </c>
      <c r="AD252" s="4">
        <f t="shared" si="24"/>
        <v>0</v>
      </c>
    </row>
    <row r="253" spans="1:30" x14ac:dyDescent="0.25">
      <c r="A253" s="40">
        <v>42854</v>
      </c>
      <c r="B253" s="39">
        <v>0.36458333333333331</v>
      </c>
      <c r="C253" s="40">
        <v>42855</v>
      </c>
      <c r="D253" s="39">
        <v>0.39583333333333331</v>
      </c>
      <c r="E253" s="41">
        <v>24.75</v>
      </c>
      <c r="F253" s="42">
        <v>2.2999999999999998</v>
      </c>
      <c r="G253" s="42">
        <v>2.2000000000000002</v>
      </c>
      <c r="H253" s="4">
        <v>2984</v>
      </c>
      <c r="I253" s="4">
        <v>3288</v>
      </c>
      <c r="J253" s="41">
        <f t="shared" si="25"/>
        <v>46.532279314888015</v>
      </c>
      <c r="K253" s="4">
        <v>23674</v>
      </c>
      <c r="L253" s="4">
        <v>56</v>
      </c>
      <c r="M253" s="43">
        <v>38.700000000000003</v>
      </c>
      <c r="N253" s="4">
        <v>71</v>
      </c>
      <c r="O253" s="4">
        <v>85</v>
      </c>
      <c r="P253" s="4">
        <v>10</v>
      </c>
      <c r="Q253" s="4">
        <v>0</v>
      </c>
      <c r="R253" s="4">
        <v>0</v>
      </c>
      <c r="S253" s="4">
        <v>0</v>
      </c>
      <c r="T253" s="4">
        <v>0</v>
      </c>
      <c r="U253" s="4">
        <v>0</v>
      </c>
      <c r="V253" s="4">
        <v>0</v>
      </c>
      <c r="W253" s="4">
        <v>0</v>
      </c>
      <c r="X253" s="44">
        <v>0</v>
      </c>
      <c r="Y253" s="44">
        <v>0</v>
      </c>
      <c r="Z253" s="4">
        <f t="shared" si="20"/>
        <v>0.21490458123336539</v>
      </c>
      <c r="AA253" s="4">
        <f t="shared" si="21"/>
        <v>0</v>
      </c>
      <c r="AB253" s="4">
        <f t="shared" si="22"/>
        <v>0</v>
      </c>
      <c r="AC253" s="4">
        <f t="shared" si="23"/>
        <v>0</v>
      </c>
      <c r="AD253" s="4">
        <f t="shared" si="24"/>
        <v>0</v>
      </c>
    </row>
    <row r="254" spans="1:30" x14ac:dyDescent="0.25">
      <c r="A254" s="40">
        <v>42855</v>
      </c>
      <c r="B254" s="39">
        <v>0.39583333333333331</v>
      </c>
      <c r="C254" s="40">
        <v>42856</v>
      </c>
      <c r="D254" s="39">
        <v>0.42708333333333331</v>
      </c>
      <c r="E254" s="41">
        <v>24.75</v>
      </c>
      <c r="H254" s="4">
        <v>140</v>
      </c>
      <c r="I254" s="4">
        <v>281</v>
      </c>
      <c r="J254" s="41">
        <f xml:space="preserve"> (((H254/2.5)+(I254/2.5))/60)</f>
        <v>2.8066666666666666</v>
      </c>
      <c r="K254" s="4">
        <v>22808</v>
      </c>
      <c r="L254" s="4">
        <v>59</v>
      </c>
      <c r="M254" s="43">
        <v>32.1</v>
      </c>
      <c r="N254" s="4">
        <v>75</v>
      </c>
      <c r="O254" s="4">
        <v>75</v>
      </c>
      <c r="P254" s="4">
        <v>1</v>
      </c>
      <c r="Q254" s="4">
        <v>0</v>
      </c>
      <c r="R254" s="4">
        <v>0</v>
      </c>
      <c r="S254" s="4">
        <v>0</v>
      </c>
      <c r="T254" s="4">
        <v>2</v>
      </c>
      <c r="U254" s="4">
        <v>0</v>
      </c>
      <c r="V254" s="4">
        <v>0</v>
      </c>
      <c r="W254" s="4">
        <v>0</v>
      </c>
      <c r="X254" s="44">
        <v>0</v>
      </c>
      <c r="Y254" s="44">
        <v>0</v>
      </c>
      <c r="Z254" s="4">
        <f>P254/J254</f>
        <v>0.35629453681710216</v>
      </c>
      <c r="AA254" s="4">
        <f>Q254/J254</f>
        <v>0</v>
      </c>
      <c r="AB254" s="4">
        <f>R254/J254</f>
        <v>0</v>
      </c>
      <c r="AC254" s="4">
        <f>S254/J254</f>
        <v>0</v>
      </c>
      <c r="AD254" s="4">
        <f>X254/J254</f>
        <v>0</v>
      </c>
    </row>
    <row r="255" spans="1:30" x14ac:dyDescent="0.25">
      <c r="A255" s="40">
        <v>42856</v>
      </c>
      <c r="B255" s="39">
        <v>0.42708333333333331</v>
      </c>
      <c r="C255" s="40">
        <v>42857</v>
      </c>
      <c r="D255" s="39">
        <v>0.4375</v>
      </c>
      <c r="E255" s="41">
        <v>24.25</v>
      </c>
      <c r="F255" s="42">
        <v>2.2999999999999998</v>
      </c>
      <c r="G255" s="42">
        <v>2.5</v>
      </c>
      <c r="H255" s="4">
        <v>3050</v>
      </c>
      <c r="I255" s="4">
        <v>2577</v>
      </c>
      <c r="J255" s="41">
        <f t="shared" si="25"/>
        <v>39.28144927536232</v>
      </c>
      <c r="K255" s="4">
        <v>21349</v>
      </c>
      <c r="L255" s="4">
        <v>60</v>
      </c>
      <c r="M255" s="43">
        <v>30.2</v>
      </c>
      <c r="N255" s="4">
        <v>67</v>
      </c>
      <c r="O255" s="4">
        <v>91</v>
      </c>
      <c r="P255" s="4">
        <v>29</v>
      </c>
      <c r="Q255" s="4">
        <v>2</v>
      </c>
      <c r="R255" s="4">
        <v>0</v>
      </c>
      <c r="S255" s="4">
        <v>0</v>
      </c>
      <c r="T255" s="4">
        <v>12</v>
      </c>
      <c r="U255" s="4">
        <v>1</v>
      </c>
      <c r="V255" s="4">
        <v>0</v>
      </c>
      <c r="W255" s="4">
        <v>0</v>
      </c>
      <c r="X255" s="44">
        <v>0</v>
      </c>
      <c r="Y255" s="44">
        <v>0</v>
      </c>
      <c r="Z255" s="4">
        <f>P255/J255</f>
        <v>0.73826196678005618</v>
      </c>
      <c r="AA255" s="4">
        <f>Q255/J255</f>
        <v>5.0914618398624566E-2</v>
      </c>
      <c r="AB255" s="4">
        <f>R255/J255</f>
        <v>0</v>
      </c>
      <c r="AC255" s="4">
        <f>S255/J255</f>
        <v>0</v>
      </c>
      <c r="AD255" s="4">
        <f>X255/J255</f>
        <v>0</v>
      </c>
    </row>
    <row r="256" spans="1:30" x14ac:dyDescent="0.25">
      <c r="A256" s="40">
        <v>42857</v>
      </c>
      <c r="B256" s="39">
        <v>0.4375</v>
      </c>
      <c r="C256" s="40">
        <v>42858</v>
      </c>
      <c r="D256" s="39">
        <v>0.39583333333333331</v>
      </c>
      <c r="E256" s="41">
        <v>23</v>
      </c>
      <c r="F256" s="42">
        <v>2.1</v>
      </c>
      <c r="G256" s="42">
        <v>2.1</v>
      </c>
      <c r="H256" s="4">
        <v>2601</v>
      </c>
      <c r="I256" s="4">
        <v>2692</v>
      </c>
      <c r="J256" s="41">
        <f t="shared" si="25"/>
        <v>42.007936507936506</v>
      </c>
      <c r="K256" s="4">
        <v>19396</v>
      </c>
      <c r="L256" s="4">
        <v>63</v>
      </c>
      <c r="M256" s="43">
        <v>33.1</v>
      </c>
      <c r="N256" s="4">
        <v>53</v>
      </c>
      <c r="O256" s="4">
        <v>95</v>
      </c>
      <c r="P256" s="4">
        <f>3+16</f>
        <v>19</v>
      </c>
      <c r="Q256" s="4">
        <v>2</v>
      </c>
      <c r="R256" s="4">
        <v>0</v>
      </c>
      <c r="S256" s="4">
        <v>0</v>
      </c>
      <c r="T256" s="4">
        <v>8</v>
      </c>
      <c r="U256" s="4">
        <v>0</v>
      </c>
      <c r="V256" s="4">
        <v>0</v>
      </c>
      <c r="W256" s="4">
        <v>0</v>
      </c>
      <c r="X256" s="44">
        <v>0</v>
      </c>
      <c r="Y256" s="44">
        <v>0</v>
      </c>
      <c r="Z256" s="4">
        <f>P256/J256</f>
        <v>0.45229548460230495</v>
      </c>
      <c r="AA256" s="4">
        <f>Q256/J256</f>
        <v>4.7610051010768942E-2</v>
      </c>
      <c r="AB256" s="4">
        <f>R256/J256</f>
        <v>0</v>
      </c>
      <c r="AC256" s="4">
        <f>S256/J256</f>
        <v>0</v>
      </c>
      <c r="AD256" s="4">
        <f>X256/J256</f>
        <v>0</v>
      </c>
    </row>
    <row r="257" spans="1:30" x14ac:dyDescent="0.25">
      <c r="A257" s="40">
        <v>42858</v>
      </c>
      <c r="B257" s="39">
        <v>0.39583333333333331</v>
      </c>
      <c r="C257" s="40">
        <v>42859</v>
      </c>
      <c r="D257" s="39">
        <v>0.45833333333333331</v>
      </c>
      <c r="E257" s="41">
        <v>25.5</v>
      </c>
      <c r="F257" s="42">
        <v>2.6</v>
      </c>
      <c r="G257" s="42">
        <v>1.7</v>
      </c>
      <c r="H257" s="4">
        <v>1713</v>
      </c>
      <c r="I257" s="4">
        <v>2307</v>
      </c>
      <c r="J257" s="41">
        <f t="shared" si="25"/>
        <v>33.598416289592755</v>
      </c>
      <c r="K257" s="4">
        <v>17211</v>
      </c>
      <c r="L257" s="4">
        <v>64</v>
      </c>
      <c r="M257" s="43">
        <v>34.4</v>
      </c>
      <c r="N257" s="4">
        <v>76</v>
      </c>
      <c r="O257" s="4">
        <v>90</v>
      </c>
      <c r="P257" s="4">
        <f>4+8</f>
        <v>12</v>
      </c>
      <c r="Q257" s="4">
        <v>0</v>
      </c>
      <c r="R257" s="4">
        <v>0</v>
      </c>
      <c r="S257" s="4">
        <v>0</v>
      </c>
      <c r="T257" s="4">
        <v>2</v>
      </c>
      <c r="U257" s="4">
        <v>0</v>
      </c>
      <c r="V257" s="4">
        <v>0</v>
      </c>
      <c r="W257" s="4">
        <v>0</v>
      </c>
      <c r="X257" s="44">
        <v>0</v>
      </c>
      <c r="Y257" s="44">
        <v>0</v>
      </c>
      <c r="Z257" s="4">
        <f>P257/J257</f>
        <v>0.35715969159287569</v>
      </c>
      <c r="AA257" s="4">
        <f>Q257/J257</f>
        <v>0</v>
      </c>
      <c r="AB257" s="4">
        <f>R257/J257</f>
        <v>0</v>
      </c>
      <c r="AC257" s="4">
        <f>S257/J257</f>
        <v>0</v>
      </c>
      <c r="AD257" s="4">
        <f>X257/J257</f>
        <v>0</v>
      </c>
    </row>
    <row r="258" spans="1:30" x14ac:dyDescent="0.25">
      <c r="A258" s="40">
        <v>42859</v>
      </c>
      <c r="B258" s="39">
        <v>0.45833333333333331</v>
      </c>
      <c r="C258" s="40">
        <v>42860</v>
      </c>
      <c r="D258" s="39">
        <v>0.44791666666666669</v>
      </c>
      <c r="E258" s="41">
        <v>23.75</v>
      </c>
      <c r="F258" s="42">
        <v>1</v>
      </c>
      <c r="G258" s="42">
        <v>1.3</v>
      </c>
      <c r="H258" s="4">
        <v>1845</v>
      </c>
      <c r="I258" s="4">
        <v>2005</v>
      </c>
      <c r="J258" s="41">
        <f t="shared" si="25"/>
        <v>56.455128205128204</v>
      </c>
      <c r="K258" s="4">
        <v>15338</v>
      </c>
      <c r="L258" s="4">
        <v>66</v>
      </c>
      <c r="M258" s="43">
        <v>45.1</v>
      </c>
      <c r="N258" s="4">
        <v>73</v>
      </c>
      <c r="O258" s="4">
        <v>89</v>
      </c>
      <c r="P258" s="4">
        <v>9</v>
      </c>
      <c r="Q258" s="4">
        <v>0</v>
      </c>
      <c r="R258" s="4">
        <v>0</v>
      </c>
      <c r="S258" s="4">
        <v>0</v>
      </c>
      <c r="T258" s="4">
        <v>3</v>
      </c>
      <c r="U258" s="4">
        <v>0</v>
      </c>
      <c r="V258" s="4">
        <v>0</v>
      </c>
      <c r="W258" s="4">
        <v>0</v>
      </c>
      <c r="X258" s="44">
        <v>0</v>
      </c>
      <c r="Y258" s="44">
        <v>0</v>
      </c>
      <c r="Z258" s="4">
        <f t="shared" ref="Z258:Z302" si="26">P258/J258</f>
        <v>0.15941864426024754</v>
      </c>
      <c r="AA258" s="4">
        <f t="shared" ref="AA258:AA302" si="27">Q258/J258</f>
        <v>0</v>
      </c>
      <c r="AB258" s="4">
        <f t="shared" ref="AB258:AB302" si="28">R258/J258</f>
        <v>0</v>
      </c>
      <c r="AC258" s="4">
        <f t="shared" ref="AC258:AC302" si="29">S258/J258</f>
        <v>0</v>
      </c>
      <c r="AD258" s="4">
        <f t="shared" ref="AD258:AD302" si="30">X258/J258</f>
        <v>0</v>
      </c>
    </row>
    <row r="259" spans="1:30" x14ac:dyDescent="0.25">
      <c r="A259" s="40">
        <v>42860</v>
      </c>
      <c r="B259" s="39">
        <v>0.44791666666666669</v>
      </c>
      <c r="C259" s="40">
        <v>42861</v>
      </c>
      <c r="D259" s="39">
        <v>0.45833333333333331</v>
      </c>
      <c r="E259" s="41">
        <v>24.25</v>
      </c>
      <c r="F259" s="42">
        <v>0.9</v>
      </c>
      <c r="G259" s="42">
        <v>1.1000000000000001</v>
      </c>
      <c r="H259" s="4">
        <v>542</v>
      </c>
      <c r="I259" s="4">
        <v>1953</v>
      </c>
      <c r="J259" s="41">
        <f t="shared" si="25"/>
        <v>39.627946127946124</v>
      </c>
      <c r="K259" s="4">
        <v>13556</v>
      </c>
      <c r="L259" s="4">
        <v>67</v>
      </c>
      <c r="M259" s="43">
        <v>44.5</v>
      </c>
      <c r="N259" s="4">
        <v>74</v>
      </c>
      <c r="O259" s="4">
        <v>103</v>
      </c>
      <c r="P259" s="4">
        <v>5</v>
      </c>
      <c r="Q259" s="4">
        <v>1</v>
      </c>
      <c r="R259" s="4">
        <v>0</v>
      </c>
      <c r="S259" s="4">
        <v>0</v>
      </c>
      <c r="T259" s="4">
        <v>2</v>
      </c>
      <c r="U259" s="4">
        <v>0</v>
      </c>
      <c r="V259" s="4">
        <v>0</v>
      </c>
      <c r="W259" s="4">
        <v>0</v>
      </c>
      <c r="X259" s="44">
        <v>1</v>
      </c>
      <c r="Y259" s="44">
        <v>0</v>
      </c>
      <c r="Z259" s="4">
        <f t="shared" si="26"/>
        <v>0.12617358426441228</v>
      </c>
      <c r="AA259" s="4">
        <f t="shared" si="27"/>
        <v>2.5234716852882453E-2</v>
      </c>
      <c r="AB259" s="4">
        <f t="shared" si="28"/>
        <v>0</v>
      </c>
      <c r="AC259" s="4">
        <f t="shared" si="29"/>
        <v>0</v>
      </c>
      <c r="AD259" s="4">
        <f t="shared" si="30"/>
        <v>2.5234716852882453E-2</v>
      </c>
    </row>
    <row r="260" spans="1:30" x14ac:dyDescent="0.25">
      <c r="A260" s="40">
        <v>42861</v>
      </c>
      <c r="B260" s="39">
        <v>0.45833333333333331</v>
      </c>
      <c r="C260" s="40">
        <v>42862</v>
      </c>
      <c r="D260" s="39">
        <v>0.4375</v>
      </c>
      <c r="E260" s="41">
        <v>23.5</v>
      </c>
      <c r="F260" s="42">
        <v>1</v>
      </c>
      <c r="G260" s="42">
        <v>1.4</v>
      </c>
      <c r="H260" s="4">
        <v>269</v>
      </c>
      <c r="I260" s="4">
        <v>438</v>
      </c>
      <c r="J260" s="41">
        <f t="shared" si="25"/>
        <v>9.6976190476190478</v>
      </c>
      <c r="K260" s="4">
        <v>12268</v>
      </c>
      <c r="L260" s="4">
        <v>64</v>
      </c>
      <c r="M260" s="43">
        <v>41.3</v>
      </c>
      <c r="N260" s="4">
        <v>76</v>
      </c>
      <c r="O260" s="4">
        <v>86</v>
      </c>
      <c r="P260" s="4">
        <v>4</v>
      </c>
      <c r="Q260" s="4">
        <v>0</v>
      </c>
      <c r="R260" s="4">
        <v>0</v>
      </c>
      <c r="S260" s="4">
        <v>0</v>
      </c>
      <c r="T260" s="4">
        <v>2</v>
      </c>
      <c r="U260" s="4">
        <v>0</v>
      </c>
      <c r="V260" s="4">
        <v>0</v>
      </c>
      <c r="W260" s="4">
        <v>0</v>
      </c>
      <c r="X260" s="44">
        <v>0</v>
      </c>
      <c r="Y260" s="44">
        <v>0</v>
      </c>
      <c r="Z260" s="4">
        <f t="shared" si="26"/>
        <v>0.41247237908175793</v>
      </c>
      <c r="AA260" s="4">
        <f t="shared" si="27"/>
        <v>0</v>
      </c>
      <c r="AB260" s="4">
        <f t="shared" si="28"/>
        <v>0</v>
      </c>
      <c r="AC260" s="4">
        <f t="shared" si="29"/>
        <v>0</v>
      </c>
      <c r="AD260" s="4">
        <f t="shared" si="30"/>
        <v>0</v>
      </c>
    </row>
    <row r="261" spans="1:30" x14ac:dyDescent="0.25">
      <c r="A261" s="40">
        <v>42862</v>
      </c>
      <c r="B261" s="39">
        <v>0.4375</v>
      </c>
      <c r="C261" s="40">
        <v>42863</v>
      </c>
      <c r="D261" s="39">
        <v>0.42708333333333331</v>
      </c>
      <c r="E261" s="41">
        <v>23.45</v>
      </c>
      <c r="F261" s="42">
        <v>1.3</v>
      </c>
      <c r="G261" s="42">
        <v>1.3</v>
      </c>
      <c r="H261" s="4">
        <v>1593</v>
      </c>
      <c r="I261" s="4">
        <v>2004</v>
      </c>
      <c r="J261" s="41">
        <f t="shared" si="25"/>
        <v>46.115384615384613</v>
      </c>
      <c r="K261" s="4">
        <v>11172</v>
      </c>
      <c r="L261" s="4">
        <v>63</v>
      </c>
      <c r="M261" s="43">
        <v>54.2</v>
      </c>
      <c r="N261" s="4">
        <v>53</v>
      </c>
      <c r="O261" s="4">
        <v>97</v>
      </c>
      <c r="P261" s="4">
        <v>9</v>
      </c>
      <c r="Q261" s="4">
        <v>1</v>
      </c>
      <c r="R261" s="4">
        <v>0</v>
      </c>
      <c r="S261" s="4">
        <v>0</v>
      </c>
      <c r="T261" s="4">
        <v>0</v>
      </c>
      <c r="U261" s="4">
        <v>0</v>
      </c>
      <c r="V261" s="4">
        <v>0</v>
      </c>
      <c r="W261" s="4">
        <v>0</v>
      </c>
      <c r="X261" s="44">
        <v>0</v>
      </c>
      <c r="Y261" s="44">
        <v>0</v>
      </c>
      <c r="Z261" s="4">
        <f t="shared" si="26"/>
        <v>0.19516263552960803</v>
      </c>
      <c r="AA261" s="4">
        <f t="shared" si="27"/>
        <v>2.1684737281067557E-2</v>
      </c>
      <c r="AB261" s="4">
        <f t="shared" si="28"/>
        <v>0</v>
      </c>
      <c r="AC261" s="4">
        <f t="shared" si="29"/>
        <v>0</v>
      </c>
      <c r="AD261" s="4">
        <f t="shared" si="30"/>
        <v>0</v>
      </c>
    </row>
    <row r="262" spans="1:30" x14ac:dyDescent="0.25">
      <c r="A262" s="40">
        <v>42863</v>
      </c>
      <c r="B262" s="39">
        <v>0.42708333333333331</v>
      </c>
      <c r="C262" s="40">
        <v>42864</v>
      </c>
      <c r="D262" s="39">
        <v>0.45833333333333331</v>
      </c>
      <c r="E262" s="41">
        <v>24.75</v>
      </c>
      <c r="F262" s="42">
        <v>1.2</v>
      </c>
      <c r="G262" s="42">
        <v>1.6</v>
      </c>
      <c r="H262" s="4">
        <v>228</v>
      </c>
      <c r="I262" s="4">
        <v>2700</v>
      </c>
      <c r="J262" s="41">
        <f t="shared" si="25"/>
        <v>31.291666666666668</v>
      </c>
      <c r="K262" s="4">
        <v>14262</v>
      </c>
      <c r="L262" s="4">
        <v>66</v>
      </c>
      <c r="M262" s="43">
        <v>60.5</v>
      </c>
      <c r="N262" s="4">
        <v>67</v>
      </c>
      <c r="O262" s="4">
        <v>98</v>
      </c>
      <c r="P262" s="4">
        <v>4</v>
      </c>
      <c r="Q262" s="4">
        <v>2</v>
      </c>
      <c r="R262" s="4">
        <v>0</v>
      </c>
      <c r="S262" s="4">
        <v>0</v>
      </c>
      <c r="T262" s="4">
        <v>1</v>
      </c>
      <c r="U262" s="4">
        <v>0</v>
      </c>
      <c r="V262" s="4">
        <v>0</v>
      </c>
      <c r="W262" s="4">
        <v>0</v>
      </c>
      <c r="X262" s="44">
        <v>0</v>
      </c>
      <c r="Y262" s="44">
        <v>0</v>
      </c>
      <c r="Z262" s="4">
        <f t="shared" si="26"/>
        <v>0.12782956058588549</v>
      </c>
      <c r="AA262" s="4">
        <f t="shared" si="27"/>
        <v>6.3914780292942744E-2</v>
      </c>
      <c r="AB262" s="4">
        <f t="shared" si="28"/>
        <v>0</v>
      </c>
      <c r="AC262" s="4">
        <f t="shared" si="29"/>
        <v>0</v>
      </c>
      <c r="AD262" s="4">
        <f t="shared" si="30"/>
        <v>0</v>
      </c>
    </row>
    <row r="263" spans="1:30" x14ac:dyDescent="0.25">
      <c r="A263" s="40">
        <v>42864</v>
      </c>
      <c r="B263" s="39">
        <v>0.45833333333333331</v>
      </c>
      <c r="C263" s="40">
        <v>42865</v>
      </c>
      <c r="D263" s="39">
        <v>0.52083333333333337</v>
      </c>
      <c r="E263" s="41">
        <v>25.5</v>
      </c>
      <c r="F263" s="42">
        <v>1.7</v>
      </c>
      <c r="G263" s="42">
        <v>1.9</v>
      </c>
      <c r="H263" s="4">
        <v>1830</v>
      </c>
      <c r="I263" s="4">
        <v>3174</v>
      </c>
      <c r="J263" s="41">
        <f t="shared" si="25"/>
        <v>45.783281733746129</v>
      </c>
      <c r="K263" s="4">
        <v>14746</v>
      </c>
      <c r="L263" s="4">
        <v>65</v>
      </c>
      <c r="M263" s="43">
        <v>52.2</v>
      </c>
      <c r="N263" s="4">
        <v>67</v>
      </c>
      <c r="O263" s="4">
        <v>97</v>
      </c>
      <c r="P263" s="4">
        <v>7</v>
      </c>
      <c r="Q263" s="4">
        <v>1</v>
      </c>
      <c r="R263" s="4">
        <v>0</v>
      </c>
      <c r="S263" s="4">
        <v>0</v>
      </c>
      <c r="T263" s="4">
        <v>0</v>
      </c>
      <c r="U263" s="4">
        <v>0</v>
      </c>
      <c r="V263" s="4">
        <v>0</v>
      </c>
      <c r="W263" s="4">
        <v>0</v>
      </c>
      <c r="X263" s="44">
        <v>3</v>
      </c>
      <c r="Y263" s="44">
        <v>0</v>
      </c>
      <c r="Z263" s="4">
        <f t="shared" si="26"/>
        <v>0.152894238571815</v>
      </c>
      <c r="AA263" s="4">
        <f t="shared" si="27"/>
        <v>2.1842034081687854E-2</v>
      </c>
      <c r="AB263" s="4">
        <f t="shared" si="28"/>
        <v>0</v>
      </c>
      <c r="AC263" s="4">
        <f t="shared" si="29"/>
        <v>0</v>
      </c>
      <c r="AD263" s="4">
        <f t="shared" si="30"/>
        <v>6.5526102245063569E-2</v>
      </c>
    </row>
    <row r="264" spans="1:30" x14ac:dyDescent="0.25">
      <c r="A264" s="40">
        <v>42865</v>
      </c>
      <c r="B264" s="39">
        <v>0.52083333333333337</v>
      </c>
      <c r="C264" s="40">
        <v>42866</v>
      </c>
      <c r="D264" s="39">
        <v>0.41666666666666669</v>
      </c>
      <c r="E264" s="41">
        <v>21.5</v>
      </c>
      <c r="F264" s="42">
        <v>1.6</v>
      </c>
      <c r="G264" s="42">
        <v>1.6</v>
      </c>
      <c r="H264" s="4">
        <v>2130</v>
      </c>
      <c r="I264" s="4">
        <v>2719</v>
      </c>
      <c r="J264" s="41">
        <f t="shared" si="25"/>
        <v>50.510416666666664</v>
      </c>
      <c r="K264" s="4">
        <v>14585</v>
      </c>
      <c r="L264" s="4">
        <v>61</v>
      </c>
      <c r="M264" s="43">
        <v>38.549999999999997</v>
      </c>
      <c r="N264" s="4">
        <v>49</v>
      </c>
      <c r="O264" s="4">
        <v>81</v>
      </c>
      <c r="P264" s="4">
        <v>5</v>
      </c>
      <c r="Q264" s="4">
        <v>0</v>
      </c>
      <c r="R264" s="4">
        <v>0</v>
      </c>
      <c r="S264" s="4">
        <v>0</v>
      </c>
      <c r="T264" s="4">
        <v>0</v>
      </c>
      <c r="U264" s="4">
        <v>0</v>
      </c>
      <c r="V264" s="4">
        <v>0</v>
      </c>
      <c r="W264" s="4">
        <v>0</v>
      </c>
      <c r="X264" s="44">
        <v>0</v>
      </c>
      <c r="Y264" s="44">
        <v>0</v>
      </c>
      <c r="Z264" s="4">
        <f t="shared" si="26"/>
        <v>9.8989482367498452E-2</v>
      </c>
      <c r="AA264" s="4">
        <f t="shared" si="27"/>
        <v>0</v>
      </c>
      <c r="AB264" s="4">
        <f t="shared" si="28"/>
        <v>0</v>
      </c>
      <c r="AC264" s="4">
        <f t="shared" si="29"/>
        <v>0</v>
      </c>
      <c r="AD264" s="4">
        <f t="shared" si="30"/>
        <v>0</v>
      </c>
    </row>
    <row r="265" spans="1:30" x14ac:dyDescent="0.25">
      <c r="A265" s="40">
        <v>42866</v>
      </c>
      <c r="B265" s="39">
        <v>0.41666666666666669</v>
      </c>
      <c r="C265" s="40">
        <v>42867</v>
      </c>
      <c r="D265" s="39">
        <v>0.40625</v>
      </c>
      <c r="E265" s="41">
        <v>24.75</v>
      </c>
      <c r="F265" s="42">
        <v>1</v>
      </c>
      <c r="G265" s="42">
        <v>1.54</v>
      </c>
      <c r="H265" s="4">
        <v>1288</v>
      </c>
      <c r="I265" s="4">
        <v>228</v>
      </c>
      <c r="J265" s="41">
        <f t="shared" si="25"/>
        <v>23.934199134199137</v>
      </c>
      <c r="K265" s="4">
        <v>14484</v>
      </c>
      <c r="L265" s="4">
        <v>63</v>
      </c>
      <c r="M265" s="43">
        <v>29.7</v>
      </c>
      <c r="N265" s="4">
        <v>79</v>
      </c>
      <c r="O265" s="4">
        <v>79</v>
      </c>
      <c r="P265" s="4">
        <v>1</v>
      </c>
      <c r="Q265" s="4">
        <v>0</v>
      </c>
      <c r="R265" s="4">
        <v>0</v>
      </c>
      <c r="S265" s="4">
        <v>0</v>
      </c>
      <c r="T265" s="4">
        <v>0</v>
      </c>
      <c r="U265" s="4">
        <v>0</v>
      </c>
      <c r="V265" s="4">
        <v>0</v>
      </c>
      <c r="W265" s="4">
        <v>0</v>
      </c>
      <c r="X265" s="44">
        <v>0</v>
      </c>
      <c r="Y265" s="44">
        <v>0</v>
      </c>
      <c r="Z265" s="4">
        <f t="shared" si="26"/>
        <v>4.1781218347561856E-2</v>
      </c>
      <c r="AA265" s="4">
        <f t="shared" si="27"/>
        <v>0</v>
      </c>
      <c r="AB265" s="4">
        <f t="shared" si="28"/>
        <v>0</v>
      </c>
      <c r="AC265" s="4">
        <f t="shared" si="29"/>
        <v>0</v>
      </c>
      <c r="AD265" s="4">
        <f t="shared" si="30"/>
        <v>0</v>
      </c>
    </row>
    <row r="266" spans="1:30" x14ac:dyDescent="0.25">
      <c r="A266" s="40">
        <v>42867</v>
      </c>
      <c r="B266" s="39">
        <v>0.40625</v>
      </c>
      <c r="C266" s="40">
        <v>42868</v>
      </c>
      <c r="D266" s="39">
        <v>0.45833333333333331</v>
      </c>
      <c r="E266" s="41">
        <v>25.25</v>
      </c>
      <c r="F266" s="42">
        <v>0.9</v>
      </c>
      <c r="G266" s="42">
        <v>1.5</v>
      </c>
      <c r="H266" s="4">
        <v>167</v>
      </c>
      <c r="I266" s="4">
        <v>1740</v>
      </c>
      <c r="J266" s="41">
        <f t="shared" si="25"/>
        <v>22.425925925925927</v>
      </c>
      <c r="K266" s="4">
        <v>14585</v>
      </c>
      <c r="L266" s="4">
        <v>60</v>
      </c>
      <c r="M266" s="43">
        <v>25.15</v>
      </c>
      <c r="P266" s="4">
        <v>0</v>
      </c>
      <c r="Q266" s="4">
        <v>0</v>
      </c>
      <c r="R266" s="4">
        <v>0</v>
      </c>
      <c r="S266" s="4">
        <v>0</v>
      </c>
      <c r="T266" s="4">
        <v>0</v>
      </c>
      <c r="U266" s="4">
        <v>0</v>
      </c>
      <c r="V266" s="4">
        <v>0</v>
      </c>
      <c r="W266" s="4">
        <v>0</v>
      </c>
      <c r="X266" s="44">
        <v>0</v>
      </c>
      <c r="Y266" s="44">
        <v>0</v>
      </c>
      <c r="Z266" s="4">
        <f t="shared" si="26"/>
        <v>0</v>
      </c>
      <c r="AA266" s="4">
        <f t="shared" si="27"/>
        <v>0</v>
      </c>
      <c r="AB266" s="4">
        <f t="shared" si="28"/>
        <v>0</v>
      </c>
      <c r="AC266" s="4">
        <f t="shared" si="29"/>
        <v>0</v>
      </c>
      <c r="AD266" s="4">
        <f t="shared" si="30"/>
        <v>0</v>
      </c>
    </row>
    <row r="267" spans="1:30" x14ac:dyDescent="0.25">
      <c r="A267" s="40">
        <v>42868</v>
      </c>
      <c r="B267" s="39">
        <v>0.45833333333333331</v>
      </c>
      <c r="C267" s="40">
        <v>42869</v>
      </c>
      <c r="D267" s="39">
        <v>0.47916666666666669</v>
      </c>
      <c r="E267" s="41">
        <v>24.5</v>
      </c>
      <c r="F267" s="42">
        <v>0.4</v>
      </c>
      <c r="G267" s="42">
        <v>0.6</v>
      </c>
      <c r="H267" s="4">
        <v>186</v>
      </c>
      <c r="I267" s="4">
        <v>223</v>
      </c>
      <c r="J267" s="41">
        <f t="shared" si="25"/>
        <v>13.944444444444446</v>
      </c>
      <c r="K267" s="4">
        <v>14574</v>
      </c>
      <c r="L267" s="4">
        <v>64</v>
      </c>
      <c r="M267" s="43">
        <v>24.75</v>
      </c>
      <c r="P267" s="4">
        <v>0</v>
      </c>
      <c r="Q267" s="4">
        <v>0</v>
      </c>
      <c r="R267" s="4">
        <v>0</v>
      </c>
      <c r="S267" s="4">
        <v>0</v>
      </c>
      <c r="T267" s="4">
        <v>0</v>
      </c>
      <c r="U267" s="4">
        <v>0</v>
      </c>
      <c r="V267" s="4">
        <v>0</v>
      </c>
      <c r="W267" s="4">
        <v>0</v>
      </c>
      <c r="X267" s="44">
        <v>0</v>
      </c>
      <c r="Y267" s="44">
        <v>0</v>
      </c>
      <c r="Z267" s="4">
        <f t="shared" si="26"/>
        <v>0</v>
      </c>
      <c r="AA267" s="4">
        <f t="shared" si="27"/>
        <v>0</v>
      </c>
      <c r="AB267" s="4">
        <f t="shared" si="28"/>
        <v>0</v>
      </c>
      <c r="AC267" s="4">
        <f t="shared" si="29"/>
        <v>0</v>
      </c>
      <c r="AD267" s="4">
        <f t="shared" si="30"/>
        <v>0</v>
      </c>
    </row>
    <row r="268" spans="1:30" x14ac:dyDescent="0.25">
      <c r="A268" s="40">
        <v>42869</v>
      </c>
      <c r="B268" s="39">
        <v>0.47916666666666669</v>
      </c>
      <c r="C268" s="40">
        <v>42870</v>
      </c>
      <c r="D268" s="39">
        <v>0.42708333333333331</v>
      </c>
      <c r="E268" s="41">
        <v>22.75</v>
      </c>
      <c r="F268" s="42">
        <v>0.3</v>
      </c>
      <c r="G268" s="42">
        <v>1.1000000000000001</v>
      </c>
      <c r="H268" s="4">
        <v>166</v>
      </c>
      <c r="I268" s="4">
        <v>1155</v>
      </c>
      <c r="J268" s="41">
        <f t="shared" si="25"/>
        <v>26.722222222222225</v>
      </c>
      <c r="K268" s="4">
        <v>14484</v>
      </c>
      <c r="L268" s="4">
        <v>62</v>
      </c>
      <c r="M268" s="43">
        <v>22.12</v>
      </c>
      <c r="P268" s="4">
        <v>0</v>
      </c>
      <c r="Q268" s="4">
        <v>0</v>
      </c>
      <c r="R268" s="4">
        <v>0</v>
      </c>
      <c r="S268" s="4">
        <v>0</v>
      </c>
      <c r="T268" s="4">
        <v>0</v>
      </c>
      <c r="U268" s="4">
        <v>0</v>
      </c>
      <c r="V268" s="4">
        <v>0</v>
      </c>
      <c r="W268" s="4">
        <v>0</v>
      </c>
      <c r="X268" s="44">
        <v>0</v>
      </c>
      <c r="Y268" s="44">
        <v>0</v>
      </c>
      <c r="Z268" s="4">
        <f t="shared" si="26"/>
        <v>0</v>
      </c>
      <c r="AA268" s="4">
        <f t="shared" si="27"/>
        <v>0</v>
      </c>
      <c r="AB268" s="4">
        <f t="shared" si="28"/>
        <v>0</v>
      </c>
      <c r="AC268" s="4">
        <f t="shared" si="29"/>
        <v>0</v>
      </c>
      <c r="AD268" s="4">
        <f t="shared" si="30"/>
        <v>0</v>
      </c>
    </row>
    <row r="269" spans="1:30" x14ac:dyDescent="0.25">
      <c r="A269" s="40">
        <v>42870</v>
      </c>
      <c r="B269" s="39">
        <v>0.42708333333333331</v>
      </c>
      <c r="C269" s="40">
        <v>42871</v>
      </c>
      <c r="D269" s="39">
        <v>0.5</v>
      </c>
      <c r="E269" s="41">
        <v>25.75</v>
      </c>
      <c r="F269" s="42">
        <v>0.6</v>
      </c>
      <c r="G269" s="42">
        <v>1.1000000000000001</v>
      </c>
      <c r="H269" s="4">
        <v>99</v>
      </c>
      <c r="I269" s="4">
        <v>165</v>
      </c>
      <c r="J269" s="41">
        <f t="shared" si="25"/>
        <v>5.25</v>
      </c>
      <c r="K269" s="4">
        <v>14051</v>
      </c>
      <c r="L269" s="4">
        <v>61</v>
      </c>
      <c r="M269" s="43">
        <v>20.2</v>
      </c>
      <c r="P269" s="4">
        <v>0</v>
      </c>
      <c r="Q269" s="4">
        <v>0</v>
      </c>
      <c r="R269" s="4">
        <v>0</v>
      </c>
      <c r="S269" s="4">
        <v>0</v>
      </c>
      <c r="T269" s="4">
        <v>0</v>
      </c>
      <c r="U269" s="4">
        <v>0</v>
      </c>
      <c r="V269" s="4">
        <v>0</v>
      </c>
      <c r="W269" s="4">
        <v>0</v>
      </c>
      <c r="X269" s="44">
        <v>0</v>
      </c>
      <c r="Y269" s="44">
        <v>0</v>
      </c>
      <c r="Z269" s="4">
        <f t="shared" si="26"/>
        <v>0</v>
      </c>
      <c r="AA269" s="4">
        <f t="shared" si="27"/>
        <v>0</v>
      </c>
      <c r="AB269" s="4">
        <f t="shared" si="28"/>
        <v>0</v>
      </c>
      <c r="AC269" s="4">
        <f t="shared" si="29"/>
        <v>0</v>
      </c>
      <c r="AD269" s="4">
        <f t="shared" si="30"/>
        <v>0</v>
      </c>
    </row>
    <row r="270" spans="1:30" x14ac:dyDescent="0.25">
      <c r="A270" s="40">
        <v>42871</v>
      </c>
      <c r="B270" s="39">
        <v>0.5</v>
      </c>
      <c r="C270" s="40">
        <v>42872</v>
      </c>
      <c r="D270" s="39">
        <v>0.40625</v>
      </c>
      <c r="E270" s="41">
        <v>21.75</v>
      </c>
      <c r="F270" s="42">
        <v>0.6</v>
      </c>
      <c r="G270" s="42">
        <v>1.4</v>
      </c>
      <c r="H270" s="4">
        <v>134</v>
      </c>
      <c r="I270" s="4">
        <v>1617</v>
      </c>
      <c r="J270" s="41">
        <f t="shared" si="25"/>
        <v>22.972222222222221</v>
      </c>
      <c r="K270" s="4">
        <v>13655</v>
      </c>
      <c r="L270" s="4">
        <v>60</v>
      </c>
      <c r="M270" s="43">
        <v>20.9</v>
      </c>
      <c r="P270" s="4">
        <v>0</v>
      </c>
      <c r="Q270" s="4">
        <v>0</v>
      </c>
      <c r="R270" s="4">
        <v>0</v>
      </c>
      <c r="S270" s="4">
        <v>0</v>
      </c>
      <c r="T270" s="4">
        <v>0</v>
      </c>
      <c r="U270" s="4">
        <v>0</v>
      </c>
      <c r="V270" s="4">
        <v>0</v>
      </c>
      <c r="W270" s="4">
        <v>0</v>
      </c>
      <c r="X270" s="44">
        <v>0</v>
      </c>
      <c r="Y270" s="44">
        <v>0</v>
      </c>
      <c r="Z270" s="4">
        <f t="shared" si="26"/>
        <v>0</v>
      </c>
      <c r="AA270" s="4">
        <f t="shared" si="27"/>
        <v>0</v>
      </c>
      <c r="AB270" s="4">
        <f t="shared" si="28"/>
        <v>0</v>
      </c>
      <c r="AC270" s="4">
        <f t="shared" si="29"/>
        <v>0</v>
      </c>
      <c r="AD270" s="4">
        <f t="shared" si="30"/>
        <v>0</v>
      </c>
    </row>
    <row r="271" spans="1:30" x14ac:dyDescent="0.25">
      <c r="A271" s="40">
        <v>42872</v>
      </c>
      <c r="B271" s="39">
        <v>0.40625</v>
      </c>
      <c r="C271" s="40">
        <v>42873</v>
      </c>
      <c r="D271" s="39">
        <v>0.45833333333333331</v>
      </c>
      <c r="E271" s="41">
        <v>25.25</v>
      </c>
      <c r="F271" s="42">
        <v>1.2</v>
      </c>
      <c r="G271" s="42">
        <v>1.4</v>
      </c>
      <c r="H271" s="4">
        <v>1637</v>
      </c>
      <c r="I271" s="4">
        <v>1945</v>
      </c>
      <c r="J271" s="41">
        <f t="shared" si="25"/>
        <v>45.890873015873019</v>
      </c>
      <c r="K271" s="4">
        <v>13206</v>
      </c>
      <c r="L271" s="4">
        <v>61</v>
      </c>
      <c r="M271" s="43">
        <v>19</v>
      </c>
      <c r="N271" s="4">
        <v>86</v>
      </c>
      <c r="O271" s="4">
        <v>86</v>
      </c>
      <c r="P271" s="4">
        <v>2</v>
      </c>
      <c r="Q271" s="4">
        <v>0</v>
      </c>
      <c r="R271" s="4">
        <v>0</v>
      </c>
      <c r="S271" s="4">
        <v>0</v>
      </c>
      <c r="T271" s="4">
        <v>0</v>
      </c>
      <c r="U271" s="4">
        <v>0</v>
      </c>
      <c r="V271" s="4">
        <v>0</v>
      </c>
      <c r="W271" s="4">
        <v>0</v>
      </c>
      <c r="X271" s="44">
        <v>0</v>
      </c>
      <c r="Y271" s="44">
        <v>0</v>
      </c>
      <c r="Z271" s="4">
        <f t="shared" si="26"/>
        <v>4.3581650741493359E-2</v>
      </c>
      <c r="AA271" s="4">
        <f t="shared" si="27"/>
        <v>0</v>
      </c>
      <c r="AB271" s="4">
        <f t="shared" si="28"/>
        <v>0</v>
      </c>
      <c r="AC271" s="4">
        <f t="shared" si="29"/>
        <v>0</v>
      </c>
      <c r="AD271" s="4">
        <f t="shared" si="30"/>
        <v>0</v>
      </c>
    </row>
    <row r="272" spans="1:30" x14ac:dyDescent="0.25">
      <c r="A272" s="40">
        <v>42873</v>
      </c>
      <c r="B272" s="39">
        <v>0.45833333333333331</v>
      </c>
      <c r="C272" s="40">
        <v>42874</v>
      </c>
      <c r="D272" s="39">
        <v>0.44791666666666669</v>
      </c>
      <c r="E272" s="41">
        <v>23.75</v>
      </c>
      <c r="F272" s="42">
        <v>1.2</v>
      </c>
      <c r="G272" s="42">
        <v>1.5</v>
      </c>
      <c r="H272" s="4">
        <v>861</v>
      </c>
      <c r="I272" s="4">
        <v>1593</v>
      </c>
      <c r="J272" s="41">
        <f t="shared" si="25"/>
        <v>29.658333333333335</v>
      </c>
      <c r="K272" s="4">
        <v>12827</v>
      </c>
      <c r="L272" s="4">
        <v>61</v>
      </c>
      <c r="M272" s="43">
        <v>22.2</v>
      </c>
      <c r="P272" s="4">
        <v>0</v>
      </c>
      <c r="Q272" s="4">
        <v>0</v>
      </c>
      <c r="R272" s="4">
        <v>0</v>
      </c>
      <c r="S272" s="4">
        <v>0</v>
      </c>
      <c r="T272" s="4">
        <v>0</v>
      </c>
      <c r="U272" s="4">
        <v>0</v>
      </c>
      <c r="V272" s="4">
        <v>0</v>
      </c>
      <c r="W272" s="4">
        <v>0</v>
      </c>
      <c r="X272" s="44">
        <v>1</v>
      </c>
      <c r="Y272" s="44">
        <v>0</v>
      </c>
      <c r="Z272" s="4">
        <f t="shared" si="26"/>
        <v>0</v>
      </c>
      <c r="AA272" s="4">
        <f t="shared" si="27"/>
        <v>0</v>
      </c>
      <c r="AB272" s="4">
        <f t="shared" si="28"/>
        <v>0</v>
      </c>
      <c r="AC272" s="4">
        <f t="shared" si="29"/>
        <v>0</v>
      </c>
      <c r="AD272" s="4">
        <f t="shared" si="30"/>
        <v>3.3717336330429892E-2</v>
      </c>
    </row>
    <row r="273" spans="1:31" x14ac:dyDescent="0.25">
      <c r="A273" s="40">
        <v>42874</v>
      </c>
      <c r="B273" s="39">
        <v>0.44791666666666669</v>
      </c>
      <c r="C273" s="40">
        <v>42875</v>
      </c>
      <c r="D273" s="39">
        <v>0.48958333333333331</v>
      </c>
      <c r="E273" s="41">
        <v>25</v>
      </c>
      <c r="F273" s="42">
        <v>0.9</v>
      </c>
      <c r="G273" s="42">
        <v>1.1000000000000001</v>
      </c>
      <c r="H273" s="4">
        <v>207</v>
      </c>
      <c r="I273" s="4">
        <v>173</v>
      </c>
      <c r="J273" s="41">
        <f t="shared" si="25"/>
        <v>6.4545454545454541</v>
      </c>
      <c r="K273" s="4">
        <v>10788</v>
      </c>
      <c r="L273" s="4">
        <v>63</v>
      </c>
      <c r="M273" s="43">
        <v>23.8</v>
      </c>
      <c r="P273" s="4">
        <v>0</v>
      </c>
      <c r="Q273" s="4">
        <v>0</v>
      </c>
      <c r="R273" s="4">
        <v>0</v>
      </c>
      <c r="S273" s="4">
        <v>0</v>
      </c>
      <c r="T273" s="4">
        <v>0</v>
      </c>
      <c r="U273" s="4">
        <v>0</v>
      </c>
      <c r="V273" s="4">
        <v>0</v>
      </c>
      <c r="W273" s="4">
        <v>0</v>
      </c>
      <c r="X273" s="44">
        <v>0</v>
      </c>
      <c r="Y273" s="44">
        <v>0</v>
      </c>
      <c r="Z273" s="4">
        <f t="shared" si="26"/>
        <v>0</v>
      </c>
      <c r="AA273" s="4">
        <f t="shared" si="27"/>
        <v>0</v>
      </c>
      <c r="AB273" s="4">
        <f t="shared" si="28"/>
        <v>0</v>
      </c>
      <c r="AC273" s="4">
        <f t="shared" si="29"/>
        <v>0</v>
      </c>
      <c r="AD273" s="4">
        <f t="shared" si="30"/>
        <v>0</v>
      </c>
    </row>
    <row r="274" spans="1:31" x14ac:dyDescent="0.25">
      <c r="A274" s="40">
        <v>42875</v>
      </c>
      <c r="B274" s="39">
        <v>0.48958333333333331</v>
      </c>
      <c r="C274" s="40">
        <v>42876</v>
      </c>
      <c r="D274" s="39">
        <v>0.44791666666666669</v>
      </c>
      <c r="E274" s="41">
        <v>23</v>
      </c>
      <c r="F274" s="42">
        <v>1.2</v>
      </c>
      <c r="G274" s="42">
        <v>1.7</v>
      </c>
      <c r="H274" s="4">
        <v>461</v>
      </c>
      <c r="I274" s="4">
        <v>463</v>
      </c>
      <c r="J274" s="41">
        <f t="shared" si="25"/>
        <v>10.941993464052286</v>
      </c>
      <c r="K274" s="4">
        <v>10582</v>
      </c>
      <c r="L274" s="4">
        <v>63</v>
      </c>
      <c r="M274" s="43">
        <v>27.9</v>
      </c>
      <c r="P274" s="4">
        <v>0</v>
      </c>
      <c r="Q274" s="4">
        <v>0</v>
      </c>
      <c r="R274" s="4">
        <v>0</v>
      </c>
      <c r="S274" s="4">
        <v>0</v>
      </c>
      <c r="T274" s="4">
        <v>0</v>
      </c>
      <c r="U274" s="4">
        <v>0</v>
      </c>
      <c r="V274" s="4">
        <v>0</v>
      </c>
      <c r="W274" s="4">
        <v>0</v>
      </c>
      <c r="X274" s="44">
        <v>0</v>
      </c>
      <c r="Y274" s="44">
        <v>0</v>
      </c>
      <c r="Z274" s="4">
        <f t="shared" si="26"/>
        <v>0</v>
      </c>
      <c r="AA274" s="4">
        <f t="shared" si="27"/>
        <v>0</v>
      </c>
      <c r="AB274" s="4">
        <f t="shared" si="28"/>
        <v>0</v>
      </c>
      <c r="AC274" s="4">
        <f t="shared" si="29"/>
        <v>0</v>
      </c>
      <c r="AD274" s="4">
        <f t="shared" si="30"/>
        <v>0</v>
      </c>
    </row>
    <row r="275" spans="1:31" x14ac:dyDescent="0.25">
      <c r="A275" s="40">
        <v>42876</v>
      </c>
      <c r="B275" s="39">
        <v>0.44791666666666669</v>
      </c>
      <c r="C275" s="40">
        <v>42877</v>
      </c>
      <c r="D275" s="39">
        <v>0.46875</v>
      </c>
      <c r="E275" s="41">
        <v>24.5</v>
      </c>
      <c r="F275" s="42">
        <v>1.8</v>
      </c>
      <c r="G275" s="42">
        <v>2.2000000000000002</v>
      </c>
      <c r="H275" s="4">
        <v>657</v>
      </c>
      <c r="I275" s="4">
        <v>467</v>
      </c>
      <c r="J275" s="41">
        <f t="shared" si="25"/>
        <v>9.6212121212121211</v>
      </c>
      <c r="K275" s="4">
        <v>10685</v>
      </c>
      <c r="L275" s="4">
        <v>66</v>
      </c>
      <c r="M275" s="43">
        <v>21</v>
      </c>
      <c r="P275" s="4">
        <v>0</v>
      </c>
      <c r="Q275" s="4">
        <v>0</v>
      </c>
      <c r="R275" s="4">
        <v>0</v>
      </c>
      <c r="S275" s="4">
        <v>0</v>
      </c>
      <c r="T275" s="4">
        <v>0</v>
      </c>
      <c r="U275" s="4">
        <v>0</v>
      </c>
      <c r="V275" s="4">
        <v>0</v>
      </c>
      <c r="W275" s="4">
        <v>0</v>
      </c>
      <c r="X275" s="44">
        <v>0</v>
      </c>
      <c r="Y275" s="44">
        <v>0</v>
      </c>
      <c r="Z275" s="4">
        <f t="shared" si="26"/>
        <v>0</v>
      </c>
      <c r="AA275" s="4">
        <f t="shared" si="27"/>
        <v>0</v>
      </c>
      <c r="AB275" s="4">
        <f t="shared" si="28"/>
        <v>0</v>
      </c>
      <c r="AC275" s="4">
        <f t="shared" si="29"/>
        <v>0</v>
      </c>
      <c r="AD275" s="4">
        <f t="shared" si="30"/>
        <v>0</v>
      </c>
    </row>
    <row r="276" spans="1:31" x14ac:dyDescent="0.25">
      <c r="A276" s="40">
        <v>42877</v>
      </c>
      <c r="B276" s="39">
        <v>0.46875</v>
      </c>
      <c r="C276" s="40">
        <v>42878</v>
      </c>
      <c r="D276" s="39">
        <v>0.46875</v>
      </c>
      <c r="E276" s="41">
        <v>24</v>
      </c>
      <c r="F276" s="42">
        <v>1.6</v>
      </c>
      <c r="G276" s="42">
        <v>2.1</v>
      </c>
      <c r="H276" s="4">
        <v>1077</v>
      </c>
      <c r="I276" s="4">
        <v>310</v>
      </c>
      <c r="J276" s="41">
        <f t="shared" si="25"/>
        <v>13.67906746031746</v>
      </c>
      <c r="K276" s="4">
        <v>10850</v>
      </c>
      <c r="L276" s="4">
        <v>68</v>
      </c>
      <c r="M276" s="43">
        <v>23.6</v>
      </c>
      <c r="P276" s="4">
        <v>0</v>
      </c>
      <c r="Q276" s="4">
        <v>0</v>
      </c>
      <c r="R276" s="4">
        <v>0</v>
      </c>
      <c r="S276" s="4">
        <v>0</v>
      </c>
      <c r="T276" s="4">
        <v>0</v>
      </c>
      <c r="U276" s="4">
        <v>0</v>
      </c>
      <c r="V276" s="4">
        <v>0</v>
      </c>
      <c r="W276" s="4">
        <v>0</v>
      </c>
      <c r="X276" s="44">
        <v>0</v>
      </c>
      <c r="Y276" s="44">
        <v>0</v>
      </c>
      <c r="Z276" s="4">
        <f t="shared" si="26"/>
        <v>0</v>
      </c>
      <c r="AA276" s="4">
        <f t="shared" si="27"/>
        <v>0</v>
      </c>
      <c r="AB276" s="4">
        <f t="shared" si="28"/>
        <v>0</v>
      </c>
      <c r="AC276" s="4">
        <f t="shared" si="29"/>
        <v>0</v>
      </c>
      <c r="AD276" s="4">
        <f t="shared" si="30"/>
        <v>0</v>
      </c>
    </row>
    <row r="277" spans="1:31" x14ac:dyDescent="0.25">
      <c r="A277" s="40">
        <v>42878</v>
      </c>
      <c r="B277" s="39">
        <v>0.46875</v>
      </c>
      <c r="C277" s="40">
        <v>42879</v>
      </c>
      <c r="D277" s="39">
        <v>0.44791666666666669</v>
      </c>
      <c r="E277" s="41">
        <v>24.25</v>
      </c>
      <c r="F277" s="42">
        <v>1.8</v>
      </c>
      <c r="G277" s="42">
        <v>2.2999999999999998</v>
      </c>
      <c r="H277" s="4">
        <v>445</v>
      </c>
      <c r="I277" s="4">
        <v>3206</v>
      </c>
      <c r="J277" s="41">
        <f t="shared" si="25"/>
        <v>27.352254428341386</v>
      </c>
      <c r="K277" s="4">
        <v>10995</v>
      </c>
      <c r="L277" s="4">
        <v>67</v>
      </c>
      <c r="M277" s="43">
        <v>14.61</v>
      </c>
      <c r="P277" s="4">
        <v>0</v>
      </c>
      <c r="Q277" s="4">
        <v>0</v>
      </c>
      <c r="R277" s="4">
        <v>0</v>
      </c>
      <c r="S277" s="4">
        <v>0</v>
      </c>
      <c r="T277" s="4">
        <v>0</v>
      </c>
      <c r="U277" s="4">
        <v>0</v>
      </c>
      <c r="V277" s="4">
        <v>0</v>
      </c>
      <c r="W277" s="4">
        <v>0</v>
      </c>
      <c r="X277" s="44">
        <v>0</v>
      </c>
      <c r="Y277" s="44">
        <v>0</v>
      </c>
      <c r="Z277" s="4">
        <f t="shared" si="26"/>
        <v>0</v>
      </c>
      <c r="AA277" s="4">
        <f t="shared" si="27"/>
        <v>0</v>
      </c>
      <c r="AB277" s="4">
        <f t="shared" si="28"/>
        <v>0</v>
      </c>
      <c r="AC277" s="4">
        <f t="shared" si="29"/>
        <v>0</v>
      </c>
      <c r="AD277" s="4">
        <f t="shared" si="30"/>
        <v>0</v>
      </c>
    </row>
    <row r="278" spans="1:31" x14ac:dyDescent="0.25">
      <c r="A278" s="40">
        <v>42879</v>
      </c>
      <c r="B278" s="39">
        <v>0.44791666666666669</v>
      </c>
      <c r="C278" s="40">
        <v>42880</v>
      </c>
      <c r="D278" s="39">
        <v>0.46875</v>
      </c>
      <c r="E278" s="41">
        <v>24.5</v>
      </c>
      <c r="F278" s="42">
        <v>2.1</v>
      </c>
      <c r="G278" s="42">
        <v>2.2999999999999998</v>
      </c>
      <c r="H278" s="4">
        <v>866</v>
      </c>
      <c r="I278" s="4">
        <v>3303</v>
      </c>
      <c r="J278" s="41">
        <f t="shared" si="25"/>
        <v>30.807798481711526</v>
      </c>
      <c r="K278" s="4">
        <v>11130</v>
      </c>
      <c r="L278" s="4">
        <v>67</v>
      </c>
      <c r="M278" s="43">
        <v>22.5</v>
      </c>
      <c r="N278" s="4">
        <v>74</v>
      </c>
      <c r="O278" s="4">
        <v>74</v>
      </c>
      <c r="P278" s="4">
        <v>1</v>
      </c>
      <c r="Q278" s="4">
        <v>0</v>
      </c>
      <c r="R278" s="4">
        <v>0</v>
      </c>
      <c r="S278" s="4">
        <v>0</v>
      </c>
      <c r="T278" s="4">
        <v>0</v>
      </c>
      <c r="U278" s="4">
        <v>0</v>
      </c>
      <c r="V278" s="4">
        <v>0</v>
      </c>
      <c r="W278" s="4">
        <v>0</v>
      </c>
      <c r="X278" s="44">
        <v>0</v>
      </c>
      <c r="Y278" s="44">
        <v>0</v>
      </c>
      <c r="Z278" s="4">
        <f t="shared" si="26"/>
        <v>3.2459313851771372E-2</v>
      </c>
      <c r="AA278" s="4">
        <f t="shared" si="27"/>
        <v>0</v>
      </c>
      <c r="AB278" s="4">
        <f t="shared" si="28"/>
        <v>0</v>
      </c>
      <c r="AC278" s="4">
        <f t="shared" si="29"/>
        <v>0</v>
      </c>
      <c r="AD278" s="4">
        <f t="shared" si="30"/>
        <v>0</v>
      </c>
    </row>
    <row r="279" spans="1:31" x14ac:dyDescent="0.25">
      <c r="A279" s="40">
        <v>42880</v>
      </c>
      <c r="B279" s="39">
        <v>0.46875</v>
      </c>
      <c r="C279" s="40">
        <v>42881</v>
      </c>
      <c r="D279" s="39">
        <v>0.46875</v>
      </c>
      <c r="E279" s="41">
        <v>24</v>
      </c>
      <c r="F279" s="42">
        <v>1.8</v>
      </c>
      <c r="G279" s="42">
        <v>2.1</v>
      </c>
      <c r="H279" s="4">
        <v>2028</v>
      </c>
      <c r="I279" s="4">
        <v>2916</v>
      </c>
      <c r="J279" s="41">
        <f t="shared" si="25"/>
        <v>41.920634920634924</v>
      </c>
      <c r="K279" s="4">
        <v>10747</v>
      </c>
      <c r="L279" s="4">
        <v>66</v>
      </c>
      <c r="M279" s="43">
        <v>21.5</v>
      </c>
      <c r="N279" s="4">
        <v>50</v>
      </c>
      <c r="O279" s="4">
        <v>61</v>
      </c>
      <c r="P279" s="4">
        <v>2</v>
      </c>
      <c r="Q279" s="4">
        <v>0</v>
      </c>
      <c r="R279" s="4">
        <v>0</v>
      </c>
      <c r="S279" s="4">
        <v>0</v>
      </c>
      <c r="T279" s="4">
        <v>0</v>
      </c>
      <c r="U279" s="4">
        <v>0</v>
      </c>
      <c r="V279" s="4">
        <v>0</v>
      </c>
      <c r="W279" s="4">
        <v>0</v>
      </c>
      <c r="X279" s="44">
        <v>0</v>
      </c>
      <c r="Y279" s="44">
        <v>0</v>
      </c>
      <c r="Z279" s="4">
        <f t="shared" si="26"/>
        <v>4.7709201060204466E-2</v>
      </c>
      <c r="AA279" s="4">
        <f t="shared" si="27"/>
        <v>0</v>
      </c>
      <c r="AB279" s="4">
        <f t="shared" si="28"/>
        <v>0</v>
      </c>
      <c r="AC279" s="4">
        <f t="shared" si="29"/>
        <v>0</v>
      </c>
      <c r="AD279" s="4">
        <f t="shared" si="30"/>
        <v>0</v>
      </c>
    </row>
    <row r="280" spans="1:31" x14ac:dyDescent="0.25">
      <c r="A280" s="40">
        <v>42881</v>
      </c>
      <c r="B280" s="39">
        <v>0.46875</v>
      </c>
      <c r="C280" s="40">
        <v>42882</v>
      </c>
      <c r="D280" s="39">
        <v>0.38541666666666669</v>
      </c>
      <c r="E280" s="41">
        <v>22</v>
      </c>
      <c r="F280" s="42">
        <v>1.8</v>
      </c>
      <c r="G280" s="42">
        <v>2.1</v>
      </c>
      <c r="H280" s="4">
        <v>1583</v>
      </c>
      <c r="I280" s="4">
        <v>322</v>
      </c>
      <c r="J280" s="41">
        <f t="shared" si="25"/>
        <v>17.212962962962965</v>
      </c>
      <c r="K280" s="4">
        <v>10265</v>
      </c>
      <c r="L280" s="4">
        <v>67</v>
      </c>
      <c r="M280" s="43">
        <v>23.1</v>
      </c>
      <c r="P280" s="4">
        <v>0</v>
      </c>
      <c r="Q280" s="4">
        <v>0</v>
      </c>
      <c r="R280" s="4">
        <v>0</v>
      </c>
      <c r="S280" s="4">
        <v>0</v>
      </c>
      <c r="T280" s="4">
        <v>0</v>
      </c>
      <c r="U280" s="4">
        <v>0</v>
      </c>
      <c r="V280" s="4">
        <v>0</v>
      </c>
      <c r="W280" s="4">
        <v>0</v>
      </c>
      <c r="X280" s="44">
        <v>0</v>
      </c>
      <c r="Y280" s="44">
        <v>0</v>
      </c>
      <c r="Z280" s="4">
        <f t="shared" si="26"/>
        <v>0</v>
      </c>
      <c r="AA280" s="4">
        <f t="shared" si="27"/>
        <v>0</v>
      </c>
      <c r="AB280" s="4">
        <f t="shared" si="28"/>
        <v>0</v>
      </c>
      <c r="AC280" s="4">
        <f t="shared" si="29"/>
        <v>0</v>
      </c>
      <c r="AD280" s="4">
        <f t="shared" si="30"/>
        <v>0</v>
      </c>
    </row>
    <row r="281" spans="1:31" x14ac:dyDescent="0.25">
      <c r="A281" s="40">
        <v>42882</v>
      </c>
      <c r="B281" s="39">
        <v>0.38541666666666669</v>
      </c>
      <c r="C281" s="40">
        <v>42883</v>
      </c>
      <c r="D281" s="39">
        <v>0.375</v>
      </c>
      <c r="E281" s="41">
        <v>23.75</v>
      </c>
      <c r="F281" s="42">
        <v>2.1</v>
      </c>
      <c r="G281" s="42">
        <v>2.1</v>
      </c>
      <c r="H281" s="4">
        <v>701</v>
      </c>
      <c r="I281" s="4">
        <v>1115</v>
      </c>
      <c r="J281" s="41">
        <f t="shared" si="25"/>
        <v>14.412698412698413</v>
      </c>
      <c r="K281" s="4">
        <v>10183</v>
      </c>
      <c r="L281" s="4">
        <v>64</v>
      </c>
      <c r="M281" s="43">
        <v>25.95</v>
      </c>
      <c r="P281" s="4">
        <v>0</v>
      </c>
      <c r="Q281" s="4">
        <v>0</v>
      </c>
      <c r="R281" s="4">
        <v>0</v>
      </c>
      <c r="S281" s="4">
        <v>0</v>
      </c>
      <c r="T281" s="4">
        <v>0</v>
      </c>
      <c r="U281" s="4">
        <v>0</v>
      </c>
      <c r="V281" s="4">
        <v>0</v>
      </c>
      <c r="W281" s="4">
        <v>0</v>
      </c>
      <c r="X281" s="44">
        <v>0</v>
      </c>
      <c r="Y281" s="44">
        <v>0</v>
      </c>
      <c r="Z281" s="4">
        <f t="shared" si="26"/>
        <v>0</v>
      </c>
      <c r="AA281" s="4">
        <f t="shared" si="27"/>
        <v>0</v>
      </c>
      <c r="AB281" s="4">
        <f t="shared" si="28"/>
        <v>0</v>
      </c>
      <c r="AC281" s="4">
        <f t="shared" si="29"/>
        <v>0</v>
      </c>
      <c r="AD281" s="4">
        <f t="shared" si="30"/>
        <v>0</v>
      </c>
    </row>
    <row r="282" spans="1:31" x14ac:dyDescent="0.25">
      <c r="A282" s="40">
        <v>42883</v>
      </c>
      <c r="B282" s="39">
        <v>0.375</v>
      </c>
      <c r="C282" s="44" t="s">
        <v>51</v>
      </c>
      <c r="D282" s="39">
        <v>0.47916666666666669</v>
      </c>
      <c r="E282" s="41">
        <v>26.5</v>
      </c>
      <c r="F282" s="42">
        <v>2.1</v>
      </c>
      <c r="G282" s="42">
        <v>2.2999999999999998</v>
      </c>
      <c r="H282" s="4">
        <v>545</v>
      </c>
      <c r="I282" s="4">
        <v>1051</v>
      </c>
      <c r="J282" s="41">
        <f t="shared" si="25"/>
        <v>11.941338854382334</v>
      </c>
      <c r="K282" s="4">
        <v>10041</v>
      </c>
      <c r="L282" s="4">
        <v>66</v>
      </c>
      <c r="M282" s="43">
        <v>23.2</v>
      </c>
      <c r="P282" s="4">
        <v>0</v>
      </c>
      <c r="Q282" s="4">
        <v>0</v>
      </c>
      <c r="R282" s="4">
        <v>0</v>
      </c>
      <c r="S282" s="4">
        <v>0</v>
      </c>
      <c r="T282" s="4">
        <v>0</v>
      </c>
      <c r="U282" s="4">
        <v>0</v>
      </c>
      <c r="V282" s="4">
        <v>0</v>
      </c>
      <c r="W282" s="4">
        <v>0</v>
      </c>
      <c r="X282" s="44">
        <v>0</v>
      </c>
      <c r="Y282" s="44">
        <v>0</v>
      </c>
      <c r="Z282" s="4">
        <f t="shared" si="26"/>
        <v>0</v>
      </c>
      <c r="AA282" s="4">
        <f t="shared" si="27"/>
        <v>0</v>
      </c>
      <c r="AB282" s="4">
        <f t="shared" si="28"/>
        <v>0</v>
      </c>
      <c r="AC282" s="4">
        <f t="shared" si="29"/>
        <v>0</v>
      </c>
      <c r="AD282" s="4">
        <f t="shared" si="30"/>
        <v>0</v>
      </c>
    </row>
    <row r="283" spans="1:31" x14ac:dyDescent="0.25">
      <c r="A283" s="44" t="s">
        <v>51</v>
      </c>
      <c r="B283" s="39">
        <v>0.47916666666666669</v>
      </c>
      <c r="C283" s="40">
        <v>42885</v>
      </c>
      <c r="D283" s="39">
        <v>0.44791666666666669</v>
      </c>
      <c r="E283" s="41">
        <v>23.25</v>
      </c>
      <c r="F283" s="42">
        <v>1.8</v>
      </c>
      <c r="G283" s="42">
        <v>2.2000000000000002</v>
      </c>
      <c r="H283" s="4">
        <v>228</v>
      </c>
      <c r="I283" s="4">
        <v>1110</v>
      </c>
      <c r="J283" s="41">
        <f t="shared" si="25"/>
        <v>10.520202020202019</v>
      </c>
      <c r="K283" s="4">
        <v>10021</v>
      </c>
      <c r="L283" s="4">
        <v>67</v>
      </c>
      <c r="M283" s="43">
        <v>22.5</v>
      </c>
      <c r="P283" s="4">
        <v>0</v>
      </c>
      <c r="Q283" s="4">
        <v>0</v>
      </c>
      <c r="R283" s="4">
        <v>0</v>
      </c>
      <c r="S283" s="4">
        <v>0</v>
      </c>
      <c r="T283" s="4">
        <v>0</v>
      </c>
      <c r="U283" s="4">
        <v>0</v>
      </c>
      <c r="V283" s="4">
        <v>0</v>
      </c>
      <c r="W283" s="4">
        <v>0</v>
      </c>
      <c r="X283" s="44">
        <v>0</v>
      </c>
      <c r="Y283" s="44">
        <v>0</v>
      </c>
      <c r="Z283" s="4">
        <f t="shared" si="26"/>
        <v>0</v>
      </c>
      <c r="AA283" s="4">
        <f t="shared" si="27"/>
        <v>0</v>
      </c>
      <c r="AB283" s="4">
        <f t="shared" si="28"/>
        <v>0</v>
      </c>
      <c r="AC283" s="4">
        <f t="shared" si="29"/>
        <v>0</v>
      </c>
      <c r="AD283" s="4">
        <f t="shared" si="30"/>
        <v>0</v>
      </c>
    </row>
    <row r="284" spans="1:31" x14ac:dyDescent="0.25">
      <c r="A284" s="40">
        <v>42885</v>
      </c>
      <c r="B284" s="39">
        <v>0.44791666666666669</v>
      </c>
      <c r="C284" s="40">
        <v>42886</v>
      </c>
      <c r="D284" s="39">
        <v>0.4375</v>
      </c>
      <c r="E284" s="41">
        <v>23.75</v>
      </c>
      <c r="F284" s="42">
        <v>1.9</v>
      </c>
      <c r="G284" s="42">
        <v>2.1</v>
      </c>
      <c r="H284" s="4">
        <v>2436</v>
      </c>
      <c r="I284" s="4">
        <v>2962</v>
      </c>
      <c r="J284" s="41">
        <f t="shared" si="25"/>
        <v>44.876357560568081</v>
      </c>
      <c r="K284" s="4">
        <v>10255</v>
      </c>
      <c r="L284" s="4">
        <v>67</v>
      </c>
      <c r="M284" s="43">
        <v>19.100000000000001</v>
      </c>
      <c r="N284" s="4">
        <v>62</v>
      </c>
      <c r="O284" s="4">
        <v>62</v>
      </c>
      <c r="P284" s="4">
        <v>1</v>
      </c>
      <c r="Q284" s="4">
        <v>0</v>
      </c>
      <c r="R284" s="4">
        <v>0</v>
      </c>
      <c r="S284" s="4">
        <v>0</v>
      </c>
      <c r="T284" s="4">
        <v>1</v>
      </c>
      <c r="U284" s="4">
        <v>0</v>
      </c>
      <c r="V284" s="4">
        <v>0</v>
      </c>
      <c r="W284" s="4">
        <v>0</v>
      </c>
      <c r="X284" s="44">
        <v>0</v>
      </c>
      <c r="Y284" s="44">
        <v>0</v>
      </c>
      <c r="Z284" s="4">
        <f t="shared" si="26"/>
        <v>2.2283448442764864E-2</v>
      </c>
      <c r="AA284" s="4">
        <f t="shared" si="27"/>
        <v>0</v>
      </c>
      <c r="AB284" s="4">
        <f t="shared" si="28"/>
        <v>0</v>
      </c>
      <c r="AC284" s="4">
        <f t="shared" si="29"/>
        <v>0</v>
      </c>
      <c r="AD284" s="4">
        <f t="shared" si="30"/>
        <v>0</v>
      </c>
    </row>
    <row r="285" spans="1:31" x14ac:dyDescent="0.25">
      <c r="A285" s="40">
        <v>42886</v>
      </c>
      <c r="B285" s="39">
        <v>0.4375</v>
      </c>
      <c r="C285" s="40">
        <v>42887</v>
      </c>
      <c r="D285" s="39">
        <v>0.4375</v>
      </c>
      <c r="E285" s="41">
        <v>24</v>
      </c>
      <c r="F285" s="42">
        <v>1.8</v>
      </c>
      <c r="G285" s="42">
        <v>2.2000000000000002</v>
      </c>
      <c r="H285" s="4">
        <v>1192</v>
      </c>
      <c r="I285" s="4">
        <v>3007</v>
      </c>
      <c r="J285" s="41">
        <f t="shared" ref="J285:J286" si="31" xml:space="preserve"> (((H285/F285)+(I285/G285))/60)</f>
        <v>33.817340067340062</v>
      </c>
      <c r="K285" s="4">
        <v>10531</v>
      </c>
      <c r="L285" s="4">
        <v>68</v>
      </c>
      <c r="M285" s="43">
        <v>21.5</v>
      </c>
      <c r="N285" s="4">
        <v>103</v>
      </c>
      <c r="O285" s="4">
        <v>103</v>
      </c>
      <c r="P285" s="4">
        <v>1</v>
      </c>
      <c r="Q285" s="4">
        <v>0</v>
      </c>
      <c r="R285" s="4">
        <v>0</v>
      </c>
      <c r="S285" s="4">
        <v>0</v>
      </c>
      <c r="T285" s="4">
        <v>0</v>
      </c>
      <c r="U285" s="4">
        <v>0</v>
      </c>
      <c r="V285" s="4">
        <v>0</v>
      </c>
      <c r="W285" s="4">
        <v>0</v>
      </c>
      <c r="X285" s="44">
        <v>0</v>
      </c>
      <c r="Y285" s="44">
        <v>0</v>
      </c>
      <c r="Z285" s="4">
        <f t="shared" si="26"/>
        <v>2.9570628500311145E-2</v>
      </c>
      <c r="AA285" s="4">
        <f t="shared" si="27"/>
        <v>0</v>
      </c>
      <c r="AB285" s="4">
        <f t="shared" si="28"/>
        <v>0</v>
      </c>
      <c r="AC285" s="4">
        <f t="shared" si="29"/>
        <v>0</v>
      </c>
      <c r="AD285" s="4">
        <f t="shared" si="30"/>
        <v>0</v>
      </c>
    </row>
    <row r="286" spans="1:31" x14ac:dyDescent="0.25">
      <c r="A286" s="40">
        <v>42887</v>
      </c>
      <c r="B286" s="39">
        <v>0.4375</v>
      </c>
      <c r="C286" s="40">
        <v>42888</v>
      </c>
      <c r="D286" s="39">
        <v>0.47916666666666669</v>
      </c>
      <c r="E286" s="41">
        <v>25</v>
      </c>
      <c r="F286" s="42">
        <v>2.2999999999999998</v>
      </c>
      <c r="G286" s="42">
        <v>1.9</v>
      </c>
      <c r="H286" s="4">
        <v>698</v>
      </c>
      <c r="I286" s="4">
        <v>2925</v>
      </c>
      <c r="J286" s="41">
        <f t="shared" si="31"/>
        <v>30.715865751334864</v>
      </c>
      <c r="K286" s="4">
        <v>10562</v>
      </c>
      <c r="L286" s="4">
        <v>68</v>
      </c>
      <c r="M286" s="43">
        <v>21.2</v>
      </c>
      <c r="P286" s="4">
        <v>0</v>
      </c>
      <c r="Q286" s="4">
        <v>0</v>
      </c>
      <c r="R286" s="4">
        <v>0</v>
      </c>
      <c r="S286" s="4">
        <v>0</v>
      </c>
      <c r="T286" s="4">
        <v>0</v>
      </c>
      <c r="U286" s="4">
        <v>0</v>
      </c>
      <c r="V286" s="4">
        <v>0</v>
      </c>
      <c r="W286" s="4">
        <v>0</v>
      </c>
      <c r="X286" s="4">
        <v>0</v>
      </c>
      <c r="Y286" s="4">
        <v>0</v>
      </c>
      <c r="Z286" s="4">
        <f t="shared" si="26"/>
        <v>0</v>
      </c>
      <c r="AA286" s="4">
        <f t="shared" si="27"/>
        <v>0</v>
      </c>
      <c r="AB286" s="4">
        <f t="shared" si="28"/>
        <v>0</v>
      </c>
      <c r="AC286" s="4">
        <f t="shared" si="29"/>
        <v>0</v>
      </c>
      <c r="AD286" s="4">
        <f t="shared" si="30"/>
        <v>0</v>
      </c>
    </row>
    <row r="287" spans="1:31" x14ac:dyDescent="0.25">
      <c r="A287" s="40">
        <v>42888</v>
      </c>
      <c r="B287" s="39">
        <v>0.47916666666666669</v>
      </c>
      <c r="C287" s="40">
        <v>42889</v>
      </c>
      <c r="D287" s="39">
        <v>0.45833333333333331</v>
      </c>
      <c r="E287" s="41">
        <v>23.5</v>
      </c>
      <c r="F287" s="42">
        <v>1.9</v>
      </c>
      <c r="G287" s="42">
        <v>2.2000000000000002</v>
      </c>
      <c r="H287" s="4">
        <v>489</v>
      </c>
      <c r="I287" s="4">
        <v>2733</v>
      </c>
      <c r="J287" s="41">
        <f xml:space="preserve"> (((H287/F287)+(I287/G287))/60)</f>
        <v>24.994019138755981</v>
      </c>
      <c r="K287" s="4" t="s">
        <v>33</v>
      </c>
      <c r="L287" s="4">
        <v>68</v>
      </c>
      <c r="M287" s="43">
        <v>20.8</v>
      </c>
      <c r="P287" s="4">
        <v>0</v>
      </c>
      <c r="Q287" s="4">
        <v>0</v>
      </c>
      <c r="R287" s="4">
        <v>0</v>
      </c>
      <c r="S287" s="4">
        <v>0</v>
      </c>
      <c r="T287" s="4">
        <v>0</v>
      </c>
      <c r="U287" s="4">
        <v>0</v>
      </c>
      <c r="V287" s="4">
        <v>0</v>
      </c>
      <c r="W287" s="4">
        <v>0</v>
      </c>
      <c r="X287" s="4">
        <v>0</v>
      </c>
      <c r="Y287" s="4">
        <v>0</v>
      </c>
      <c r="Z287" s="4">
        <f t="shared" si="26"/>
        <v>0</v>
      </c>
      <c r="AA287" s="4">
        <f t="shared" si="27"/>
        <v>0</v>
      </c>
      <c r="AB287" s="4">
        <f t="shared" si="28"/>
        <v>0</v>
      </c>
      <c r="AC287" s="4">
        <f t="shared" si="29"/>
        <v>0</v>
      </c>
      <c r="AD287" s="4">
        <f t="shared" si="30"/>
        <v>0</v>
      </c>
      <c r="AE287" s="4" t="s">
        <v>52</v>
      </c>
    </row>
    <row r="288" spans="1:31" x14ac:dyDescent="0.25">
      <c r="A288" s="40">
        <v>42889</v>
      </c>
      <c r="B288" s="39">
        <v>0.45833333333333331</v>
      </c>
      <c r="C288" s="40">
        <v>42890</v>
      </c>
      <c r="D288" s="39">
        <v>0.51041666666666663</v>
      </c>
      <c r="E288" s="41">
        <v>25.25</v>
      </c>
      <c r="F288" s="42">
        <v>1.8</v>
      </c>
      <c r="G288" s="42">
        <v>2.2000000000000002</v>
      </c>
      <c r="H288" s="4">
        <v>435</v>
      </c>
      <c r="I288" s="4">
        <v>1023</v>
      </c>
      <c r="J288" s="41">
        <f xml:space="preserve"> (((H288/F288)+(I288/G288))/60)</f>
        <v>11.777777777777777</v>
      </c>
      <c r="K288" s="4" t="s">
        <v>33</v>
      </c>
      <c r="L288" s="4">
        <v>68</v>
      </c>
      <c r="M288" s="43">
        <v>20.8</v>
      </c>
      <c r="P288" s="4">
        <v>0</v>
      </c>
      <c r="Q288" s="4">
        <v>0</v>
      </c>
      <c r="R288" s="4">
        <v>0</v>
      </c>
      <c r="S288" s="4">
        <v>0</v>
      </c>
      <c r="T288" s="4">
        <v>0</v>
      </c>
      <c r="U288" s="4">
        <v>0</v>
      </c>
      <c r="V288" s="4">
        <v>0</v>
      </c>
      <c r="W288" s="4">
        <v>0</v>
      </c>
      <c r="X288" s="4">
        <v>0</v>
      </c>
      <c r="Y288" s="4">
        <v>0</v>
      </c>
      <c r="Z288" s="4">
        <f t="shared" si="26"/>
        <v>0</v>
      </c>
      <c r="AA288" s="4">
        <f t="shared" si="27"/>
        <v>0</v>
      </c>
      <c r="AB288" s="4">
        <f t="shared" si="28"/>
        <v>0</v>
      </c>
      <c r="AC288" s="4">
        <f t="shared" si="29"/>
        <v>0</v>
      </c>
      <c r="AD288" s="4">
        <f t="shared" si="30"/>
        <v>0</v>
      </c>
      <c r="AE288" s="4" t="s">
        <v>53</v>
      </c>
    </row>
    <row r="289" spans="1:31" x14ac:dyDescent="0.25">
      <c r="A289" s="40">
        <v>42890</v>
      </c>
      <c r="B289" s="39">
        <v>0.51041666666666663</v>
      </c>
      <c r="C289" s="40">
        <v>42891</v>
      </c>
      <c r="D289" s="39">
        <v>0.40625</v>
      </c>
      <c r="E289" s="41">
        <v>21.12</v>
      </c>
      <c r="G289" s="42">
        <v>2.2000000000000002</v>
      </c>
      <c r="I289" s="4">
        <v>842</v>
      </c>
      <c r="J289" s="41">
        <f>((I289/G289))/60</f>
        <v>6.378787878787878</v>
      </c>
      <c r="K289" s="4" t="s">
        <v>33</v>
      </c>
      <c r="L289" s="4">
        <v>67</v>
      </c>
      <c r="M289" s="43">
        <v>17.07</v>
      </c>
      <c r="P289" s="4">
        <v>0</v>
      </c>
      <c r="Q289" s="4">
        <v>0</v>
      </c>
      <c r="R289" s="4">
        <v>0</v>
      </c>
      <c r="S289" s="4">
        <v>0</v>
      </c>
      <c r="T289" s="4">
        <v>0</v>
      </c>
      <c r="U289" s="4">
        <v>0</v>
      </c>
      <c r="V289" s="4">
        <v>0</v>
      </c>
      <c r="W289" s="4">
        <v>0</v>
      </c>
      <c r="X289" s="44">
        <v>0</v>
      </c>
      <c r="Y289" s="44">
        <v>0</v>
      </c>
      <c r="Z289" s="4">
        <f t="shared" si="26"/>
        <v>0</v>
      </c>
      <c r="AA289" s="4">
        <f t="shared" si="27"/>
        <v>0</v>
      </c>
      <c r="AB289" s="4">
        <f t="shared" si="28"/>
        <v>0</v>
      </c>
      <c r="AC289" s="4">
        <f t="shared" si="29"/>
        <v>0</v>
      </c>
      <c r="AD289" s="4">
        <f t="shared" si="30"/>
        <v>0</v>
      </c>
      <c r="AE289" s="4" t="s">
        <v>53</v>
      </c>
    </row>
    <row r="290" spans="1:31" x14ac:dyDescent="0.25">
      <c r="A290" s="40">
        <v>42891</v>
      </c>
      <c r="B290" s="39">
        <v>0.40625</v>
      </c>
      <c r="C290" s="40">
        <v>42892</v>
      </c>
      <c r="D290" s="39">
        <v>0.44791666666666669</v>
      </c>
      <c r="E290" s="41">
        <v>25</v>
      </c>
      <c r="G290" s="42">
        <v>2.2999999999999998</v>
      </c>
      <c r="I290" s="4">
        <v>368</v>
      </c>
      <c r="J290" s="41">
        <f>((I290/G290))/60</f>
        <v>2.6666666666666665</v>
      </c>
      <c r="K290" s="4">
        <v>10051</v>
      </c>
      <c r="L290" s="4">
        <v>67</v>
      </c>
      <c r="M290" s="43">
        <v>16.91</v>
      </c>
      <c r="P290" s="4">
        <v>0</v>
      </c>
      <c r="Q290" s="4">
        <v>0</v>
      </c>
      <c r="R290" s="4">
        <v>0</v>
      </c>
      <c r="S290" s="4">
        <v>0</v>
      </c>
      <c r="T290" s="4">
        <v>0</v>
      </c>
      <c r="U290" s="4">
        <v>0</v>
      </c>
      <c r="V290" s="4">
        <v>0</v>
      </c>
      <c r="W290" s="4">
        <v>0</v>
      </c>
      <c r="X290" s="44">
        <v>0</v>
      </c>
      <c r="Y290" s="44">
        <v>0</v>
      </c>
      <c r="Z290" s="4">
        <f t="shared" si="26"/>
        <v>0</v>
      </c>
      <c r="AA290" s="4">
        <f t="shared" si="27"/>
        <v>0</v>
      </c>
      <c r="AB290" s="4">
        <f t="shared" si="28"/>
        <v>0</v>
      </c>
      <c r="AC290" s="4">
        <f t="shared" si="29"/>
        <v>0</v>
      </c>
      <c r="AD290" s="4">
        <f t="shared" si="30"/>
        <v>0</v>
      </c>
    </row>
    <row r="291" spans="1:31" x14ac:dyDescent="0.25">
      <c r="A291" s="40">
        <v>42892</v>
      </c>
      <c r="B291" s="39">
        <v>0.44791666666666669</v>
      </c>
      <c r="C291" s="40">
        <v>42893</v>
      </c>
      <c r="D291" s="39">
        <v>0.47916666666666669</v>
      </c>
      <c r="E291" s="41">
        <v>22.25</v>
      </c>
      <c r="F291" s="42">
        <v>1.6</v>
      </c>
      <c r="G291" s="42">
        <v>2.1</v>
      </c>
      <c r="H291" s="4">
        <v>834</v>
      </c>
      <c r="I291" s="4">
        <v>2988</v>
      </c>
      <c r="J291" s="41">
        <f t="shared" ref="J291:J303" si="32" xml:space="preserve"> (((H291/F291)+(I291/G291))/60)</f>
        <v>32.401785714285715</v>
      </c>
      <c r="K291" s="4">
        <v>9839</v>
      </c>
      <c r="L291" s="4">
        <v>68</v>
      </c>
      <c r="M291" s="43">
        <v>21.6</v>
      </c>
      <c r="P291" s="4">
        <v>0</v>
      </c>
      <c r="Q291" s="4">
        <v>0</v>
      </c>
      <c r="R291" s="4">
        <v>0</v>
      </c>
      <c r="S291" s="4">
        <v>0</v>
      </c>
      <c r="T291" s="4">
        <v>0</v>
      </c>
      <c r="U291" s="4">
        <v>0</v>
      </c>
      <c r="V291" s="4">
        <v>0</v>
      </c>
      <c r="W291" s="4">
        <v>0</v>
      </c>
      <c r="X291" s="44">
        <v>0</v>
      </c>
      <c r="Y291" s="44">
        <v>0</v>
      </c>
      <c r="Z291" s="4">
        <f t="shared" si="26"/>
        <v>0</v>
      </c>
      <c r="AA291" s="4">
        <f t="shared" si="27"/>
        <v>0</v>
      </c>
      <c r="AB291" s="4">
        <f t="shared" si="28"/>
        <v>0</v>
      </c>
      <c r="AC291" s="4">
        <f t="shared" si="29"/>
        <v>0</v>
      </c>
      <c r="AD291" s="4">
        <f t="shared" si="30"/>
        <v>0</v>
      </c>
    </row>
    <row r="292" spans="1:31" x14ac:dyDescent="0.25">
      <c r="A292" s="40">
        <v>42893</v>
      </c>
      <c r="B292" s="39">
        <v>0.47916666666666669</v>
      </c>
      <c r="C292" s="40">
        <v>42894</v>
      </c>
      <c r="D292" s="39">
        <v>0.4375</v>
      </c>
      <c r="E292" s="41">
        <v>23</v>
      </c>
      <c r="F292" s="42">
        <v>1.7</v>
      </c>
      <c r="G292" s="42">
        <v>1.9</v>
      </c>
      <c r="H292" s="4">
        <v>2250</v>
      </c>
      <c r="I292" s="4">
        <v>2563</v>
      </c>
      <c r="J292" s="41">
        <f t="shared" si="32"/>
        <v>44.541279669762645</v>
      </c>
      <c r="K292" s="4">
        <v>9678</v>
      </c>
      <c r="L292" s="4">
        <v>66</v>
      </c>
      <c r="M292" s="43">
        <v>19.5</v>
      </c>
      <c r="P292" s="4">
        <v>0</v>
      </c>
      <c r="Q292" s="4">
        <v>0</v>
      </c>
      <c r="R292" s="4">
        <v>0</v>
      </c>
      <c r="S292" s="4">
        <v>0</v>
      </c>
      <c r="T292" s="4">
        <v>0</v>
      </c>
      <c r="U292" s="4">
        <v>0</v>
      </c>
      <c r="V292" s="4">
        <v>0</v>
      </c>
      <c r="W292" s="4">
        <v>0</v>
      </c>
      <c r="X292" s="44">
        <v>0</v>
      </c>
      <c r="Y292" s="44">
        <v>0</v>
      </c>
      <c r="Z292" s="4">
        <f t="shared" si="26"/>
        <v>0</v>
      </c>
      <c r="AA292" s="4">
        <f t="shared" si="27"/>
        <v>0</v>
      </c>
      <c r="AB292" s="4">
        <f t="shared" si="28"/>
        <v>0</v>
      </c>
      <c r="AC292" s="4">
        <f t="shared" si="29"/>
        <v>0</v>
      </c>
      <c r="AD292" s="4">
        <f t="shared" si="30"/>
        <v>0</v>
      </c>
    </row>
    <row r="293" spans="1:31" x14ac:dyDescent="0.25">
      <c r="A293" s="40">
        <v>42894</v>
      </c>
      <c r="B293" s="39">
        <v>0.4375</v>
      </c>
      <c r="C293" s="40">
        <v>42895</v>
      </c>
      <c r="D293" s="39">
        <v>0.4375</v>
      </c>
      <c r="E293" s="41">
        <v>24</v>
      </c>
      <c r="F293" s="42">
        <v>1.5</v>
      </c>
      <c r="G293" s="42">
        <v>2</v>
      </c>
      <c r="H293" s="4">
        <v>2470</v>
      </c>
      <c r="I293" s="4">
        <v>2971</v>
      </c>
      <c r="J293" s="41">
        <f t="shared" si="32"/>
        <v>52.202777777777783</v>
      </c>
      <c r="K293" s="4">
        <v>9608</v>
      </c>
      <c r="L293" s="4">
        <v>65</v>
      </c>
      <c r="M293" s="43">
        <v>20.5</v>
      </c>
      <c r="P293" s="4">
        <v>0</v>
      </c>
      <c r="Q293" s="4">
        <v>0</v>
      </c>
      <c r="R293" s="4">
        <v>0</v>
      </c>
      <c r="S293" s="4">
        <v>0</v>
      </c>
      <c r="T293" s="4">
        <v>0</v>
      </c>
      <c r="U293" s="4">
        <v>0</v>
      </c>
      <c r="V293" s="4">
        <v>0</v>
      </c>
      <c r="W293" s="4">
        <v>0</v>
      </c>
      <c r="X293" s="44">
        <v>0</v>
      </c>
      <c r="Y293" s="44">
        <v>0</v>
      </c>
      <c r="Z293" s="4">
        <f t="shared" si="26"/>
        <v>0</v>
      </c>
      <c r="AA293" s="4">
        <f t="shared" si="27"/>
        <v>0</v>
      </c>
      <c r="AB293" s="4">
        <f t="shared" si="28"/>
        <v>0</v>
      </c>
      <c r="AC293" s="4">
        <f t="shared" si="29"/>
        <v>0</v>
      </c>
      <c r="AD293" s="4">
        <f t="shared" si="30"/>
        <v>0</v>
      </c>
    </row>
    <row r="294" spans="1:31" x14ac:dyDescent="0.25">
      <c r="A294" s="40">
        <v>42895</v>
      </c>
      <c r="B294" s="39">
        <v>0.4375</v>
      </c>
      <c r="C294" s="40">
        <v>42896</v>
      </c>
      <c r="D294" s="39">
        <v>0.52083333333333337</v>
      </c>
      <c r="E294" s="41">
        <v>26</v>
      </c>
      <c r="F294" s="42">
        <v>1.6</v>
      </c>
      <c r="G294" s="42">
        <v>2.4</v>
      </c>
      <c r="H294" s="4">
        <v>699</v>
      </c>
      <c r="I294" s="4">
        <v>3524</v>
      </c>
      <c r="J294" s="41">
        <f t="shared" si="32"/>
        <v>31.753472222222225</v>
      </c>
      <c r="K294" s="4">
        <v>9288</v>
      </c>
      <c r="L294" s="4">
        <v>65</v>
      </c>
      <c r="M294" s="43">
        <v>28.6</v>
      </c>
      <c r="P294" s="4">
        <v>0</v>
      </c>
      <c r="Q294" s="4">
        <v>0</v>
      </c>
      <c r="R294" s="4">
        <v>0</v>
      </c>
      <c r="S294" s="4">
        <v>0</v>
      </c>
      <c r="T294" s="4">
        <v>0</v>
      </c>
      <c r="U294" s="4">
        <v>0</v>
      </c>
      <c r="V294" s="4">
        <v>0</v>
      </c>
      <c r="W294" s="4">
        <v>0</v>
      </c>
      <c r="X294" s="44">
        <v>0</v>
      </c>
      <c r="Y294" s="44">
        <v>0</v>
      </c>
      <c r="Z294" s="4">
        <f t="shared" si="26"/>
        <v>0</v>
      </c>
      <c r="AA294" s="4">
        <f t="shared" si="27"/>
        <v>0</v>
      </c>
      <c r="AB294" s="4">
        <f t="shared" si="28"/>
        <v>0</v>
      </c>
      <c r="AC294" s="4">
        <f t="shared" si="29"/>
        <v>0</v>
      </c>
      <c r="AD294" s="4">
        <f t="shared" si="30"/>
        <v>0</v>
      </c>
    </row>
    <row r="295" spans="1:31" x14ac:dyDescent="0.25">
      <c r="A295" s="40">
        <v>42896</v>
      </c>
      <c r="B295" s="39">
        <v>0.52083333333333337</v>
      </c>
      <c r="C295" s="40">
        <v>42897</v>
      </c>
      <c r="D295" s="39">
        <v>0.42708333333333331</v>
      </c>
      <c r="E295" s="41">
        <v>21.75</v>
      </c>
      <c r="F295" s="42">
        <v>2.5</v>
      </c>
      <c r="G295" s="42">
        <v>2.6</v>
      </c>
      <c r="H295" s="4">
        <v>245</v>
      </c>
      <c r="I295" s="4">
        <v>3145</v>
      </c>
      <c r="J295" s="41">
        <f t="shared" si="32"/>
        <v>21.793589743589742</v>
      </c>
      <c r="K295" s="4">
        <v>9288</v>
      </c>
      <c r="L295" s="4">
        <v>64</v>
      </c>
      <c r="M295" s="43">
        <v>24.8</v>
      </c>
      <c r="P295" s="4">
        <v>0</v>
      </c>
      <c r="Q295" s="4">
        <v>0</v>
      </c>
      <c r="R295" s="4">
        <v>0</v>
      </c>
      <c r="S295" s="4">
        <v>0</v>
      </c>
      <c r="T295" s="4">
        <v>0</v>
      </c>
      <c r="U295" s="4">
        <v>0</v>
      </c>
      <c r="V295" s="4">
        <v>0</v>
      </c>
      <c r="W295" s="4">
        <v>0</v>
      </c>
      <c r="X295" s="44">
        <v>0</v>
      </c>
      <c r="Y295" s="44">
        <v>0</v>
      </c>
      <c r="Z295" s="4">
        <f t="shared" si="26"/>
        <v>0</v>
      </c>
      <c r="AA295" s="4">
        <f t="shared" si="27"/>
        <v>0</v>
      </c>
      <c r="AB295" s="4">
        <f t="shared" si="28"/>
        <v>0</v>
      </c>
      <c r="AC295" s="4">
        <f t="shared" si="29"/>
        <v>0</v>
      </c>
      <c r="AD295" s="4">
        <f t="shared" si="30"/>
        <v>0</v>
      </c>
    </row>
    <row r="296" spans="1:31" x14ac:dyDescent="0.25">
      <c r="A296" s="40">
        <v>42897</v>
      </c>
      <c r="B296" s="39">
        <v>0.42708333333333331</v>
      </c>
      <c r="C296" s="40">
        <v>42898</v>
      </c>
      <c r="D296" s="39">
        <v>0.42708333333333331</v>
      </c>
      <c r="E296" s="41">
        <v>24</v>
      </c>
      <c r="F296" s="42">
        <v>2.7</v>
      </c>
      <c r="G296" s="42">
        <v>2.2999999999999998</v>
      </c>
      <c r="H296" s="4">
        <v>2342</v>
      </c>
      <c r="I296" s="4">
        <v>3164</v>
      </c>
      <c r="J296" s="41">
        <f t="shared" si="32"/>
        <v>37.384326355340846</v>
      </c>
      <c r="K296" s="4">
        <v>9169</v>
      </c>
      <c r="L296" s="4">
        <v>63</v>
      </c>
      <c r="M296" s="43">
        <v>29.65</v>
      </c>
      <c r="P296" s="4">
        <v>0</v>
      </c>
      <c r="Q296" s="4">
        <v>0</v>
      </c>
      <c r="R296" s="4">
        <v>0</v>
      </c>
      <c r="S296" s="4">
        <v>0</v>
      </c>
      <c r="T296" s="4">
        <v>0</v>
      </c>
      <c r="U296" s="4">
        <v>0</v>
      </c>
      <c r="V296" s="4">
        <v>0</v>
      </c>
      <c r="W296" s="4">
        <v>0</v>
      </c>
      <c r="X296" s="44">
        <v>0</v>
      </c>
      <c r="Y296" s="44">
        <v>0</v>
      </c>
      <c r="Z296" s="4">
        <f t="shared" si="26"/>
        <v>0</v>
      </c>
      <c r="AA296" s="4">
        <f t="shared" si="27"/>
        <v>0</v>
      </c>
      <c r="AB296" s="4">
        <f t="shared" si="28"/>
        <v>0</v>
      </c>
      <c r="AC296" s="4">
        <f t="shared" si="29"/>
        <v>0</v>
      </c>
      <c r="AD296" s="4">
        <f t="shared" si="30"/>
        <v>0</v>
      </c>
    </row>
    <row r="297" spans="1:31" x14ac:dyDescent="0.25">
      <c r="A297" s="40">
        <v>42898</v>
      </c>
      <c r="B297" s="39">
        <v>0.42708333333333331</v>
      </c>
      <c r="C297" s="40">
        <v>42899</v>
      </c>
      <c r="D297" s="39">
        <v>0.4375</v>
      </c>
      <c r="E297" s="41">
        <v>24.25</v>
      </c>
      <c r="F297" s="42">
        <v>2.1</v>
      </c>
      <c r="G297" s="42">
        <v>2.8</v>
      </c>
      <c r="H297" s="4">
        <v>83</v>
      </c>
      <c r="I297" s="4">
        <v>3982</v>
      </c>
      <c r="J297" s="41">
        <f t="shared" si="32"/>
        <v>24.361111111111118</v>
      </c>
      <c r="K297" s="4">
        <v>9011</v>
      </c>
      <c r="L297" s="4">
        <v>64</v>
      </c>
      <c r="N297" s="4">
        <v>108</v>
      </c>
      <c r="O297" s="4">
        <v>108</v>
      </c>
      <c r="P297" s="4">
        <v>1</v>
      </c>
      <c r="Q297" s="4">
        <v>0</v>
      </c>
      <c r="R297" s="4">
        <v>0</v>
      </c>
      <c r="S297" s="4">
        <v>0</v>
      </c>
      <c r="T297" s="4">
        <v>0</v>
      </c>
      <c r="U297" s="4">
        <v>0</v>
      </c>
      <c r="V297" s="4">
        <v>0</v>
      </c>
      <c r="W297" s="4">
        <v>0</v>
      </c>
      <c r="X297" s="44">
        <v>0</v>
      </c>
      <c r="Y297" s="44">
        <v>0</v>
      </c>
      <c r="Z297" s="4">
        <f t="shared" si="26"/>
        <v>4.1049030786773077E-2</v>
      </c>
      <c r="AA297" s="4">
        <f t="shared" si="27"/>
        <v>0</v>
      </c>
      <c r="AB297" s="4">
        <f t="shared" si="28"/>
        <v>0</v>
      </c>
      <c r="AC297" s="4">
        <f t="shared" si="29"/>
        <v>0</v>
      </c>
      <c r="AD297" s="4">
        <f t="shared" si="30"/>
        <v>0</v>
      </c>
    </row>
    <row r="298" spans="1:31" x14ac:dyDescent="0.25">
      <c r="A298" s="40">
        <v>42899</v>
      </c>
      <c r="B298" s="39">
        <v>0.4375</v>
      </c>
      <c r="C298" s="40">
        <v>42900</v>
      </c>
      <c r="D298" s="39">
        <v>0.40625</v>
      </c>
      <c r="E298" s="41">
        <v>23.25</v>
      </c>
      <c r="F298" s="42">
        <v>2.6</v>
      </c>
      <c r="G298" s="42">
        <v>3.1</v>
      </c>
      <c r="H298" s="4">
        <v>2043</v>
      </c>
      <c r="I298" s="4">
        <v>2657</v>
      </c>
      <c r="J298" s="41">
        <f t="shared" si="32"/>
        <v>27.381100082712987</v>
      </c>
      <c r="K298" s="4">
        <v>8864</v>
      </c>
      <c r="L298" s="4">
        <v>65</v>
      </c>
      <c r="M298" s="43">
        <v>24.3</v>
      </c>
      <c r="P298" s="4">
        <v>0</v>
      </c>
      <c r="Q298" s="4">
        <v>0</v>
      </c>
      <c r="R298" s="4">
        <v>0</v>
      </c>
      <c r="S298" s="4">
        <v>0</v>
      </c>
      <c r="T298" s="4">
        <v>0</v>
      </c>
      <c r="U298" s="4">
        <v>0</v>
      </c>
      <c r="V298" s="4">
        <v>0</v>
      </c>
      <c r="W298" s="4">
        <v>0</v>
      </c>
      <c r="X298" s="44">
        <v>0</v>
      </c>
      <c r="Y298" s="44">
        <v>0</v>
      </c>
      <c r="Z298" s="4">
        <f t="shared" si="26"/>
        <v>0</v>
      </c>
      <c r="AA298" s="4">
        <f t="shared" si="27"/>
        <v>0</v>
      </c>
      <c r="AB298" s="4">
        <f t="shared" si="28"/>
        <v>0</v>
      </c>
      <c r="AC298" s="4">
        <f t="shared" si="29"/>
        <v>0</v>
      </c>
      <c r="AD298" s="4">
        <f t="shared" si="30"/>
        <v>0</v>
      </c>
    </row>
    <row r="299" spans="1:31" x14ac:dyDescent="0.25">
      <c r="A299" s="38">
        <v>42900</v>
      </c>
      <c r="B299" s="39">
        <v>0.40625</v>
      </c>
      <c r="C299" s="40">
        <v>42901</v>
      </c>
      <c r="D299" s="39">
        <v>0.44791666666666669</v>
      </c>
      <c r="E299" s="41">
        <v>25</v>
      </c>
      <c r="F299" s="42">
        <v>2.6</v>
      </c>
      <c r="G299" s="42">
        <v>2.8</v>
      </c>
      <c r="H299" s="4">
        <v>2646</v>
      </c>
      <c r="I299" s="4">
        <v>4336</v>
      </c>
      <c r="J299" s="41">
        <f t="shared" si="32"/>
        <v>42.77106227106227</v>
      </c>
      <c r="K299" s="4">
        <v>8530</v>
      </c>
      <c r="L299" s="4">
        <v>67</v>
      </c>
      <c r="M299" s="43">
        <v>21.9</v>
      </c>
      <c r="P299" s="4">
        <v>0</v>
      </c>
      <c r="Q299" s="4">
        <v>0</v>
      </c>
      <c r="R299" s="4">
        <v>0</v>
      </c>
      <c r="S299" s="4">
        <v>0</v>
      </c>
      <c r="T299" s="4">
        <v>0</v>
      </c>
      <c r="U299" s="4">
        <v>0</v>
      </c>
      <c r="V299" s="4">
        <v>0</v>
      </c>
      <c r="W299" s="4">
        <v>0</v>
      </c>
      <c r="X299" s="44">
        <v>0</v>
      </c>
      <c r="Y299" s="44">
        <v>0</v>
      </c>
      <c r="Z299" s="4">
        <f t="shared" si="26"/>
        <v>0</v>
      </c>
      <c r="AA299" s="4">
        <f t="shared" si="27"/>
        <v>0</v>
      </c>
      <c r="AB299" s="4">
        <f t="shared" si="28"/>
        <v>0</v>
      </c>
      <c r="AC299" s="4">
        <f t="shared" si="29"/>
        <v>0</v>
      </c>
      <c r="AD299" s="4">
        <f t="shared" si="30"/>
        <v>0</v>
      </c>
    </row>
    <row r="300" spans="1:31" x14ac:dyDescent="0.25">
      <c r="A300" s="38">
        <v>42901</v>
      </c>
      <c r="B300" s="39">
        <v>0.44791666666666669</v>
      </c>
      <c r="C300" s="40">
        <v>42902</v>
      </c>
      <c r="D300" s="39">
        <v>0.41666666666666669</v>
      </c>
      <c r="E300" s="41">
        <v>23.25</v>
      </c>
      <c r="F300" s="42">
        <v>2.8</v>
      </c>
      <c r="G300" s="42">
        <v>2.65</v>
      </c>
      <c r="H300" s="4">
        <v>2491</v>
      </c>
      <c r="I300" s="4">
        <v>3912</v>
      </c>
      <c r="J300" s="41">
        <f t="shared" si="32"/>
        <v>39.431154537286616</v>
      </c>
      <c r="K300" s="4">
        <v>7767</v>
      </c>
      <c r="L300" s="4">
        <v>68</v>
      </c>
      <c r="M300" s="43">
        <v>20.6</v>
      </c>
      <c r="N300" s="4">
        <v>95</v>
      </c>
      <c r="O300" s="4">
        <v>95</v>
      </c>
      <c r="P300" s="4">
        <v>1</v>
      </c>
      <c r="Q300" s="4">
        <v>0</v>
      </c>
      <c r="R300" s="4">
        <v>0</v>
      </c>
      <c r="S300" s="4">
        <v>0</v>
      </c>
      <c r="T300" s="4">
        <v>0</v>
      </c>
      <c r="U300" s="4">
        <v>0</v>
      </c>
      <c r="V300" s="4">
        <v>0</v>
      </c>
      <c r="W300" s="4">
        <v>0</v>
      </c>
      <c r="X300" s="44">
        <v>0</v>
      </c>
      <c r="Y300" s="44">
        <v>0</v>
      </c>
      <c r="Z300" s="4">
        <f t="shared" si="26"/>
        <v>2.5360657371936369E-2</v>
      </c>
      <c r="AA300" s="4">
        <f t="shared" si="27"/>
        <v>0</v>
      </c>
      <c r="AB300" s="4">
        <f t="shared" si="28"/>
        <v>0</v>
      </c>
      <c r="AC300" s="4">
        <f t="shared" si="29"/>
        <v>0</v>
      </c>
      <c r="AD300" s="4">
        <f t="shared" si="30"/>
        <v>0</v>
      </c>
    </row>
    <row r="301" spans="1:31" x14ac:dyDescent="0.25">
      <c r="A301" s="38">
        <v>42902</v>
      </c>
      <c r="B301" s="39">
        <v>0.40625</v>
      </c>
      <c r="C301" s="40">
        <v>42903</v>
      </c>
      <c r="D301" s="39">
        <v>0.35416666666666669</v>
      </c>
      <c r="E301" s="41">
        <v>22.75</v>
      </c>
      <c r="F301" s="42">
        <v>2.8</v>
      </c>
      <c r="G301" s="42">
        <v>2.8</v>
      </c>
      <c r="H301" s="4">
        <v>1467</v>
      </c>
      <c r="I301" s="4">
        <v>2426</v>
      </c>
      <c r="J301" s="41">
        <f t="shared" si="32"/>
        <v>23.172619047619047</v>
      </c>
      <c r="K301" s="4">
        <v>7327</v>
      </c>
      <c r="L301" s="4">
        <v>69</v>
      </c>
      <c r="M301" s="43">
        <v>29.95</v>
      </c>
      <c r="P301" s="4">
        <v>0</v>
      </c>
      <c r="Q301" s="4">
        <v>0</v>
      </c>
      <c r="R301" s="4">
        <v>0</v>
      </c>
      <c r="S301" s="4">
        <v>0</v>
      </c>
      <c r="T301" s="4">
        <v>0</v>
      </c>
      <c r="U301" s="4">
        <v>0</v>
      </c>
      <c r="V301" s="4">
        <v>0</v>
      </c>
      <c r="W301" s="4">
        <v>0</v>
      </c>
      <c r="X301" s="44">
        <v>0</v>
      </c>
      <c r="Y301" s="44">
        <v>0</v>
      </c>
      <c r="Z301" s="4">
        <f t="shared" si="26"/>
        <v>0</v>
      </c>
      <c r="AA301" s="4">
        <f t="shared" si="27"/>
        <v>0</v>
      </c>
      <c r="AB301" s="4">
        <f t="shared" si="28"/>
        <v>0</v>
      </c>
      <c r="AC301" s="4">
        <f t="shared" si="29"/>
        <v>0</v>
      </c>
      <c r="AD301" s="4">
        <f t="shared" si="30"/>
        <v>0</v>
      </c>
    </row>
    <row r="302" spans="1:31" x14ac:dyDescent="0.25">
      <c r="A302" s="38">
        <v>42903</v>
      </c>
      <c r="B302" s="39">
        <v>0.35416666666666669</v>
      </c>
      <c r="C302" s="40">
        <v>42904</v>
      </c>
      <c r="D302" s="39">
        <v>0.36458333333333331</v>
      </c>
      <c r="E302" s="41">
        <v>24.25</v>
      </c>
      <c r="F302" s="42">
        <v>2.5</v>
      </c>
      <c r="G302" s="42">
        <v>2.8</v>
      </c>
      <c r="H302" s="4">
        <v>3865</v>
      </c>
      <c r="I302" s="4">
        <v>4055</v>
      </c>
      <c r="J302" s="41">
        <f t="shared" si="32"/>
        <v>49.903571428571432</v>
      </c>
      <c r="K302" s="4">
        <v>7114</v>
      </c>
      <c r="L302" s="4">
        <v>70</v>
      </c>
      <c r="M302" s="43">
        <v>19.88</v>
      </c>
      <c r="N302" s="4">
        <v>94</v>
      </c>
      <c r="O302" s="4">
        <v>94</v>
      </c>
      <c r="P302" s="4">
        <v>2</v>
      </c>
      <c r="Q302" s="4">
        <v>0</v>
      </c>
      <c r="R302" s="4">
        <v>0</v>
      </c>
      <c r="S302" s="4">
        <v>0</v>
      </c>
      <c r="T302" s="4">
        <v>0</v>
      </c>
      <c r="U302" s="4">
        <v>0</v>
      </c>
      <c r="V302" s="4">
        <v>0</v>
      </c>
      <c r="W302" s="4">
        <v>0</v>
      </c>
      <c r="X302" s="44">
        <v>0</v>
      </c>
      <c r="Y302" s="44">
        <v>0</v>
      </c>
      <c r="Z302" s="4">
        <f t="shared" si="26"/>
        <v>4.007729192013168E-2</v>
      </c>
      <c r="AA302" s="4">
        <f t="shared" si="27"/>
        <v>0</v>
      </c>
      <c r="AB302" s="4">
        <f t="shared" si="28"/>
        <v>0</v>
      </c>
      <c r="AC302" s="4">
        <f t="shared" si="29"/>
        <v>0</v>
      </c>
      <c r="AD302" s="4">
        <f t="shared" si="30"/>
        <v>0</v>
      </c>
    </row>
    <row r="303" spans="1:31" x14ac:dyDescent="0.25">
      <c r="A303" s="38">
        <v>42904</v>
      </c>
      <c r="B303" s="39">
        <v>0.36458333333333331</v>
      </c>
      <c r="C303" s="40">
        <v>42905</v>
      </c>
      <c r="D303" s="39">
        <v>0.41666666666666669</v>
      </c>
      <c r="E303" s="41">
        <v>25.25</v>
      </c>
      <c r="F303" s="42">
        <v>2.5</v>
      </c>
      <c r="G303" s="42">
        <v>2.5</v>
      </c>
      <c r="H303" s="4">
        <v>2918</v>
      </c>
      <c r="I303" s="4">
        <v>3905</v>
      </c>
      <c r="J303" s="41">
        <f t="shared" si="32"/>
        <v>45.486666666666665</v>
      </c>
      <c r="K303" s="4">
        <v>7086</v>
      </c>
      <c r="L303" s="4">
        <v>73</v>
      </c>
      <c r="M303" s="43">
        <v>18.38</v>
      </c>
      <c r="P303" s="4">
        <v>0</v>
      </c>
      <c r="Q303" s="4">
        <v>0</v>
      </c>
      <c r="R303" s="4">
        <v>0</v>
      </c>
      <c r="S303" s="4">
        <v>0</v>
      </c>
      <c r="T303" s="4">
        <v>0</v>
      </c>
      <c r="U303" s="4">
        <v>0</v>
      </c>
      <c r="V303" s="4">
        <v>0</v>
      </c>
      <c r="W303" s="4">
        <v>0</v>
      </c>
      <c r="X303" s="44">
        <v>0</v>
      </c>
      <c r="Y303" s="44">
        <v>0</v>
      </c>
      <c r="Z303" s="4">
        <v>0</v>
      </c>
      <c r="AA303" s="4">
        <v>0</v>
      </c>
      <c r="AB303" s="4">
        <v>0</v>
      </c>
      <c r="AC303" s="4">
        <v>0</v>
      </c>
      <c r="AD303" s="4">
        <v>0</v>
      </c>
      <c r="AE303" s="93" t="s">
        <v>54</v>
      </c>
    </row>
  </sheetData>
  <mergeCells count="18">
    <mergeCell ref="AE5:AE6"/>
    <mergeCell ref="J5:J6"/>
    <mergeCell ref="K5:M5"/>
    <mergeCell ref="N5:S5"/>
    <mergeCell ref="T5:W5"/>
    <mergeCell ref="X5:X6"/>
    <mergeCell ref="Y5:Y6"/>
    <mergeCell ref="A1:AA1"/>
    <mergeCell ref="A2:AA2"/>
    <mergeCell ref="A3:AA3"/>
    <mergeCell ref="A5:A6"/>
    <mergeCell ref="B5:B6"/>
    <mergeCell ref="C5:C6"/>
    <mergeCell ref="D5:D6"/>
    <mergeCell ref="E5:E6"/>
    <mergeCell ref="F5:G5"/>
    <mergeCell ref="H5:I5"/>
    <mergeCell ref="Z5:AD5"/>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Knights Landing RST Catch</vt:lpstr>
    </vt:vector>
  </TitlesOfParts>
  <Company>California Department of Fish and Wildlife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Julienne, Jason@Wildlife</dc:creator>
  <cp:lastModifiedBy>Administrator</cp:lastModifiedBy>
  <dcterms:created xsi:type="dcterms:W3CDTF">2017-06-14T21:30:17Z</dcterms:created>
  <dcterms:modified xsi:type="dcterms:W3CDTF">2017-06-19T22:58:26Z</dcterms:modified>
</cp:coreProperties>
</file>