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aguignard/Documents/Stanislaus/Restoration/Honolulu Bar/Monitoring/2014/"/>
    </mc:Choice>
  </mc:AlternateContent>
  <xr:revisionPtr revIDLastSave="0" documentId="13_ncr:1_{56FD598F-89B4-3C4B-B28F-A2B2AF798A0F}" xr6:coauthVersionLast="47" xr6:coauthVersionMax="47" xr10:uidLastSave="{00000000-0000-0000-0000-000000000000}"/>
  <bookViews>
    <workbookView xWindow="0" yWindow="500" windowWidth="38400" windowHeight="7600" activeTab="3" xr2:uid="{2CE03D71-2137-3248-A5B9-6C63E871DCA2}"/>
  </bookViews>
  <sheets>
    <sheet name="Raw_data" sheetId="3" r:id="rId1"/>
    <sheet name="locations" sheetId="4" r:id="rId2"/>
    <sheet name="_Taxa_#_and_total_Composition" sheetId="1" r:id="rId3"/>
    <sheet name="drift_densities,_EPT,_diversity" sheetId="5" r:id="rId4"/>
    <sheet name="S-W Diversity" sheetId="7" r:id="rId5"/>
    <sheet name="EPT_density_over_time" sheetId="8" r:id="rId6"/>
    <sheet name="Fish" sheetId="9" r:id="rId7"/>
    <sheet name="Discharge" sheetId="10" r:id="rId8"/>
    <sheet name="Temperature (OBB)" sheetId="11" r:id="rId9"/>
    <sheet name="FlowTemp" sheetId="12" r:id="rId10"/>
    <sheet name="Compositon_at_Sites" sheetId="13" r:id="rId11"/>
  </sheets>
  <definedNames>
    <definedName name="_xlnm._FilterDatabase" localSheetId="0">Raw_data!$A$1:$L$532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5" i="5" l="1"/>
  <c r="G21" i="9"/>
  <c r="P18" i="9"/>
  <c r="F149" i="3"/>
  <c r="F2" i="3"/>
  <c r="C18" i="7"/>
  <c r="D17" i="7"/>
  <c r="F21" i="9"/>
  <c r="J17" i="8"/>
  <c r="F179" i="3" l="1"/>
  <c r="L63" i="3"/>
  <c r="F31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I6" i="1"/>
  <c r="H115" i="13"/>
  <c r="H114" i="13"/>
  <c r="D114" i="13"/>
  <c r="L113" i="13"/>
  <c r="H113" i="13"/>
  <c r="D113" i="13"/>
  <c r="L112" i="13"/>
  <c r="H112" i="13"/>
  <c r="D112" i="13"/>
  <c r="P111" i="13"/>
  <c r="L111" i="13"/>
  <c r="H111" i="13"/>
  <c r="D111" i="13"/>
  <c r="P110" i="13"/>
  <c r="L110" i="13"/>
  <c r="H110" i="13"/>
  <c r="D110" i="13"/>
  <c r="P109" i="13"/>
  <c r="L109" i="13"/>
  <c r="H109" i="13"/>
  <c r="D109" i="13"/>
  <c r="P108" i="13"/>
  <c r="L108" i="13"/>
  <c r="H108" i="13"/>
  <c r="D108" i="13"/>
  <c r="P107" i="13"/>
  <c r="L107" i="13"/>
  <c r="H107" i="13"/>
  <c r="D107" i="13"/>
  <c r="P106" i="13"/>
  <c r="L106" i="13"/>
  <c r="H106" i="13"/>
  <c r="D106" i="13"/>
  <c r="P105" i="13"/>
  <c r="L105" i="13"/>
  <c r="H105" i="13"/>
  <c r="D105" i="13"/>
  <c r="P104" i="13"/>
  <c r="L104" i="13"/>
  <c r="H104" i="13"/>
  <c r="D104" i="13"/>
  <c r="P103" i="13"/>
  <c r="L103" i="13"/>
  <c r="H103" i="13"/>
  <c r="D103" i="13"/>
  <c r="P102" i="13"/>
  <c r="L102" i="13"/>
  <c r="H102" i="13"/>
  <c r="D102" i="13"/>
  <c r="P101" i="13"/>
  <c r="L101" i="13"/>
  <c r="H101" i="13"/>
  <c r="D101" i="13"/>
  <c r="P100" i="13"/>
  <c r="L100" i="13"/>
  <c r="H100" i="13"/>
  <c r="D100" i="13"/>
  <c r="P99" i="13"/>
  <c r="L99" i="13"/>
  <c r="H99" i="13"/>
  <c r="D99" i="13"/>
  <c r="P95" i="13"/>
  <c r="D95" i="13"/>
  <c r="P94" i="13"/>
  <c r="D94" i="13"/>
  <c r="P93" i="13"/>
  <c r="H93" i="13"/>
  <c r="D93" i="13"/>
  <c r="P92" i="13"/>
  <c r="L92" i="13"/>
  <c r="H92" i="13"/>
  <c r="D92" i="13"/>
  <c r="P91" i="13"/>
  <c r="L91" i="13"/>
  <c r="H91" i="13"/>
  <c r="D91" i="13"/>
  <c r="P90" i="13"/>
  <c r="L90" i="13"/>
  <c r="H90" i="13"/>
  <c r="D90" i="13"/>
  <c r="P89" i="13"/>
  <c r="L89" i="13"/>
  <c r="H89" i="13"/>
  <c r="D89" i="13"/>
  <c r="P88" i="13"/>
  <c r="L88" i="13"/>
  <c r="H88" i="13"/>
  <c r="D88" i="13"/>
  <c r="P87" i="13"/>
  <c r="L87" i="13"/>
  <c r="H87" i="13"/>
  <c r="D87" i="13"/>
  <c r="P86" i="13"/>
  <c r="L86" i="13"/>
  <c r="H86" i="13"/>
  <c r="D86" i="13"/>
  <c r="P85" i="13"/>
  <c r="L85" i="13"/>
  <c r="H85" i="13"/>
  <c r="D85" i="13"/>
  <c r="P84" i="13"/>
  <c r="L84" i="13"/>
  <c r="H84" i="13"/>
  <c r="D84" i="13"/>
  <c r="P83" i="13"/>
  <c r="L83" i="13"/>
  <c r="H83" i="13"/>
  <c r="D83" i="13"/>
  <c r="P82" i="13"/>
  <c r="L82" i="13"/>
  <c r="H82" i="13"/>
  <c r="D82" i="13"/>
  <c r="P81" i="13"/>
  <c r="L81" i="13"/>
  <c r="H81" i="13"/>
  <c r="D81" i="13"/>
  <c r="P80" i="13"/>
  <c r="L80" i="13"/>
  <c r="H80" i="13"/>
  <c r="D80" i="13"/>
  <c r="D74" i="13"/>
  <c r="I73" i="13"/>
  <c r="D73" i="13"/>
  <c r="I72" i="13"/>
  <c r="D72" i="13"/>
  <c r="U71" i="13"/>
  <c r="I71" i="13"/>
  <c r="D71" i="13"/>
  <c r="U70" i="13"/>
  <c r="I70" i="13"/>
  <c r="D70" i="13"/>
  <c r="U69" i="13"/>
  <c r="Q69" i="13"/>
  <c r="I69" i="13"/>
  <c r="D69" i="13"/>
  <c r="U68" i="13"/>
  <c r="Q68" i="13"/>
  <c r="I68" i="13"/>
  <c r="D68" i="13"/>
  <c r="U67" i="13"/>
  <c r="Q67" i="13"/>
  <c r="I67" i="13"/>
  <c r="D67" i="13"/>
  <c r="U66" i="13"/>
  <c r="Q66" i="13"/>
  <c r="I66" i="13"/>
  <c r="D66" i="13"/>
  <c r="U65" i="13"/>
  <c r="Q65" i="13"/>
  <c r="I65" i="13"/>
  <c r="D65" i="13"/>
  <c r="U64" i="13"/>
  <c r="Q64" i="13"/>
  <c r="I64" i="13"/>
  <c r="D64" i="13"/>
  <c r="U63" i="13"/>
  <c r="Q63" i="13"/>
  <c r="I63" i="13"/>
  <c r="D63" i="13"/>
  <c r="U62" i="13"/>
  <c r="Q62" i="13"/>
  <c r="M62" i="13"/>
  <c r="I62" i="13"/>
  <c r="D62" i="13"/>
  <c r="U61" i="13"/>
  <c r="Q61" i="13"/>
  <c r="M61" i="13"/>
  <c r="I61" i="13"/>
  <c r="D61" i="13"/>
  <c r="U60" i="13"/>
  <c r="Q60" i="13"/>
  <c r="M60" i="13"/>
  <c r="I60" i="13"/>
  <c r="D60" i="13"/>
  <c r="U59" i="13"/>
  <c r="Q59" i="13"/>
  <c r="M59" i="13"/>
  <c r="I59" i="13"/>
  <c r="D59" i="13"/>
  <c r="U58" i="13"/>
  <c r="Q58" i="13"/>
  <c r="M58" i="13"/>
  <c r="I58" i="13"/>
  <c r="D58" i="13"/>
  <c r="U57" i="13"/>
  <c r="Q57" i="13"/>
  <c r="M57" i="13"/>
  <c r="I57" i="13"/>
  <c r="D57" i="13"/>
  <c r="U56" i="13"/>
  <c r="Q56" i="13"/>
  <c r="M56" i="13"/>
  <c r="I56" i="13"/>
  <c r="D56" i="13"/>
  <c r="U55" i="13"/>
  <c r="Q55" i="13"/>
  <c r="M55" i="13"/>
  <c r="I55" i="13"/>
  <c r="D55" i="13"/>
  <c r="X53" i="13"/>
  <c r="X52" i="13"/>
  <c r="X51" i="13"/>
  <c r="H51" i="13"/>
  <c r="X50" i="13"/>
  <c r="L50" i="13"/>
  <c r="H50" i="13"/>
  <c r="D50" i="13"/>
  <c r="X49" i="13"/>
  <c r="L49" i="13"/>
  <c r="H49" i="13"/>
  <c r="D49" i="13"/>
  <c r="X48" i="13"/>
  <c r="T48" i="13"/>
  <c r="L48" i="13"/>
  <c r="H48" i="13"/>
  <c r="D48" i="13"/>
  <c r="X47" i="13"/>
  <c r="T47" i="13"/>
  <c r="L47" i="13"/>
  <c r="H47" i="13"/>
  <c r="D47" i="13"/>
  <c r="X46" i="13"/>
  <c r="T46" i="13"/>
  <c r="L46" i="13"/>
  <c r="H46" i="13"/>
  <c r="D46" i="13"/>
  <c r="X45" i="13"/>
  <c r="T45" i="13"/>
  <c r="P45" i="13"/>
  <c r="L45" i="13"/>
  <c r="H45" i="13"/>
  <c r="D45" i="13"/>
  <c r="X44" i="13"/>
  <c r="T44" i="13"/>
  <c r="P44" i="13"/>
  <c r="L44" i="13"/>
  <c r="H44" i="13"/>
  <c r="D44" i="13"/>
  <c r="X43" i="13"/>
  <c r="T43" i="13"/>
  <c r="P43" i="13"/>
  <c r="L43" i="13"/>
  <c r="H43" i="13"/>
  <c r="D43" i="13"/>
  <c r="X42" i="13"/>
  <c r="T42" i="13"/>
  <c r="P42" i="13"/>
  <c r="L42" i="13"/>
  <c r="H42" i="13"/>
  <c r="D42" i="13"/>
  <c r="X41" i="13"/>
  <c r="T41" i="13"/>
  <c r="P41" i="13"/>
  <c r="L41" i="13"/>
  <c r="H41" i="13"/>
  <c r="D41" i="13"/>
  <c r="X40" i="13"/>
  <c r="T40" i="13"/>
  <c r="P40" i="13"/>
  <c r="L40" i="13"/>
  <c r="H40" i="13"/>
  <c r="D40" i="13"/>
  <c r="X39" i="13"/>
  <c r="T39" i="13"/>
  <c r="P39" i="13"/>
  <c r="K39" i="13"/>
  <c r="L39" i="13" s="1"/>
  <c r="H39" i="13"/>
  <c r="D39" i="13"/>
  <c r="X38" i="13"/>
  <c r="T38" i="13"/>
  <c r="P38" i="13"/>
  <c r="L38" i="13"/>
  <c r="H38" i="13"/>
  <c r="D38" i="13"/>
  <c r="X37" i="13"/>
  <c r="T37" i="13"/>
  <c r="P37" i="13"/>
  <c r="K37" i="13"/>
  <c r="L37" i="13" s="1"/>
  <c r="H37" i="13"/>
  <c r="D37" i="13"/>
  <c r="X36" i="13"/>
  <c r="T36" i="13"/>
  <c r="P36" i="13"/>
  <c r="L36" i="13"/>
  <c r="H36" i="13"/>
  <c r="D36" i="13"/>
  <c r="X35" i="13"/>
  <c r="T35" i="13"/>
  <c r="P35" i="13"/>
  <c r="L35" i="13"/>
  <c r="H35" i="13"/>
  <c r="D35" i="13"/>
  <c r="X34" i="13"/>
  <c r="T34" i="13"/>
  <c r="P34" i="13"/>
  <c r="L34" i="13"/>
  <c r="H34" i="13"/>
  <c r="D34" i="13"/>
  <c r="J29" i="13"/>
  <c r="J28" i="13"/>
  <c r="J27" i="13"/>
  <c r="J26" i="13"/>
  <c r="J25" i="13"/>
  <c r="J24" i="13"/>
  <c r="J23" i="13"/>
  <c r="J22" i="13"/>
  <c r="J21" i="13"/>
  <c r="J20" i="13"/>
  <c r="AF19" i="13"/>
  <c r="J19" i="13"/>
  <c r="AF18" i="13"/>
  <c r="J18" i="13"/>
  <c r="AF17" i="13"/>
  <c r="J17" i="13"/>
  <c r="AF16" i="13"/>
  <c r="J16" i="13"/>
  <c r="D16" i="13"/>
  <c r="E5" i="13" s="1"/>
  <c r="AF15" i="13"/>
  <c r="AB15" i="13"/>
  <c r="J15" i="13"/>
  <c r="AF14" i="13"/>
  <c r="AB14" i="13"/>
  <c r="X14" i="13"/>
  <c r="T14" i="13"/>
  <c r="J14" i="13"/>
  <c r="AF13" i="13"/>
  <c r="AB13" i="13"/>
  <c r="X13" i="13"/>
  <c r="T13" i="13"/>
  <c r="J13" i="13"/>
  <c r="AF12" i="13"/>
  <c r="AB12" i="13"/>
  <c r="X12" i="13"/>
  <c r="T12" i="13"/>
  <c r="O12" i="13"/>
  <c r="J12" i="13"/>
  <c r="AF11" i="13"/>
  <c r="AB11" i="13"/>
  <c r="X11" i="13"/>
  <c r="T11" i="13"/>
  <c r="O11" i="13"/>
  <c r="J11" i="13"/>
  <c r="E11" i="13"/>
  <c r="AF10" i="13"/>
  <c r="AB10" i="13"/>
  <c r="X10" i="13"/>
  <c r="T10" i="13"/>
  <c r="O10" i="13"/>
  <c r="J10" i="13"/>
  <c r="E10" i="13"/>
  <c r="AF9" i="13"/>
  <c r="AB9" i="13"/>
  <c r="X9" i="13"/>
  <c r="T9" i="13"/>
  <c r="O9" i="13"/>
  <c r="J9" i="13"/>
  <c r="E9" i="13"/>
  <c r="AF8" i="13"/>
  <c r="AB8" i="13"/>
  <c r="X8" i="13"/>
  <c r="T8" i="13"/>
  <c r="O8" i="13"/>
  <c r="J8" i="13"/>
  <c r="E8" i="13"/>
  <c r="AF7" i="13"/>
  <c r="AB7" i="13"/>
  <c r="X7" i="13"/>
  <c r="T7" i="13"/>
  <c r="O7" i="13"/>
  <c r="J7" i="13"/>
  <c r="AF6" i="13"/>
  <c r="AB6" i="13"/>
  <c r="X6" i="13"/>
  <c r="T6" i="13"/>
  <c r="O6" i="13"/>
  <c r="J6" i="13"/>
  <c r="AF5" i="13"/>
  <c r="AB5" i="13"/>
  <c r="X5" i="13"/>
  <c r="T5" i="13"/>
  <c r="O5" i="13"/>
  <c r="J5" i="13"/>
  <c r="AF4" i="13"/>
  <c r="AB4" i="13"/>
  <c r="X4" i="13"/>
  <c r="T4" i="13"/>
  <c r="O4" i="13"/>
  <c r="J4" i="13"/>
  <c r="AF3" i="13"/>
  <c r="AB3" i="13"/>
  <c r="X3" i="13"/>
  <c r="T3" i="13"/>
  <c r="O3" i="13"/>
  <c r="J3" i="13"/>
  <c r="O12" i="11"/>
  <c r="N12" i="11"/>
  <c r="M12" i="11"/>
  <c r="L12" i="11"/>
  <c r="N7" i="11"/>
  <c r="M7" i="11"/>
  <c r="L7" i="11"/>
  <c r="E28" i="9"/>
  <c r="F28" i="9" s="1"/>
  <c r="E27" i="9"/>
  <c r="F27" i="9"/>
  <c r="E26" i="9"/>
  <c r="F26" i="9"/>
  <c r="N25" i="9"/>
  <c r="O25" i="9" s="1"/>
  <c r="N24" i="9"/>
  <c r="O24" i="9" s="1"/>
  <c r="N22" i="9"/>
  <c r="O22" i="9"/>
  <c r="E21" i="9"/>
  <c r="H13" i="9"/>
  <c r="G13" i="9"/>
  <c r="F13" i="9"/>
  <c r="E13" i="9"/>
  <c r="D13" i="9"/>
  <c r="C13" i="9"/>
  <c r="B13" i="9"/>
  <c r="H12" i="9"/>
  <c r="G12" i="9"/>
  <c r="F12" i="9"/>
  <c r="E12" i="9"/>
  <c r="D12" i="9"/>
  <c r="C12" i="9"/>
  <c r="B12" i="9"/>
  <c r="AP109" i="7"/>
  <c r="AP110" i="7" s="1"/>
  <c r="AP111" i="7" s="1"/>
  <c r="AQ108" i="7"/>
  <c r="AJ108" i="7"/>
  <c r="AJ109" i="7" s="1"/>
  <c r="AJ110" i="7" s="1"/>
  <c r="AQ107" i="7"/>
  <c r="AK107" i="7"/>
  <c r="AQ106" i="7"/>
  <c r="AK106" i="7"/>
  <c r="AQ105" i="7"/>
  <c r="AK105" i="7"/>
  <c r="AQ104" i="7"/>
  <c r="AK104" i="7"/>
  <c r="AQ103" i="7"/>
  <c r="AK103" i="7"/>
  <c r="AQ102" i="7"/>
  <c r="AK102" i="7"/>
  <c r="AQ101" i="7"/>
  <c r="AK101" i="7"/>
  <c r="AQ100" i="7"/>
  <c r="AK100" i="7"/>
  <c r="AQ99" i="7"/>
  <c r="AK99" i="7"/>
  <c r="AQ98" i="7"/>
  <c r="AK98" i="7"/>
  <c r="AQ97" i="7"/>
  <c r="AK97" i="7"/>
  <c r="AQ96" i="7"/>
  <c r="AK96" i="7"/>
  <c r="AQ95" i="7"/>
  <c r="AQ109" i="7" s="1"/>
  <c r="AK95" i="7"/>
  <c r="BC90" i="7"/>
  <c r="BC91" i="7" s="1"/>
  <c r="BC92" i="7" s="1"/>
  <c r="BD89" i="7"/>
  <c r="AS89" i="7"/>
  <c r="AS91" i="7" s="1"/>
  <c r="AS92" i="7" s="1"/>
  <c r="AJ89" i="7"/>
  <c r="BD88" i="7"/>
  <c r="AT88" i="7"/>
  <c r="AK88" i="7"/>
  <c r="BD87" i="7"/>
  <c r="AT87" i="7"/>
  <c r="AK87" i="7"/>
  <c r="AA87" i="7"/>
  <c r="AA89" i="7"/>
  <c r="BD86" i="7"/>
  <c r="AT86" i="7"/>
  <c r="AK86" i="7"/>
  <c r="AB86" i="7"/>
  <c r="BD85" i="7"/>
  <c r="AT85" i="7"/>
  <c r="AK85" i="7"/>
  <c r="AB85" i="7"/>
  <c r="BD84" i="7"/>
  <c r="AT84" i="7"/>
  <c r="AK84" i="7"/>
  <c r="AB84" i="7"/>
  <c r="BD83" i="7"/>
  <c r="AT83" i="7"/>
  <c r="AK83" i="7"/>
  <c r="AB83" i="7"/>
  <c r="BD82" i="7"/>
  <c r="AT82" i="7"/>
  <c r="AK82" i="7"/>
  <c r="AB82" i="7"/>
  <c r="BD81" i="7"/>
  <c r="AT81" i="7"/>
  <c r="AK81" i="7"/>
  <c r="AB81" i="7"/>
  <c r="BD80" i="7"/>
  <c r="AT80" i="7"/>
  <c r="AK80" i="7"/>
  <c r="AB80" i="7"/>
  <c r="BD79" i="7"/>
  <c r="AT79" i="7"/>
  <c r="AK79" i="7"/>
  <c r="AB79" i="7"/>
  <c r="BD78" i="7"/>
  <c r="AT78" i="7"/>
  <c r="AK78" i="7"/>
  <c r="AK89" i="7" s="1"/>
  <c r="AB78" i="7"/>
  <c r="BD77" i="7"/>
  <c r="AT77" i="7"/>
  <c r="AK77" i="7"/>
  <c r="AB77" i="7"/>
  <c r="AB87" i="7" s="1"/>
  <c r="AA90" i="7" s="1"/>
  <c r="AN73" i="7"/>
  <c r="AN72" i="7"/>
  <c r="AD72" i="7"/>
  <c r="AA72" i="7"/>
  <c r="BC71" i="7"/>
  <c r="AX71" i="7"/>
  <c r="AO71" i="7"/>
  <c r="AD71" i="7"/>
  <c r="AA71" i="7"/>
  <c r="BD70" i="7"/>
  <c r="AX70" i="7"/>
  <c r="AO70" i="7"/>
  <c r="AJ70" i="7"/>
  <c r="AF70" i="7"/>
  <c r="AB70" i="7"/>
  <c r="BD69" i="7"/>
  <c r="AY69" i="7"/>
  <c r="AS69" i="7"/>
  <c r="AO69" i="7"/>
  <c r="AJ69" i="7"/>
  <c r="AF69" i="7"/>
  <c r="AB69" i="7"/>
  <c r="BG68" i="7"/>
  <c r="BG70" i="7"/>
  <c r="BD68" i="7"/>
  <c r="AY68" i="7"/>
  <c r="AS68" i="7"/>
  <c r="AS70" i="7" s="1"/>
  <c r="AO68" i="7"/>
  <c r="AK68" i="7"/>
  <c r="AF68" i="7"/>
  <c r="AB68" i="7"/>
  <c r="BH67" i="7"/>
  <c r="BD67" i="7"/>
  <c r="AY67" i="7"/>
  <c r="AT67" i="7"/>
  <c r="AO67" i="7"/>
  <c r="AK67" i="7"/>
  <c r="AF67" i="7"/>
  <c r="AB67" i="7"/>
  <c r="BH66" i="7"/>
  <c r="BD66" i="7"/>
  <c r="AY66" i="7"/>
  <c r="AT66" i="7"/>
  <c r="AO66" i="7"/>
  <c r="AK66" i="7"/>
  <c r="AF66" i="7"/>
  <c r="AB66" i="7"/>
  <c r="BH65" i="7"/>
  <c r="BD65" i="7"/>
  <c r="AY65" i="7"/>
  <c r="AT65" i="7"/>
  <c r="AO65" i="7"/>
  <c r="AK65" i="7"/>
  <c r="AF65" i="7"/>
  <c r="AB65" i="7"/>
  <c r="BH64" i="7"/>
  <c r="BD64" i="7"/>
  <c r="AY64" i="7"/>
  <c r="AT64" i="7"/>
  <c r="AO64" i="7"/>
  <c r="AK64" i="7"/>
  <c r="AF64" i="7"/>
  <c r="AB64" i="7"/>
  <c r="BH63" i="7"/>
  <c r="BD63" i="7"/>
  <c r="AY63" i="7"/>
  <c r="AT63" i="7"/>
  <c r="AO63" i="7"/>
  <c r="AK63" i="7"/>
  <c r="AF63" i="7"/>
  <c r="AB63" i="7"/>
  <c r="BH62" i="7"/>
  <c r="BD62" i="7"/>
  <c r="AY62" i="7"/>
  <c r="AT62" i="7"/>
  <c r="AO62" i="7"/>
  <c r="AK62" i="7"/>
  <c r="AF62" i="7"/>
  <c r="AB62" i="7"/>
  <c r="BH61" i="7"/>
  <c r="BD61" i="7"/>
  <c r="AY61" i="7"/>
  <c r="AT61" i="7"/>
  <c r="AO61" i="7"/>
  <c r="AK61" i="7"/>
  <c r="AF61" i="7"/>
  <c r="AB61" i="7"/>
  <c r="BH60" i="7"/>
  <c r="BD60" i="7"/>
  <c r="AY60" i="7"/>
  <c r="AT60" i="7"/>
  <c r="AO60" i="7"/>
  <c r="AK60" i="7"/>
  <c r="AF60" i="7"/>
  <c r="AB60" i="7"/>
  <c r="BH59" i="7"/>
  <c r="BD59" i="7"/>
  <c r="AY59" i="7"/>
  <c r="AT59" i="7"/>
  <c r="AO59" i="7"/>
  <c r="AK59" i="7"/>
  <c r="AF59" i="7"/>
  <c r="AB59" i="7"/>
  <c r="BH58" i="7"/>
  <c r="BD58" i="7"/>
  <c r="AY58" i="7"/>
  <c r="AT58" i="7"/>
  <c r="AO58" i="7"/>
  <c r="AK58" i="7"/>
  <c r="AF58" i="7"/>
  <c r="AB58" i="7"/>
  <c r="BH57" i="7"/>
  <c r="BD57" i="7"/>
  <c r="AY57" i="7"/>
  <c r="AT57" i="7"/>
  <c r="AO57" i="7"/>
  <c r="AK57" i="7"/>
  <c r="AF57" i="7"/>
  <c r="AB57" i="7"/>
  <c r="BH56" i="7"/>
  <c r="BD56" i="7"/>
  <c r="AY56" i="7"/>
  <c r="AT56" i="7"/>
  <c r="AO56" i="7"/>
  <c r="AK56" i="7"/>
  <c r="AF56" i="7"/>
  <c r="AB56" i="7"/>
  <c r="AB71" i="7" s="1"/>
  <c r="BH55" i="7"/>
  <c r="BH68" i="7" s="1"/>
  <c r="BD55" i="7"/>
  <c r="BD71" i="7" s="1"/>
  <c r="AY55" i="7"/>
  <c r="AT55" i="7"/>
  <c r="AT68" i="7" s="1"/>
  <c r="AO55" i="7"/>
  <c r="AK55" i="7"/>
  <c r="AK69" i="7" s="1"/>
  <c r="AF55" i="7"/>
  <c r="AF71" i="7" s="1"/>
  <c r="AD74" i="7" s="1"/>
  <c r="AB55" i="7"/>
  <c r="AJ50" i="7"/>
  <c r="AD50" i="7"/>
  <c r="AJ49" i="7"/>
  <c r="AJ51" i="7" s="1"/>
  <c r="AJ52" i="7" s="1"/>
  <c r="AD49" i="7"/>
  <c r="Y49" i="7"/>
  <c r="AK48" i="7"/>
  <c r="AE48" i="7"/>
  <c r="Y48" i="7"/>
  <c r="Y50" i="7" s="1"/>
  <c r="Y51" i="7" s="1"/>
  <c r="AK47" i="7"/>
  <c r="AE47" i="7"/>
  <c r="Z47" i="7"/>
  <c r="AK46" i="7"/>
  <c r="AE46" i="7"/>
  <c r="Z46" i="7"/>
  <c r="AK45" i="7"/>
  <c r="AE45" i="7"/>
  <c r="Z45" i="7"/>
  <c r="AK44" i="7"/>
  <c r="AE44" i="7"/>
  <c r="Z44" i="7"/>
  <c r="AK43" i="7"/>
  <c r="AE43" i="7"/>
  <c r="Z43" i="7"/>
  <c r="AK42" i="7"/>
  <c r="AE42" i="7"/>
  <c r="Z42" i="7"/>
  <c r="AK41" i="7"/>
  <c r="AE41" i="7"/>
  <c r="Z41" i="7"/>
  <c r="AK40" i="7"/>
  <c r="AE40" i="7"/>
  <c r="Z40" i="7"/>
  <c r="AK39" i="7"/>
  <c r="AE39" i="7"/>
  <c r="Z39" i="7"/>
  <c r="AK38" i="7"/>
  <c r="AE38" i="7"/>
  <c r="Z38" i="7"/>
  <c r="AK37" i="7"/>
  <c r="AE37" i="7"/>
  <c r="Z37" i="7"/>
  <c r="AK36" i="7"/>
  <c r="AK49" i="7" s="1"/>
  <c r="AE36" i="7"/>
  <c r="Z36" i="7"/>
  <c r="AK35" i="7"/>
  <c r="AE35" i="7"/>
  <c r="Z35" i="7"/>
  <c r="AK34" i="7"/>
  <c r="AE34" i="7"/>
  <c r="AE49" i="7" s="1"/>
  <c r="Z34" i="7"/>
  <c r="Z48" i="7" s="1"/>
  <c r="Q29" i="7"/>
  <c r="Q28" i="7"/>
  <c r="R27" i="7"/>
  <c r="R26" i="7"/>
  <c r="R25" i="7"/>
  <c r="R24" i="7"/>
  <c r="AH23" i="7"/>
  <c r="R23" i="7"/>
  <c r="AH22" i="7"/>
  <c r="AH24" i="7" s="1"/>
  <c r="AH25" i="7" s="1"/>
  <c r="Y22" i="7"/>
  <c r="R22" i="7"/>
  <c r="L22" i="7"/>
  <c r="AI21" i="7"/>
  <c r="Y21" i="7"/>
  <c r="Y23" i="7" s="1"/>
  <c r="R21" i="7"/>
  <c r="M21" i="7"/>
  <c r="AL20" i="7"/>
  <c r="AI20" i="7"/>
  <c r="AD20" i="7"/>
  <c r="Z20" i="7"/>
  <c r="R20" i="7"/>
  <c r="M20" i="7"/>
  <c r="H20" i="7"/>
  <c r="AL19" i="7"/>
  <c r="AL21" i="7" s="1"/>
  <c r="AL22" i="7" s="1"/>
  <c r="AI19" i="7"/>
  <c r="AD19" i="7"/>
  <c r="Z19" i="7"/>
  <c r="U19" i="7"/>
  <c r="R19" i="7"/>
  <c r="M19" i="7"/>
  <c r="H19" i="7"/>
  <c r="H21" i="7" s="1"/>
  <c r="H22" i="7" s="1"/>
  <c r="AM18" i="7"/>
  <c r="AI18" i="7"/>
  <c r="AE18" i="7"/>
  <c r="Z18" i="7"/>
  <c r="U18" i="7"/>
  <c r="U20" i="7" s="1"/>
  <c r="R18" i="7"/>
  <c r="M18" i="7"/>
  <c r="I18" i="7"/>
  <c r="AM17" i="7"/>
  <c r="AI17" i="7"/>
  <c r="AE17" i="7"/>
  <c r="Z17" i="7"/>
  <c r="V17" i="7"/>
  <c r="R17" i="7"/>
  <c r="M17" i="7"/>
  <c r="I17" i="7"/>
  <c r="AM16" i="7"/>
  <c r="AI16" i="7"/>
  <c r="AE16" i="7"/>
  <c r="Z16" i="7"/>
  <c r="V16" i="7"/>
  <c r="R16" i="7"/>
  <c r="M16" i="7"/>
  <c r="I16" i="7"/>
  <c r="AM15" i="7"/>
  <c r="AI15" i="7"/>
  <c r="AE15" i="7"/>
  <c r="Z15" i="7"/>
  <c r="V15" i="7"/>
  <c r="R15" i="7"/>
  <c r="M15" i="7"/>
  <c r="I15" i="7"/>
  <c r="D15" i="7"/>
  <c r="D16" i="7"/>
  <c r="AM14" i="7"/>
  <c r="AI14" i="7"/>
  <c r="AE14" i="7"/>
  <c r="Z14" i="7"/>
  <c r="V14" i="7"/>
  <c r="R14" i="7"/>
  <c r="M14" i="7"/>
  <c r="I14" i="7"/>
  <c r="E14" i="7"/>
  <c r="AM13" i="7"/>
  <c r="AI13" i="7"/>
  <c r="AE13" i="7"/>
  <c r="Z13" i="7"/>
  <c r="V13" i="7"/>
  <c r="R13" i="7"/>
  <c r="M13" i="7"/>
  <c r="I13" i="7"/>
  <c r="E13" i="7"/>
  <c r="AM12" i="7"/>
  <c r="AI12" i="7"/>
  <c r="AE12" i="7"/>
  <c r="Z12" i="7"/>
  <c r="V12" i="7"/>
  <c r="R12" i="7"/>
  <c r="M12" i="7"/>
  <c r="I12" i="7"/>
  <c r="E12" i="7"/>
  <c r="AM11" i="7"/>
  <c r="AI11" i="7"/>
  <c r="AE11" i="7"/>
  <c r="Z11" i="7"/>
  <c r="V11" i="7"/>
  <c r="R11" i="7"/>
  <c r="M11" i="7"/>
  <c r="I11" i="7"/>
  <c r="E11" i="7"/>
  <c r="AM10" i="7"/>
  <c r="AI10" i="7"/>
  <c r="AE10" i="7"/>
  <c r="Z10" i="7"/>
  <c r="V10" i="7"/>
  <c r="R10" i="7"/>
  <c r="M10" i="7"/>
  <c r="I10" i="7"/>
  <c r="E10" i="7"/>
  <c r="AM9" i="7"/>
  <c r="AI9" i="7"/>
  <c r="AE9" i="7"/>
  <c r="Z9" i="7"/>
  <c r="V9" i="7"/>
  <c r="R9" i="7"/>
  <c r="M9" i="7"/>
  <c r="M22" i="7" s="1"/>
  <c r="I9" i="7"/>
  <c r="E9" i="7"/>
  <c r="AM8" i="7"/>
  <c r="AI8" i="7"/>
  <c r="AE8" i="7"/>
  <c r="Z8" i="7"/>
  <c r="V8" i="7"/>
  <c r="R8" i="7"/>
  <c r="M8" i="7"/>
  <c r="I8" i="7"/>
  <c r="E8" i="7"/>
  <c r="AM7" i="7"/>
  <c r="AI7" i="7"/>
  <c r="AE7" i="7"/>
  <c r="Z7" i="7"/>
  <c r="V7" i="7"/>
  <c r="V18" i="7" s="1"/>
  <c r="R7" i="7"/>
  <c r="M7" i="7"/>
  <c r="I7" i="7"/>
  <c r="E7" i="7"/>
  <c r="AM6" i="7"/>
  <c r="AI6" i="7"/>
  <c r="AE6" i="7"/>
  <c r="Z6" i="7"/>
  <c r="V6" i="7"/>
  <c r="R6" i="7"/>
  <c r="M6" i="7"/>
  <c r="I6" i="7"/>
  <c r="E6" i="7"/>
  <c r="AM5" i="7"/>
  <c r="AI5" i="7"/>
  <c r="AE5" i="7"/>
  <c r="Z5" i="7"/>
  <c r="V5" i="7"/>
  <c r="R5" i="7"/>
  <c r="M5" i="7"/>
  <c r="I5" i="7"/>
  <c r="E5" i="7"/>
  <c r="AM4" i="7"/>
  <c r="AI4" i="7"/>
  <c r="AI22" i="7" s="1"/>
  <c r="AE4" i="7"/>
  <c r="Z4" i="7"/>
  <c r="V4" i="7"/>
  <c r="R4" i="7"/>
  <c r="M4" i="7"/>
  <c r="I4" i="7"/>
  <c r="E4" i="7"/>
  <c r="AM3" i="7"/>
  <c r="AI3" i="7"/>
  <c r="AE3" i="7"/>
  <c r="Z3" i="7"/>
  <c r="V3" i="7"/>
  <c r="R3" i="7"/>
  <c r="M3" i="7"/>
  <c r="I3" i="7"/>
  <c r="E3" i="7"/>
  <c r="E15" i="7" s="1"/>
  <c r="AM2" i="7"/>
  <c r="AI2" i="7"/>
  <c r="AE2" i="7"/>
  <c r="Z2" i="7"/>
  <c r="Z21" i="7" s="1"/>
  <c r="V2" i="7"/>
  <c r="R2" i="7"/>
  <c r="R28" i="7" s="1"/>
  <c r="Q31" i="7" s="1"/>
  <c r="I2" i="7"/>
  <c r="E2" i="7"/>
  <c r="P46" i="5"/>
  <c r="O46" i="5"/>
  <c r="M46" i="5"/>
  <c r="S20" i="5" s="1"/>
  <c r="L46" i="5"/>
  <c r="L43" i="5"/>
  <c r="L44" i="5"/>
  <c r="L45" i="5"/>
  <c r="D46" i="5"/>
  <c r="P45" i="5"/>
  <c r="O45" i="5"/>
  <c r="N45" i="5"/>
  <c r="N43" i="5"/>
  <c r="N44" i="5"/>
  <c r="D45" i="5"/>
  <c r="P44" i="5"/>
  <c r="O44" i="5"/>
  <c r="O43" i="5"/>
  <c r="D44" i="5"/>
  <c r="P43" i="5"/>
  <c r="V20" i="5" s="1"/>
  <c r="D43" i="5"/>
  <c r="S32" i="5" s="1"/>
  <c r="P40" i="5"/>
  <c r="O40" i="5"/>
  <c r="N40" i="5"/>
  <c r="L40" i="5"/>
  <c r="D40" i="5"/>
  <c r="P39" i="5"/>
  <c r="O39" i="5"/>
  <c r="N39" i="5"/>
  <c r="M39" i="5"/>
  <c r="L39" i="5"/>
  <c r="D39" i="5"/>
  <c r="S35" i="5" s="1"/>
  <c r="P36" i="5"/>
  <c r="P33" i="5"/>
  <c r="V22" i="5" s="1"/>
  <c r="P34" i="5"/>
  <c r="P35" i="5"/>
  <c r="O36" i="5"/>
  <c r="L36" i="5"/>
  <c r="D36" i="5"/>
  <c r="T35" i="5"/>
  <c r="O35" i="5"/>
  <c r="L35" i="5"/>
  <c r="D35" i="5"/>
  <c r="O34" i="5"/>
  <c r="L34" i="5"/>
  <c r="D34" i="5"/>
  <c r="R35" i="5" s="1"/>
  <c r="O33" i="5"/>
  <c r="U22" i="5" s="1"/>
  <c r="N33" i="5"/>
  <c r="T22" i="5" s="1"/>
  <c r="L33" i="5"/>
  <c r="D33" i="5"/>
  <c r="R32" i="5" s="1"/>
  <c r="D30" i="5"/>
  <c r="D27" i="5"/>
  <c r="P23" i="5"/>
  <c r="V15" i="5" s="1"/>
  <c r="O23" i="5"/>
  <c r="N23" i="5"/>
  <c r="L23" i="5"/>
  <c r="D23" i="5"/>
  <c r="S22" i="5"/>
  <c r="P22" i="5"/>
  <c r="O22" i="5"/>
  <c r="N22" i="5"/>
  <c r="L22" i="5"/>
  <c r="D22" i="5"/>
  <c r="P21" i="5"/>
  <c r="P19" i="5"/>
  <c r="AB15" i="5" s="1"/>
  <c r="O21" i="5"/>
  <c r="N21" i="5"/>
  <c r="M21" i="5"/>
  <c r="S15" i="5" s="1"/>
  <c r="L21" i="5"/>
  <c r="D21" i="5"/>
  <c r="P20" i="5"/>
  <c r="O20" i="5"/>
  <c r="N20" i="5"/>
  <c r="L20" i="5"/>
  <c r="D20" i="5"/>
  <c r="O19" i="5"/>
  <c r="N19" i="5"/>
  <c r="T15" i="5" s="1"/>
  <c r="L19" i="5"/>
  <c r="D19" i="5"/>
  <c r="P15" i="5"/>
  <c r="O15" i="5"/>
  <c r="N15" i="5"/>
  <c r="M15" i="5"/>
  <c r="L15" i="5"/>
  <c r="D15" i="5"/>
  <c r="P14" i="5"/>
  <c r="O14" i="5"/>
  <c r="N14" i="5"/>
  <c r="M14" i="5"/>
  <c r="L14" i="5"/>
  <c r="D14" i="5"/>
  <c r="P13" i="5"/>
  <c r="P12" i="5"/>
  <c r="V17" i="5" s="1"/>
  <c r="O13" i="5"/>
  <c r="N13" i="5"/>
  <c r="M13" i="5"/>
  <c r="L13" i="5"/>
  <c r="L12" i="5"/>
  <c r="R17" i="5" s="1"/>
  <c r="D13" i="5"/>
  <c r="O12" i="5"/>
  <c r="N12" i="5"/>
  <c r="Z17" i="5" s="1"/>
  <c r="M12" i="5"/>
  <c r="S17" i="5" s="1"/>
  <c r="D12" i="5"/>
  <c r="P9" i="5"/>
  <c r="O9" i="5"/>
  <c r="N9" i="5"/>
  <c r="L9" i="5"/>
  <c r="D9" i="5"/>
  <c r="P8" i="5"/>
  <c r="O8" i="5"/>
  <c r="N8" i="5"/>
  <c r="L8" i="5"/>
  <c r="D8" i="5"/>
  <c r="P7" i="5"/>
  <c r="O7" i="5"/>
  <c r="N7" i="5"/>
  <c r="L7" i="5"/>
  <c r="D7" i="5"/>
  <c r="P6" i="5"/>
  <c r="O6" i="5"/>
  <c r="N6" i="5"/>
  <c r="L6" i="5"/>
  <c r="D6" i="5"/>
  <c r="P5" i="5"/>
  <c r="O5" i="5"/>
  <c r="N5" i="5"/>
  <c r="L5" i="5"/>
  <c r="D5" i="5"/>
  <c r="P4" i="5"/>
  <c r="O4" i="5"/>
  <c r="N4" i="5"/>
  <c r="M4" i="5"/>
  <c r="S13" i="5" s="1"/>
  <c r="L4" i="5"/>
  <c r="D4" i="5"/>
  <c r="P3" i="5"/>
  <c r="O3" i="5"/>
  <c r="N3" i="5"/>
  <c r="L3" i="5"/>
  <c r="D3" i="5"/>
  <c r="I46" i="1"/>
  <c r="E46" i="1"/>
  <c r="I45" i="1" s="1"/>
  <c r="E45" i="1"/>
  <c r="I44" i="1" s="1"/>
  <c r="E44" i="1"/>
  <c r="I43" i="1"/>
  <c r="E43" i="1"/>
  <c r="I42" i="1" s="1"/>
  <c r="E42" i="1"/>
  <c r="I41" i="1" s="1"/>
  <c r="I40" i="1"/>
  <c r="I39" i="1"/>
  <c r="E39" i="1"/>
  <c r="I38" i="1"/>
  <c r="E38" i="1"/>
  <c r="I37" i="1" s="1"/>
  <c r="I36" i="1"/>
  <c r="I35" i="1"/>
  <c r="I34" i="1"/>
  <c r="I33" i="1"/>
  <c r="I32" i="1"/>
  <c r="I31" i="1"/>
  <c r="I30" i="1"/>
  <c r="I29" i="1"/>
  <c r="E29" i="1"/>
  <c r="I28" i="1" s="1"/>
  <c r="I27" i="1"/>
  <c r="I26" i="1"/>
  <c r="E26" i="1"/>
  <c r="I25" i="1" s="1"/>
  <c r="I24" i="1"/>
  <c r="I23" i="1"/>
  <c r="E23" i="1"/>
  <c r="I22" i="1" s="1"/>
  <c r="I21" i="1"/>
  <c r="E20" i="1"/>
  <c r="I20" i="1" s="1"/>
  <c r="E19" i="1"/>
  <c r="I19" i="1"/>
  <c r="E18" i="1"/>
  <c r="I18" i="1"/>
  <c r="I17" i="1"/>
  <c r="E16" i="1"/>
  <c r="I16" i="1" s="1"/>
  <c r="E15" i="1"/>
  <c r="I15" i="1" s="1"/>
  <c r="I14" i="1"/>
  <c r="E13" i="1"/>
  <c r="I13" i="1" s="1"/>
  <c r="I12" i="1"/>
  <c r="I11" i="1"/>
  <c r="I10" i="1"/>
  <c r="I9" i="1"/>
  <c r="I7" i="1"/>
  <c r="E7" i="1"/>
  <c r="I8" i="1"/>
  <c r="BD90" i="7"/>
  <c r="AK108" i="7"/>
  <c r="T28" i="5"/>
  <c r="AM19" i="7"/>
  <c r="AY70" i="7"/>
  <c r="I19" i="7"/>
  <c r="AE19" i="7"/>
  <c r="AO72" i="7"/>
  <c r="AT89" i="7"/>
  <c r="AD51" i="7"/>
  <c r="AD52" i="7" s="1"/>
  <c r="AD73" i="7"/>
  <c r="AD21" i="7"/>
  <c r="AD22" i="7" s="1"/>
  <c r="L23" i="7"/>
  <c r="L24" i="7"/>
  <c r="L25" i="7" s="1"/>
  <c r="Q30" i="7"/>
  <c r="AJ71" i="7"/>
  <c r="AJ72" i="7" s="1"/>
  <c r="AX72" i="7"/>
  <c r="AX73" i="7" s="1"/>
  <c r="AN74" i="7"/>
  <c r="AN75" i="7"/>
  <c r="AJ91" i="7"/>
  <c r="AJ92" i="7" s="1"/>
  <c r="BC73" i="7"/>
  <c r="BC74" i="7" s="1"/>
  <c r="U20" i="5" l="1"/>
  <c r="R22" i="5"/>
  <c r="Z15" i="5"/>
  <c r="AA17" i="5"/>
  <c r="R28" i="5"/>
  <c r="R13" i="5"/>
  <c r="V13" i="5"/>
  <c r="U13" i="5"/>
  <c r="R20" i="5"/>
  <c r="T20" i="5"/>
  <c r="Y15" i="5"/>
  <c r="AA15" i="5"/>
  <c r="R15" i="5"/>
  <c r="T13" i="5"/>
  <c r="U15" i="5"/>
  <c r="X17" i="5"/>
  <c r="T17" i="5"/>
  <c r="Y17" i="5"/>
  <c r="S28" i="5"/>
  <c r="AS71" i="7"/>
  <c r="AA74" i="7"/>
  <c r="BG71" i="7"/>
  <c r="Y24" i="7"/>
  <c r="E4" i="13"/>
  <c r="U17" i="5"/>
  <c r="AB17" i="5"/>
  <c r="AA73" i="7"/>
  <c r="E7" i="13"/>
  <c r="E6" i="13"/>
  <c r="U21" i="7"/>
</calcChain>
</file>

<file path=xl/sharedStrings.xml><?xml version="1.0" encoding="utf-8"?>
<sst xmlns="http://schemas.openxmlformats.org/spreadsheetml/2006/main" count="2981" uniqueCount="212">
  <si>
    <t>Class</t>
  </si>
  <si>
    <t>Order</t>
  </si>
  <si>
    <t>Family</t>
  </si>
  <si>
    <t>total #</t>
  </si>
  <si>
    <t>Gastopoda</t>
  </si>
  <si>
    <t>uk</t>
  </si>
  <si>
    <t>Hydra</t>
  </si>
  <si>
    <t>Nemertia</t>
  </si>
  <si>
    <t>Platyhementhies</t>
  </si>
  <si>
    <t>Turbellaria</t>
  </si>
  <si>
    <t>Planariidae</t>
  </si>
  <si>
    <t>Nematoda</t>
  </si>
  <si>
    <t>Arachnidia</t>
  </si>
  <si>
    <t>Acari</t>
  </si>
  <si>
    <t>tick</t>
  </si>
  <si>
    <t>Hydracarina</t>
  </si>
  <si>
    <t>Ostracoda</t>
  </si>
  <si>
    <t>Cladocera</t>
  </si>
  <si>
    <t>Daphniidae</t>
  </si>
  <si>
    <t>Decapoda</t>
  </si>
  <si>
    <t>Isopoda</t>
  </si>
  <si>
    <t>Armadilidiae</t>
  </si>
  <si>
    <t>Amphipoda</t>
  </si>
  <si>
    <t>Copopoda</t>
  </si>
  <si>
    <t>Oligochaeta</t>
  </si>
  <si>
    <t>Insecta</t>
  </si>
  <si>
    <t>Ephemeroptera</t>
  </si>
  <si>
    <t>Odonata</t>
  </si>
  <si>
    <t>Plecoptera</t>
  </si>
  <si>
    <t>Hemiptera</t>
  </si>
  <si>
    <t>UK</t>
  </si>
  <si>
    <t>Girridae</t>
  </si>
  <si>
    <t>Cicadellidae</t>
  </si>
  <si>
    <t>Aphididae</t>
  </si>
  <si>
    <t>Mirridae</t>
  </si>
  <si>
    <t>Corrixidae</t>
  </si>
  <si>
    <t>Coleoptera</t>
  </si>
  <si>
    <t>Uk</t>
  </si>
  <si>
    <t>Dytiscidae</t>
  </si>
  <si>
    <t>Elmidae</t>
  </si>
  <si>
    <t>Staphylinoidea</t>
  </si>
  <si>
    <t>Megaloptera</t>
  </si>
  <si>
    <t>Hymenoptera</t>
  </si>
  <si>
    <t>Formicidae</t>
  </si>
  <si>
    <t>Trichoptera</t>
  </si>
  <si>
    <t>Hydrosycidae</t>
  </si>
  <si>
    <t>Lepedoptera</t>
  </si>
  <si>
    <t>Diptera</t>
  </si>
  <si>
    <t>Chironomidae</t>
  </si>
  <si>
    <t>Simuliidae</t>
  </si>
  <si>
    <t>Thysanoptera</t>
  </si>
  <si>
    <t>Fish</t>
  </si>
  <si>
    <t>Collembola</t>
  </si>
  <si>
    <t>Main</t>
  </si>
  <si>
    <t>n</t>
  </si>
  <si>
    <t>Main channel</t>
  </si>
  <si>
    <t>Date</t>
  </si>
  <si>
    <t>Location</t>
  </si>
  <si>
    <t>Duration(min)</t>
  </si>
  <si>
    <t>subsamples</t>
  </si>
  <si>
    <t># of picked subsamples</t>
  </si>
  <si>
    <t>Count</t>
  </si>
  <si>
    <t>Notes</t>
  </si>
  <si>
    <t>Lower Side Channel</t>
  </si>
  <si>
    <t>Simulidae</t>
  </si>
  <si>
    <t>Platyhelminthes</t>
  </si>
  <si>
    <t>Colembola</t>
  </si>
  <si>
    <t>Corixidae</t>
  </si>
  <si>
    <t>Gastropoda</t>
  </si>
  <si>
    <t>copepodaa</t>
  </si>
  <si>
    <t>Main Channel</t>
  </si>
  <si>
    <t>Top Side Channel</t>
  </si>
  <si>
    <t>Herudinidea</t>
  </si>
  <si>
    <t>Embidina</t>
  </si>
  <si>
    <t>Aracnidia</t>
  </si>
  <si>
    <t>B+M Side Channel</t>
  </si>
  <si>
    <t>Ogliochaeta</t>
  </si>
  <si>
    <t>Hymiptera</t>
  </si>
  <si>
    <t>Armadillidiidae</t>
  </si>
  <si>
    <t>Tick</t>
  </si>
  <si>
    <t>Lower Side Channel /B+M</t>
  </si>
  <si>
    <t>2500 cfs</t>
  </si>
  <si>
    <t>Lower Flood Plain</t>
  </si>
  <si>
    <t>Diplopoda</t>
  </si>
  <si>
    <t>Main Channel above Side Channel</t>
  </si>
  <si>
    <t>Copepoda</t>
  </si>
  <si>
    <t>Upper Flood Plain</t>
  </si>
  <si>
    <t>Middle Flood Plain</t>
  </si>
  <si>
    <t>Side Channel</t>
  </si>
  <si>
    <t>Odanata</t>
  </si>
  <si>
    <t>Middle Side Channel</t>
  </si>
  <si>
    <t>Upper Side Channel</t>
  </si>
  <si>
    <t>B+M/Lower Side Channel</t>
  </si>
  <si>
    <t>B S</t>
  </si>
  <si>
    <t>TS</t>
  </si>
  <si>
    <t>MC</t>
  </si>
  <si>
    <t>BS</t>
  </si>
  <si>
    <t>LFP</t>
  </si>
  <si>
    <t>UFP</t>
  </si>
  <si>
    <t>MFP</t>
  </si>
  <si>
    <t>MS</t>
  </si>
  <si>
    <t>insects</t>
  </si>
  <si>
    <t>Drift Density</t>
  </si>
  <si>
    <t>Temp</t>
  </si>
  <si>
    <t>Tricoptera</t>
  </si>
  <si>
    <t>Microcrustacea</t>
  </si>
  <si>
    <t>Lower Side</t>
  </si>
  <si>
    <t>Average EPTDM for  (4/4,4/14,6/30)</t>
  </si>
  <si>
    <t>Top side channel</t>
  </si>
  <si>
    <t>Average EPTDM densitiesfor T Side ( Consistant with dates for Lower SC)</t>
  </si>
  <si>
    <t>No velocity</t>
  </si>
  <si>
    <t>Bottom side channel</t>
  </si>
  <si>
    <t>Average EPTDM densities for L Side ( consistant with dates for Top Side(4/4,4/14,5/22,6/30))</t>
  </si>
  <si>
    <t>Top Side</t>
  </si>
  <si>
    <t>Avg EPTDM  for ( 5/1,9,13,15 )</t>
  </si>
  <si>
    <t>Upper Floodplain</t>
  </si>
  <si>
    <t>Shannon Diversity Index</t>
  </si>
  <si>
    <t>Lower Floodplain</t>
  </si>
  <si>
    <t>Bottom Side</t>
  </si>
  <si>
    <t>Middle</t>
  </si>
  <si>
    <t>Avg EPTDM Middle Floodplain ( 5/9,5/13)</t>
  </si>
  <si>
    <t>Avg Drift densities for 4/4,4/14,6/30</t>
  </si>
  <si>
    <t>L side</t>
  </si>
  <si>
    <t>T side</t>
  </si>
  <si>
    <t>Avg Side</t>
  </si>
  <si>
    <t>Average</t>
  </si>
  <si>
    <t>Shannon Diversity</t>
  </si>
  <si>
    <t>Avg Drift densities for 5/1,9,13,15</t>
  </si>
  <si>
    <t>Top Flood</t>
  </si>
  <si>
    <t>MiddleFlood</t>
  </si>
  <si>
    <t>Bottom Flood</t>
  </si>
  <si>
    <t>Number</t>
  </si>
  <si>
    <t>L Flood</t>
  </si>
  <si>
    <t>U Flood</t>
  </si>
  <si>
    <t>Avg Flood</t>
  </si>
  <si>
    <t>For 5/9,5/13</t>
  </si>
  <si>
    <t>M Flood</t>
  </si>
  <si>
    <t>Shannon diversity</t>
  </si>
  <si>
    <t>Column1</t>
  </si>
  <si>
    <t>Column2</t>
  </si>
  <si>
    <t>Column3</t>
  </si>
  <si>
    <t>Column4</t>
  </si>
  <si>
    <t>Ni*log10Ni*</t>
  </si>
  <si>
    <t>Bottom</t>
  </si>
  <si>
    <t>Top side</t>
  </si>
  <si>
    <t>Bottom side</t>
  </si>
  <si>
    <t>Sum</t>
  </si>
  <si>
    <t>Nlog10N</t>
  </si>
  <si>
    <t>d=</t>
  </si>
  <si>
    <t>n*Log10n*</t>
  </si>
  <si>
    <t>n*log10n*</t>
  </si>
  <si>
    <t>Middle Side</t>
  </si>
  <si>
    <t>NLog10N</t>
  </si>
  <si>
    <t>Top Floodplin</t>
  </si>
  <si>
    <t>Bottom Floodplain</t>
  </si>
  <si>
    <t>Top Floodplain</t>
  </si>
  <si>
    <t>top floodplain</t>
  </si>
  <si>
    <t>Lower floodplain</t>
  </si>
  <si>
    <t>topfloodplain</t>
  </si>
  <si>
    <t>Bottom floodplain</t>
  </si>
  <si>
    <t>sum</t>
  </si>
  <si>
    <t>count</t>
  </si>
  <si>
    <t>NlogN</t>
  </si>
  <si>
    <t>cont</t>
  </si>
  <si>
    <t>Middle Channel</t>
  </si>
  <si>
    <t>Middleflood</t>
  </si>
  <si>
    <t>Avg</t>
  </si>
  <si>
    <t>total avg density</t>
  </si>
  <si>
    <t>Middle side</t>
  </si>
  <si>
    <t>Upperflood</t>
  </si>
  <si>
    <t>Middle Flood</t>
  </si>
  <si>
    <t>Number of juvenile fish observed</t>
  </si>
  <si>
    <t>Fish Drift Density</t>
  </si>
  <si>
    <t>sub samp ratio</t>
  </si>
  <si>
    <t>drift insects</t>
  </si>
  <si>
    <t>density</t>
  </si>
  <si>
    <t>average</t>
  </si>
  <si>
    <t>Fish Densities</t>
  </si>
  <si>
    <t>subsamp ratio</t>
  </si>
  <si>
    <t>drift density</t>
  </si>
  <si>
    <t>Upper floodplain</t>
  </si>
  <si>
    <t>Middle floodplain</t>
  </si>
  <si>
    <t>x</t>
  </si>
  <si>
    <t>Flow cfs</t>
  </si>
  <si>
    <t>Drift Densities</t>
  </si>
  <si>
    <t>main</t>
  </si>
  <si>
    <t>Upper side</t>
  </si>
  <si>
    <t>Lower side</t>
  </si>
  <si>
    <t>Middle Floodplain</t>
  </si>
  <si>
    <t>avg</t>
  </si>
  <si>
    <t>TEMPERATURE, WATER (9596)</t>
  </si>
  <si>
    <t>Date   /   Time  </t>
  </si>
  <si>
    <t>TEMP W</t>
  </si>
  <si>
    <t>Average Temp 4/4,4/14,6/30</t>
  </si>
  <si>
    <t>DEG F</t>
  </si>
  <si>
    <t>na</t>
  </si>
  <si>
    <t>Average Temp 5/9,5/13</t>
  </si>
  <si>
    <t>Time</t>
  </si>
  <si>
    <t>Temp F</t>
  </si>
  <si>
    <t>comp</t>
  </si>
  <si>
    <t>Floodplain</t>
  </si>
  <si>
    <t>Others</t>
  </si>
  <si>
    <t>Summary</t>
  </si>
  <si>
    <t>Detail</t>
  </si>
  <si>
    <t>Numbers</t>
  </si>
  <si>
    <t>Densities</t>
  </si>
  <si>
    <t>Flow (mean of 2)</t>
  </si>
  <si>
    <t>Volume(cf) sampled</t>
  </si>
  <si>
    <t xml:space="preserve">Volume(cf) sampled </t>
  </si>
  <si>
    <t>Volume sampled</t>
  </si>
  <si>
    <t>Flow</t>
  </si>
  <si>
    <t>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</si>
</sst>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409]General"/>
    <numFmt numFmtId="165" formatCode="[$-409]m/d/yyyy"/>
    <numFmt numFmtId="166" formatCode="[$-409]d\-mmm"/>
    <numFmt numFmtId="167" formatCode="[$-409]#,##0"/>
    <numFmt numFmtId="168" formatCode="[$-409]#,##0.00"/>
    <numFmt numFmtId="169" formatCode="[$$-409]#,##0.00;[Red]&quot;-&quot;[$$-409]#,##0.00"/>
  </numFmts>
  <fonts count="11" x14ac:knownFonts="1">
    <font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u/>
      <sz val="11"/>
      <color rgb="FF0563C1"/>
      <name val="Arial"/>
      <family val="2"/>
    </font>
    <font>
      <b/>
      <i/>
      <u/>
      <sz val="11"/>
      <color rgb="FF000000"/>
      <name val="Arial"/>
      <family val="2"/>
    </font>
    <font>
      <sz val="12"/>
      <color rgb="FF000000"/>
      <name val="Times New Roman"/>
      <family val="1"/>
    </font>
    <font>
      <sz val="10"/>
      <color rgb="FF000000"/>
      <name val="Times New Roman"/>
      <family val="1"/>
    </font>
    <font>
      <i/>
      <sz val="11"/>
      <color rgb="FF000000"/>
      <name val="Arial"/>
      <family val="2"/>
    </font>
    <font>
      <b/>
      <sz val="11"/>
      <color rgb="FF000000"/>
      <name val="Arial"/>
      <family val="2"/>
    </font>
    <font>
      <u/>
      <sz val="11"/>
      <color theme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0E0E0"/>
        <bgColor rgb="FFE0E0E0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164" fontId="3" fillId="0" borderId="0" applyBorder="0" applyProtection="0">
      <alignment horizontal="center"/>
    </xf>
    <xf numFmtId="164" fontId="1" fillId="0" borderId="0" applyFont="0" applyBorder="0" applyProtection="0"/>
    <xf numFmtId="0" fontId="2" fillId="0" borderId="0" applyNumberFormat="0" applyBorder="0" applyProtection="0"/>
    <xf numFmtId="0" fontId="3" fillId="0" borderId="0" applyNumberFormat="0" applyBorder="0" applyProtection="0">
      <alignment horizontal="center"/>
    </xf>
    <xf numFmtId="0" fontId="3" fillId="0" borderId="0" applyNumberFormat="0" applyBorder="0" applyProtection="0">
      <alignment horizontal="center" textRotation="90"/>
    </xf>
    <xf numFmtId="164" fontId="3" fillId="0" borderId="0" applyBorder="0" applyProtection="0">
      <alignment horizontal="center" textRotation="90"/>
    </xf>
    <xf numFmtId="0" fontId="4" fillId="0" borderId="0" applyNumberFormat="0" applyFill="0" applyBorder="0" applyAlignment="0" applyProtection="0"/>
    <xf numFmtId="0" fontId="5" fillId="0" borderId="0" applyNumberFormat="0" applyBorder="0" applyProtection="0"/>
    <xf numFmtId="164" fontId="5" fillId="0" borderId="0" applyBorder="0" applyProtection="0"/>
    <xf numFmtId="169" fontId="5" fillId="0" borderId="0" applyBorder="0" applyProtection="0"/>
    <xf numFmtId="169" fontId="5" fillId="0" borderId="0" applyBorder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3" applyFont="1" applyFill="1" applyAlignment="1"/>
    <xf numFmtId="164" fontId="0" fillId="0" borderId="0" xfId="2" applyFont="1" applyFill="1" applyAlignment="1"/>
    <xf numFmtId="165" fontId="0" fillId="0" borderId="0" xfId="2" applyNumberFormat="1" applyFont="1" applyFill="1" applyAlignment="1"/>
    <xf numFmtId="167" fontId="0" fillId="0" borderId="0" xfId="2" applyNumberFormat="1" applyFont="1" applyFill="1" applyAlignment="1"/>
    <xf numFmtId="166" fontId="0" fillId="0" borderId="0" xfId="2" applyNumberFormat="1" applyFont="1" applyFill="1" applyAlignment="1"/>
    <xf numFmtId="168" fontId="0" fillId="0" borderId="0" xfId="2" applyNumberFormat="1" applyFont="1" applyFill="1" applyAlignment="1"/>
    <xf numFmtId="164" fontId="0" fillId="2" borderId="0" xfId="2" applyFont="1" applyFill="1" applyAlignment="1"/>
    <xf numFmtId="164" fontId="0" fillId="3" borderId="0" xfId="2" applyFont="1" applyFill="1" applyAlignment="1"/>
    <xf numFmtId="164" fontId="0" fillId="0" borderId="0" xfId="0" applyNumberFormat="1"/>
    <xf numFmtId="2" fontId="0" fillId="2" borderId="0" xfId="2" applyNumberFormat="1" applyFont="1" applyFill="1" applyAlignment="1"/>
    <xf numFmtId="2" fontId="0" fillId="0" borderId="0" xfId="2" applyNumberFormat="1" applyFont="1" applyFill="1" applyAlignment="1"/>
    <xf numFmtId="14" fontId="6" fillId="0" borderId="0" xfId="0" applyNumberFormat="1" applyFont="1" applyAlignment="1">
      <alignment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 wrapText="1"/>
    </xf>
    <xf numFmtId="0" fontId="7" fillId="0" borderId="0" xfId="0" applyFont="1" applyAlignment="1">
      <alignment vertical="center" wrapText="1"/>
    </xf>
    <xf numFmtId="0" fontId="4" fillId="0" borderId="0" xfId="7" applyFont="1" applyAlignment="1">
      <alignment horizontal="left" vertical="center" indent="1"/>
    </xf>
    <xf numFmtId="0" fontId="8" fillId="4" borderId="0" xfId="0" applyFont="1" applyFill="1" applyAlignment="1">
      <alignment horizontal="right" vertical="center" wrapText="1"/>
    </xf>
    <xf numFmtId="0" fontId="9" fillId="4" borderId="0" xfId="0" applyFont="1" applyFill="1" applyAlignment="1">
      <alignment horizontal="right" vertical="center" wrapText="1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0" fontId="4" fillId="0" borderId="0" xfId="7" applyFont="1" applyAlignment="1">
      <alignment vertical="center" wrapText="1"/>
    </xf>
    <xf numFmtId="14" fontId="0" fillId="0" borderId="0" xfId="0" applyNumberFormat="1"/>
    <xf numFmtId="2" fontId="0" fillId="0" borderId="0" xfId="0" applyNumberFormat="1"/>
    <xf numFmtId="16" fontId="0" fillId="0" borderId="0" xfId="0" applyNumberFormat="1"/>
    <xf numFmtId="164" fontId="9" fillId="0" borderId="0" xfId="2" applyFont="1" applyFill="1" applyAlignment="1"/>
    <xf numFmtId="0" fontId="9" fillId="0" borderId="0" xfId="0" applyFont="1"/>
    <xf numFmtId="0" fontId="0" fillId="4" borderId="0" xfId="0" applyFill="1" applyAlignment="1">
      <alignment horizontal="left" vertical="center" wrapText="1"/>
    </xf>
    <xf numFmtId="0" fontId="0" fillId="4" borderId="0" xfId="0" applyFill="1"/>
  </cellXfs>
  <cellStyles count="17">
    <cellStyle name="Excel Built-in Normal" xfId="2" xr:uid="{00000000-0005-0000-0000-000000000000}"/>
    <cellStyle name="Excel Built-in Normal 1" xfId="3" xr:uid="{00000000-0005-0000-0000-000001000000}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Heading" xfId="4" xr:uid="{00000000-0005-0000-0000-000007000000}"/>
    <cellStyle name="Heading 1" xfId="1" builtinId="16" customBuiltin="1"/>
    <cellStyle name="Heading1" xfId="5" xr:uid="{00000000-0005-0000-0000-000009000000}"/>
    <cellStyle name="Heading1 1" xfId="6" xr:uid="{00000000-0005-0000-0000-00000A000000}"/>
    <cellStyle name="Hyperlink" xfId="7" xr:uid="{00000000-0005-0000-0000-00000B000000}"/>
    <cellStyle name="Normal" xfId="0" builtinId="0" customBuiltin="1"/>
    <cellStyle name="Result" xfId="8" xr:uid="{00000000-0005-0000-0000-00000D000000}"/>
    <cellStyle name="Result 1" xfId="9" xr:uid="{00000000-0005-0000-0000-00000E000000}"/>
    <cellStyle name="Result2" xfId="10" xr:uid="{00000000-0005-0000-0000-00000F000000}"/>
    <cellStyle name="Result2 1" xfId="11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Honolulu Bar Drift Composition</a:t>
            </a:r>
          </a:p>
        </c:rich>
      </c:tx>
      <c:layout>
        <c:manualLayout>
          <c:xMode val="edge"/>
          <c:yMode val="edge"/>
          <c:x val="0.18030575250844699"/>
          <c:y val="2.4828194185650501E-3"/>
        </c:manualLayout>
      </c:layout>
      <c:overlay val="0"/>
      <c:spPr>
        <a:noFill/>
        <a:ln>
          <a:noFill/>
        </a:ln>
      </c:spPr>
    </c:title>
    <c:autoTitleDeleted val="0"/>
    <c:view3D>
      <c:rotX val="29"/>
      <c:rotY val="360"/>
      <c:rAngAx val="0"/>
    </c:view3D>
    <c:floor>
      <c:thickness val="0"/>
      <c:spPr>
        <a:noFill/>
        <a:ln>
          <a:noFill/>
        </a:ln>
      </c:spPr>
    </c:floor>
    <c:sideWall>
      <c:thickness val="0"/>
      <c:spPr>
        <a:noFill/>
        <a:ln>
          <a:noFill/>
        </a:ln>
      </c:spPr>
    </c:sideWall>
    <c:backWall>
      <c:thickness val="0"/>
      <c:spPr>
        <a:noFill/>
        <a:ln>
          <a:noFill/>
        </a:ln>
      </c:spPr>
    </c:backWall>
    <c:plotArea>
      <c:layout>
        <c:manualLayout>
          <c:xMode val="edge"/>
          <c:yMode val="edge"/>
          <c:x val="0"/>
          <c:y val="4.0275370158882801E-2"/>
          <c:w val="1"/>
          <c:h val="0.31613023181262601"/>
        </c:manualLayout>
      </c:layout>
      <c:pie3DChart>
        <c:varyColors val="1"/>
        <c:ser>
          <c:idx val="0"/>
          <c:order val="0"/>
          <c:explosion val="6"/>
          <c:dPt>
            <c:idx val="0"/>
            <c:bubble3D val="0"/>
            <c:spPr>
              <a:solidFill>
                <a:srgbClr val="5B9BD5"/>
              </a:solidFill>
              <a:ln w="25402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229-564E-9C6E-E05A717D7062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  <a:ln w="25402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229-564E-9C6E-E05A717D7062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  <a:ln w="25402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229-564E-9C6E-E05A717D7062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25402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229-564E-9C6E-E05A717D7062}"/>
              </c:ext>
            </c:extLst>
          </c:dPt>
          <c:dPt>
            <c:idx val="4"/>
            <c:bubble3D val="0"/>
            <c:spPr>
              <a:solidFill>
                <a:srgbClr val="4472C4"/>
              </a:solidFill>
              <a:ln w="25402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229-564E-9C6E-E05A717D7062}"/>
              </c:ext>
            </c:extLst>
          </c:dPt>
          <c:dPt>
            <c:idx val="5"/>
            <c:bubble3D val="0"/>
            <c:spPr>
              <a:solidFill>
                <a:srgbClr val="70AD47"/>
              </a:solidFill>
              <a:ln w="25402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229-564E-9C6E-E05A717D7062}"/>
              </c:ext>
            </c:extLst>
          </c:dPt>
          <c:dPt>
            <c:idx val="6"/>
            <c:bubble3D val="0"/>
            <c:spPr>
              <a:solidFill>
                <a:srgbClr val="255E91"/>
              </a:solidFill>
              <a:ln w="25402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9229-564E-9C6E-E05A717D7062}"/>
              </c:ext>
            </c:extLst>
          </c:dPt>
          <c:dPt>
            <c:idx val="7"/>
            <c:bubble3D val="0"/>
            <c:explosion val="14"/>
            <c:spPr>
              <a:solidFill>
                <a:srgbClr val="9E480E"/>
              </a:solidFill>
              <a:ln w="25402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9229-564E-9C6E-E05A717D7062}"/>
              </c:ext>
            </c:extLst>
          </c:dPt>
          <c:dPt>
            <c:idx val="8"/>
            <c:bubble3D val="0"/>
            <c:spPr>
              <a:solidFill>
                <a:srgbClr val="636363"/>
              </a:solidFill>
              <a:ln w="25402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9229-564E-9C6E-E05A717D7062}"/>
              </c:ext>
            </c:extLst>
          </c:dPt>
          <c:dPt>
            <c:idx val="9"/>
            <c:bubble3D val="0"/>
            <c:explosion val="0"/>
            <c:spPr>
              <a:solidFill>
                <a:srgbClr val="997300"/>
              </a:solidFill>
              <a:ln w="25402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9229-564E-9C6E-E05A717D7062}"/>
              </c:ext>
            </c:extLst>
          </c:dPt>
          <c:dPt>
            <c:idx val="10"/>
            <c:bubble3D val="0"/>
            <c:spPr>
              <a:solidFill>
                <a:srgbClr val="264478"/>
              </a:solidFill>
              <a:ln w="25402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9229-564E-9C6E-E05A717D7062}"/>
              </c:ext>
            </c:extLst>
          </c:dPt>
          <c:dPt>
            <c:idx val="11"/>
            <c:bubble3D val="0"/>
            <c:spPr>
              <a:solidFill>
                <a:srgbClr val="43682B"/>
              </a:solidFill>
              <a:ln w="25402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9229-564E-9C6E-E05A717D7062}"/>
              </c:ext>
            </c:extLst>
          </c:dPt>
          <c:dPt>
            <c:idx val="12"/>
            <c:bubble3D val="0"/>
            <c:explosion val="12"/>
            <c:spPr>
              <a:solidFill>
                <a:srgbClr val="7CAFDD"/>
              </a:solidFill>
              <a:ln w="25402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9229-564E-9C6E-E05A717D7062}"/>
              </c:ext>
            </c:extLst>
          </c:dPt>
          <c:dPt>
            <c:idx val="13"/>
            <c:bubble3D val="0"/>
            <c:explosion val="13"/>
            <c:spPr>
              <a:solidFill>
                <a:srgbClr val="F1975A"/>
              </a:solidFill>
              <a:ln w="25402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9229-564E-9C6E-E05A717D7062}"/>
              </c:ext>
            </c:extLst>
          </c:dPt>
          <c:dPt>
            <c:idx val="14"/>
            <c:bubble3D val="0"/>
            <c:explosion val="16"/>
            <c:spPr>
              <a:solidFill>
                <a:srgbClr val="B7B7B7"/>
              </a:solidFill>
              <a:ln w="25402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9229-564E-9C6E-E05A717D7062}"/>
              </c:ext>
            </c:extLst>
          </c:dPt>
          <c:dPt>
            <c:idx val="15"/>
            <c:bubble3D val="0"/>
            <c:spPr>
              <a:solidFill>
                <a:srgbClr val="FFCD33"/>
              </a:solidFill>
              <a:ln w="25402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9229-564E-9C6E-E05A717D7062}"/>
              </c:ext>
            </c:extLst>
          </c:dPt>
          <c:dPt>
            <c:idx val="16"/>
            <c:bubble3D val="0"/>
            <c:explosion val="13"/>
            <c:spPr>
              <a:solidFill>
                <a:srgbClr val="698ED0"/>
              </a:solidFill>
              <a:ln w="25402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9229-564E-9C6E-E05A717D7062}"/>
              </c:ext>
            </c:extLst>
          </c:dPt>
          <c:dPt>
            <c:idx val="17"/>
            <c:bubble3D val="0"/>
            <c:spPr>
              <a:solidFill>
                <a:srgbClr val="8CC168"/>
              </a:solidFill>
              <a:ln w="25402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9229-564E-9C6E-E05A717D7062}"/>
              </c:ext>
            </c:extLst>
          </c:dPt>
          <c:dPt>
            <c:idx val="18"/>
            <c:bubble3D val="0"/>
            <c:spPr>
              <a:solidFill>
                <a:srgbClr val="327DC2"/>
              </a:solidFill>
              <a:ln w="25402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9229-564E-9C6E-E05A717D7062}"/>
              </c:ext>
            </c:extLst>
          </c:dPt>
          <c:dPt>
            <c:idx val="19"/>
            <c:bubble3D val="0"/>
            <c:explosion val="0"/>
            <c:spPr>
              <a:solidFill>
                <a:srgbClr val="D26012"/>
              </a:solidFill>
              <a:ln w="25402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9229-564E-9C6E-E05A717D7062}"/>
              </c:ext>
            </c:extLst>
          </c:dPt>
          <c:dPt>
            <c:idx val="20"/>
            <c:bubble3D val="0"/>
            <c:explosion val="0"/>
            <c:spPr>
              <a:solidFill>
                <a:srgbClr val="848484"/>
              </a:solidFill>
              <a:ln w="25402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9229-564E-9C6E-E05A717D7062}"/>
              </c:ext>
            </c:extLst>
          </c:dPt>
          <c:dPt>
            <c:idx val="21"/>
            <c:bubble3D val="0"/>
            <c:spPr>
              <a:solidFill>
                <a:srgbClr val="CC9A00"/>
              </a:solidFill>
              <a:ln w="25402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9229-564E-9C6E-E05A717D7062}"/>
              </c:ext>
            </c:extLst>
          </c:dPt>
          <c:dPt>
            <c:idx val="22"/>
            <c:bubble3D val="0"/>
            <c:explosion val="0"/>
            <c:spPr>
              <a:solidFill>
                <a:srgbClr val="335AA1"/>
              </a:solidFill>
              <a:ln w="25402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9229-564E-9C6E-E05A717D7062}"/>
              </c:ext>
            </c:extLst>
          </c:dPt>
          <c:dPt>
            <c:idx val="23"/>
            <c:bubble3D val="0"/>
            <c:explosion val="0"/>
            <c:spPr>
              <a:solidFill>
                <a:srgbClr val="5A8A39"/>
              </a:solidFill>
              <a:ln w="25402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9229-564E-9C6E-E05A717D7062}"/>
              </c:ext>
            </c:extLst>
          </c:dPt>
          <c:dPt>
            <c:idx val="24"/>
            <c:bubble3D val="0"/>
            <c:explosion val="0"/>
            <c:spPr>
              <a:solidFill>
                <a:srgbClr val="9DC3E6"/>
              </a:solidFill>
              <a:ln w="25402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9229-564E-9C6E-E05A717D7062}"/>
              </c:ext>
            </c:extLst>
          </c:dPt>
          <c:dPt>
            <c:idx val="25"/>
            <c:bubble3D val="0"/>
            <c:explosion val="0"/>
            <c:spPr>
              <a:solidFill>
                <a:srgbClr val="F4B183"/>
              </a:solidFill>
              <a:ln w="25402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9229-564E-9C6E-E05A717D7062}"/>
              </c:ext>
            </c:extLst>
          </c:dPt>
          <c:dPt>
            <c:idx val="26"/>
            <c:bubble3D val="0"/>
            <c:spPr>
              <a:solidFill>
                <a:srgbClr val="C9C9C9"/>
              </a:solidFill>
              <a:ln w="25402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9229-564E-9C6E-E05A717D7062}"/>
              </c:ext>
            </c:extLst>
          </c:dPt>
          <c:dPt>
            <c:idx val="27"/>
            <c:bubble3D val="0"/>
            <c:spPr>
              <a:solidFill>
                <a:srgbClr val="FFD966"/>
              </a:solidFill>
              <a:ln w="25402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9229-564E-9C6E-E05A717D7062}"/>
              </c:ext>
            </c:extLst>
          </c:dPt>
          <c:dPt>
            <c:idx val="28"/>
            <c:bubble3D val="0"/>
            <c:spPr>
              <a:solidFill>
                <a:srgbClr val="8FAADC"/>
              </a:solidFill>
              <a:ln w="25402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9229-564E-9C6E-E05A717D7062}"/>
              </c:ext>
            </c:extLst>
          </c:dPt>
          <c:dPt>
            <c:idx val="29"/>
            <c:bubble3D val="0"/>
            <c:spPr>
              <a:solidFill>
                <a:srgbClr val="A9D18E"/>
              </a:solidFill>
              <a:ln w="25402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9229-564E-9C6E-E05A717D7062}"/>
              </c:ext>
            </c:extLst>
          </c:dPt>
          <c:dPt>
            <c:idx val="30"/>
            <c:bubble3D val="0"/>
            <c:spPr>
              <a:solidFill>
                <a:srgbClr val="1F4E79"/>
              </a:solidFill>
              <a:ln w="25402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9229-564E-9C6E-E05A717D7062}"/>
              </c:ext>
            </c:extLst>
          </c:dPt>
          <c:dPt>
            <c:idx val="31"/>
            <c:bubble3D val="0"/>
            <c:explosion val="0"/>
            <c:spPr>
              <a:solidFill>
                <a:srgbClr val="843C0C"/>
              </a:solidFill>
              <a:ln w="25402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9229-564E-9C6E-E05A717D7062}"/>
              </c:ext>
            </c:extLst>
          </c:dPt>
          <c:dPt>
            <c:idx val="32"/>
            <c:bubble3D val="0"/>
            <c:spPr>
              <a:solidFill>
                <a:srgbClr val="525252"/>
              </a:solidFill>
              <a:ln w="25402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9229-564E-9C6E-E05A717D7062}"/>
              </c:ext>
            </c:extLst>
          </c:dPt>
          <c:dPt>
            <c:idx val="33"/>
            <c:bubble3D val="0"/>
            <c:spPr>
              <a:solidFill>
                <a:srgbClr val="7F6000"/>
              </a:solidFill>
              <a:ln w="25402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9229-564E-9C6E-E05A717D7062}"/>
              </c:ext>
            </c:extLst>
          </c:dPt>
          <c:dPt>
            <c:idx val="34"/>
            <c:bubble3D val="0"/>
            <c:spPr>
              <a:solidFill>
                <a:srgbClr val="203864"/>
              </a:solidFill>
              <a:ln w="25402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9229-564E-9C6E-E05A717D7062}"/>
              </c:ext>
            </c:extLst>
          </c:dPt>
          <c:dPt>
            <c:idx val="35"/>
            <c:bubble3D val="0"/>
            <c:spPr>
              <a:solidFill>
                <a:srgbClr val="385723"/>
              </a:solidFill>
              <a:ln w="25402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9229-564E-9C6E-E05A717D7062}"/>
              </c:ext>
            </c:extLst>
          </c:dPt>
          <c:dPt>
            <c:idx val="36"/>
            <c:bubble3D val="0"/>
            <c:explosion val="9"/>
            <c:spPr>
              <a:solidFill>
                <a:srgbClr val="8CB9E2"/>
              </a:solidFill>
              <a:ln w="25402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9229-564E-9C6E-E05A717D7062}"/>
              </c:ext>
            </c:extLst>
          </c:dPt>
          <c:dPt>
            <c:idx val="37"/>
            <c:bubble3D val="0"/>
            <c:spPr>
              <a:solidFill>
                <a:srgbClr val="F2A46F"/>
              </a:solidFill>
              <a:ln w="25402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9229-564E-9C6E-E05A717D7062}"/>
              </c:ext>
            </c:extLst>
          </c:dPt>
          <c:dPt>
            <c:idx val="38"/>
            <c:bubble3D val="0"/>
            <c:spPr>
              <a:solidFill>
                <a:srgbClr val="C0C0C0"/>
              </a:solidFill>
              <a:ln w="25402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9229-564E-9C6E-E05A717D7062}"/>
              </c:ext>
            </c:extLst>
          </c:dPt>
          <c:dPt>
            <c:idx val="39"/>
            <c:bubble3D val="0"/>
            <c:spPr>
              <a:solidFill>
                <a:srgbClr val="FFD34D"/>
              </a:solidFill>
              <a:ln w="25402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9229-564E-9C6E-E05A717D7062}"/>
              </c:ext>
            </c:extLst>
          </c:dPt>
          <c:dPt>
            <c:idx val="40"/>
            <c:bubble3D val="0"/>
            <c:spPr>
              <a:solidFill>
                <a:srgbClr val="7C9CD6"/>
              </a:solidFill>
              <a:ln w="25402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9229-564E-9C6E-E05A717D7062}"/>
              </c:ext>
            </c:extLst>
          </c:dPt>
          <c:dLbls>
            <c:dLbl>
              <c:idx val="7"/>
              <c:layout>
                <c:manualLayout>
                  <c:x val="0.13430247458995501"/>
                  <c:y val="1.9204547921387E-2"/>
                </c:manualLayout>
              </c:layout>
              <c:spPr>
                <a:solidFill>
                  <a:srgbClr val="FFFFFF"/>
                </a:solidFill>
                <a:ln w="9528">
                  <a:solidFill>
                    <a:srgbClr val="BFBFBF"/>
                  </a:solidFill>
                  <a:prstDash val="solid"/>
                </a:ln>
                <a:effectLst/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sz="900" b="0" i="0" u="none" strike="noStrike" kern="1200" baseline="0">
                      <a:solidFill>
                        <a:srgbClr val="595959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F-9229-564E-9C6E-E05A717D7062}"/>
                </c:ext>
              </c:extLst>
            </c:dLbl>
            <c:dLbl>
              <c:idx val="9"/>
              <c:spPr>
                <a:solidFill>
                  <a:srgbClr val="FFFFFF"/>
                </a:solidFill>
                <a:ln w="9528">
                  <a:solidFill>
                    <a:srgbClr val="BFBFBF"/>
                  </a:solidFill>
                  <a:prstDash val="solid"/>
                </a:ln>
                <a:effectLst/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sz="900" b="0" i="0" u="none" strike="noStrike" kern="1200" baseline="0">
                      <a:solidFill>
                        <a:srgbClr val="595959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3-9229-564E-9C6E-E05A717D7062}"/>
                </c:ext>
              </c:extLst>
            </c:dLbl>
            <c:dLbl>
              <c:idx val="10"/>
              <c:layout>
                <c:manualLayout>
                  <c:x val="0.143956582493591"/>
                  <c:y val="-7.2465252497271204E-2"/>
                </c:manualLayout>
              </c:layout>
              <c:spPr>
                <a:solidFill>
                  <a:srgbClr val="FFFFFF"/>
                </a:solidFill>
                <a:ln w="9528">
                  <a:solidFill>
                    <a:srgbClr val="BFBFBF"/>
                  </a:solidFill>
                  <a:prstDash val="solid"/>
                </a:ln>
                <a:effectLst/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sz="900" b="0" i="0" u="none" strike="noStrike" kern="1200" baseline="0">
                      <a:solidFill>
                        <a:srgbClr val="595959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5-9229-564E-9C6E-E05A717D7062}"/>
                </c:ext>
              </c:extLst>
            </c:dLbl>
            <c:dLbl>
              <c:idx val="13"/>
              <c:layout>
                <c:manualLayout>
                  <c:x val="0.172297568523612"/>
                  <c:y val="-6.1888893360616697E-2"/>
                </c:manualLayout>
              </c:layout>
              <c:spPr>
                <a:solidFill>
                  <a:srgbClr val="FFFFFF"/>
                </a:solidFill>
                <a:ln w="9528">
                  <a:solidFill>
                    <a:srgbClr val="BFBFBF"/>
                  </a:solidFill>
                  <a:prstDash val="solid"/>
                </a:ln>
                <a:effectLst/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sz="900" b="0" i="0" u="none" strike="noStrike" kern="1200" baseline="0">
                      <a:solidFill>
                        <a:srgbClr val="595959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B-9229-564E-9C6E-E05A717D7062}"/>
                </c:ext>
              </c:extLst>
            </c:dLbl>
            <c:dLbl>
              <c:idx val="14"/>
              <c:layout>
                <c:manualLayout>
                  <c:x val="-0.170612919499986"/>
                  <c:y val="-0.15261337981607301"/>
                </c:manualLayout>
              </c:layout>
              <c:spPr>
                <a:solidFill>
                  <a:srgbClr val="FFFFFF"/>
                </a:solidFill>
                <a:ln w="9528">
                  <a:solidFill>
                    <a:srgbClr val="BFBFBF"/>
                  </a:solidFill>
                  <a:prstDash val="solid"/>
                </a:ln>
                <a:effectLst/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sz="900" b="0" i="0" u="none" strike="noStrike" kern="1200" baseline="0">
                      <a:solidFill>
                        <a:srgbClr val="595959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D-9229-564E-9C6E-E05A717D7062}"/>
                </c:ext>
              </c:extLst>
            </c:dLbl>
            <c:dLbl>
              <c:idx val="16"/>
              <c:layout>
                <c:manualLayout>
                  <c:x val="-0.24849722029694701"/>
                  <c:y val="-6.9418246914290105E-2"/>
                </c:manualLayout>
              </c:layout>
              <c:spPr>
                <a:solidFill>
                  <a:srgbClr val="FFFFFF"/>
                </a:solidFill>
                <a:ln w="9528">
                  <a:solidFill>
                    <a:srgbClr val="BFBFBF"/>
                  </a:solidFill>
                  <a:prstDash val="solid"/>
                </a:ln>
                <a:effectLst/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sz="900" b="0" i="0" u="none" strike="noStrike" kern="1200" baseline="0">
                      <a:solidFill>
                        <a:srgbClr val="595959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1-9229-564E-9C6E-E05A717D7062}"/>
                </c:ext>
              </c:extLst>
            </c:dLbl>
            <c:dLbl>
              <c:idx val="36"/>
              <c:spPr>
                <a:solidFill>
                  <a:srgbClr val="FFFFFF"/>
                </a:solidFill>
                <a:ln w="9528">
                  <a:solidFill>
                    <a:srgbClr val="BFBFBF"/>
                  </a:solidFill>
                  <a:prstDash val="solid"/>
                </a:ln>
                <a:effectLst/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sz="900" b="0" i="0" u="none" strike="noStrike" kern="1200" baseline="0">
                      <a:solidFill>
                        <a:srgbClr val="595959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9-9229-564E-9C6E-E05A717D70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'_Taxa_#_and_total_Composition'!$H$6:$H$46</c:f>
              <c:strCache>
                <c:ptCount val="41"/>
                <c:pt idx="0">
                  <c:v>Gastopoda</c:v>
                </c:pt>
                <c:pt idx="1">
                  <c:v>Hydra</c:v>
                </c:pt>
                <c:pt idx="2">
                  <c:v>Nemertia</c:v>
                </c:pt>
                <c:pt idx="3">
                  <c:v>Platyhementhies</c:v>
                </c:pt>
                <c:pt idx="4">
                  <c:v>Nematoda</c:v>
                </c:pt>
                <c:pt idx="5">
                  <c:v>Arachnidia</c:v>
                </c:pt>
                <c:pt idx="6">
                  <c:v>tick</c:v>
                </c:pt>
                <c:pt idx="7">
                  <c:v>Hydracarina</c:v>
                </c:pt>
                <c:pt idx="8">
                  <c:v>Ostracoda</c:v>
                </c:pt>
                <c:pt idx="9">
                  <c:v>Cladocera</c:v>
                </c:pt>
                <c:pt idx="10">
                  <c:v>Decapoda</c:v>
                </c:pt>
                <c:pt idx="11">
                  <c:v>Isopoda</c:v>
                </c:pt>
                <c:pt idx="12">
                  <c:v>Amphipoda</c:v>
                </c:pt>
                <c:pt idx="13">
                  <c:v>Copopoda</c:v>
                </c:pt>
                <c:pt idx="14">
                  <c:v>Oligochaeta</c:v>
                </c:pt>
                <c:pt idx="15">
                  <c:v>Insecta</c:v>
                </c:pt>
                <c:pt idx="16">
                  <c:v>Ephemeroptera</c:v>
                </c:pt>
                <c:pt idx="17">
                  <c:v>Odonata</c:v>
                </c:pt>
                <c:pt idx="18">
                  <c:v>Plecoptera</c:v>
                </c:pt>
                <c:pt idx="19">
                  <c:v>Hemiptera</c:v>
                </c:pt>
                <c:pt idx="20">
                  <c:v>Girridae</c:v>
                </c:pt>
                <c:pt idx="21">
                  <c:v>Cicadellidae</c:v>
                </c:pt>
                <c:pt idx="22">
                  <c:v>Aphididae</c:v>
                </c:pt>
                <c:pt idx="23">
                  <c:v>Mirridae</c:v>
                </c:pt>
                <c:pt idx="24">
                  <c:v>Corrixidae</c:v>
                </c:pt>
                <c:pt idx="25">
                  <c:v>Coleoptera</c:v>
                </c:pt>
                <c:pt idx="26">
                  <c:v>Dytiscidae</c:v>
                </c:pt>
                <c:pt idx="27">
                  <c:v>Elmidae</c:v>
                </c:pt>
                <c:pt idx="28">
                  <c:v>Staphylinoidea</c:v>
                </c:pt>
                <c:pt idx="29">
                  <c:v>Megaloptera</c:v>
                </c:pt>
                <c:pt idx="30">
                  <c:v>Hymenoptera</c:v>
                </c:pt>
                <c:pt idx="31">
                  <c:v>Formicidae</c:v>
                </c:pt>
                <c:pt idx="32">
                  <c:v>Trichoptera</c:v>
                </c:pt>
                <c:pt idx="33">
                  <c:v>Hydrosycidae</c:v>
                </c:pt>
                <c:pt idx="34">
                  <c:v>Lepedoptera</c:v>
                </c:pt>
                <c:pt idx="35">
                  <c:v>Diptera</c:v>
                </c:pt>
                <c:pt idx="36">
                  <c:v>Chironomidae</c:v>
                </c:pt>
                <c:pt idx="37">
                  <c:v>Simuliidae</c:v>
                </c:pt>
                <c:pt idx="38">
                  <c:v>Thysanoptera</c:v>
                </c:pt>
                <c:pt idx="39">
                  <c:v>Fish</c:v>
                </c:pt>
                <c:pt idx="40">
                  <c:v>Collembola</c:v>
                </c:pt>
              </c:strCache>
            </c:strRef>
          </c:cat>
          <c:val>
            <c:numRef>
              <c:f>'_Taxa_#_and_total_Composition'!$I$6:$I$46</c:f>
              <c:numCache>
                <c:formatCode>General</c:formatCode>
                <c:ptCount val="41"/>
                <c:pt idx="0">
                  <c:v>2.3379659696064425E-3</c:v>
                </c:pt>
                <c:pt idx="1">
                  <c:v>1.9483049746720352E-3</c:v>
                </c:pt>
                <c:pt idx="2">
                  <c:v>3.8966099493440705E-3</c:v>
                </c:pt>
                <c:pt idx="3">
                  <c:v>1.0390959864917521E-3</c:v>
                </c:pt>
                <c:pt idx="4">
                  <c:v>6.4943499155734508E-4</c:v>
                </c:pt>
                <c:pt idx="5">
                  <c:v>1.5586439797376282E-3</c:v>
                </c:pt>
                <c:pt idx="6">
                  <c:v>2.5977399662293802E-4</c:v>
                </c:pt>
                <c:pt idx="7">
                  <c:v>9.3128977789323289E-2</c:v>
                </c:pt>
                <c:pt idx="8">
                  <c:v>2.8575139628523186E-3</c:v>
                </c:pt>
                <c:pt idx="9">
                  <c:v>0.19625925444862968</c:v>
                </c:pt>
                <c:pt idx="10">
                  <c:v>9.1570333809585666E-2</c:v>
                </c:pt>
                <c:pt idx="11">
                  <c:v>1.2988699831146901E-4</c:v>
                </c:pt>
                <c:pt idx="12">
                  <c:v>1.8443953760228601E-2</c:v>
                </c:pt>
                <c:pt idx="13">
                  <c:v>4.883751136511235E-2</c:v>
                </c:pt>
                <c:pt idx="14">
                  <c:v>2.4938303675802052E-2</c:v>
                </c:pt>
                <c:pt idx="15">
                  <c:v>2.5977399662293802E-4</c:v>
                </c:pt>
                <c:pt idx="16">
                  <c:v>7.4295363034160275E-2</c:v>
                </c:pt>
                <c:pt idx="17">
                  <c:v>2.5977399662293802E-4</c:v>
                </c:pt>
                <c:pt idx="18">
                  <c:v>3.5069489544096635E-3</c:v>
                </c:pt>
                <c:pt idx="19">
                  <c:v>9.3518638784257698E-3</c:v>
                </c:pt>
                <c:pt idx="20">
                  <c:v>3.8966099493440706E-4</c:v>
                </c:pt>
                <c:pt idx="21">
                  <c:v>1.1689829848032212E-3</c:v>
                </c:pt>
                <c:pt idx="22">
                  <c:v>7.7932198986881409E-3</c:v>
                </c:pt>
                <c:pt idx="23">
                  <c:v>1.2988699831146901E-4</c:v>
                </c:pt>
                <c:pt idx="24">
                  <c:v>2.5977399662293803E-3</c:v>
                </c:pt>
                <c:pt idx="25">
                  <c:v>2.8575139628523186E-3</c:v>
                </c:pt>
                <c:pt idx="26">
                  <c:v>2.5977399662293802E-4</c:v>
                </c:pt>
                <c:pt idx="27">
                  <c:v>6.4943499155734508E-4</c:v>
                </c:pt>
                <c:pt idx="28">
                  <c:v>1.0390959864917521E-3</c:v>
                </c:pt>
                <c:pt idx="29">
                  <c:v>2.5977399662293802E-4</c:v>
                </c:pt>
                <c:pt idx="30">
                  <c:v>1.2988699831146901E-4</c:v>
                </c:pt>
                <c:pt idx="31">
                  <c:v>7.9231068969996109E-3</c:v>
                </c:pt>
                <c:pt idx="32">
                  <c:v>1.610598779062216E-2</c:v>
                </c:pt>
                <c:pt idx="33">
                  <c:v>2.5977399662293802E-4</c:v>
                </c:pt>
                <c:pt idx="34">
                  <c:v>2.5977399662293802E-4</c:v>
                </c:pt>
                <c:pt idx="35">
                  <c:v>3.8576438498506296E-2</c:v>
                </c:pt>
                <c:pt idx="36">
                  <c:v>0.30055851409273932</c:v>
                </c:pt>
                <c:pt idx="37">
                  <c:v>6.7541239121963895E-3</c:v>
                </c:pt>
                <c:pt idx="38">
                  <c:v>1.4677230809196E-2</c:v>
                </c:pt>
                <c:pt idx="39">
                  <c:v>1.9093388751785945E-2</c:v>
                </c:pt>
                <c:pt idx="40">
                  <c:v>2.9874009611637873E-3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9229-564E-9C6E-E05A717D7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2.7710159027283E-2"/>
          <c:y val="0.40893794362661201"/>
          <c:w val="0.93983407210738101"/>
          <c:h val="0.4565693027502000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9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Temp over sampling period</a:t>
            </a:r>
            <a:b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</a:br>
            <a:endParaRPr lang="en-US" sz="1400" b="0" i="0" u="none" strike="noStrike" kern="1200" cap="none" spc="0" baseline="0">
              <a:solidFill>
                <a:srgbClr val="595959"/>
              </a:solidFill>
              <a:uFillTx/>
              <a:latin typeface="Calibri"/>
            </a:endParaRP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none"/>
          </c:marker>
          <c:cat>
            <c:numRef>
              <c:f>'Temperature (OBB)'!$A$4:$A$98</c:f>
              <c:numCache>
                <c:formatCode>m/d/yy</c:formatCode>
                <c:ptCount val="95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  <c:pt idx="31">
                  <c:v>41761</c:v>
                </c:pt>
                <c:pt idx="32">
                  <c:v>41762</c:v>
                </c:pt>
                <c:pt idx="33">
                  <c:v>41763</c:v>
                </c:pt>
                <c:pt idx="34">
                  <c:v>41764</c:v>
                </c:pt>
                <c:pt idx="35">
                  <c:v>41765</c:v>
                </c:pt>
                <c:pt idx="36">
                  <c:v>41766</c:v>
                </c:pt>
                <c:pt idx="37">
                  <c:v>41767</c:v>
                </c:pt>
                <c:pt idx="38">
                  <c:v>41768</c:v>
                </c:pt>
                <c:pt idx="39">
                  <c:v>41769</c:v>
                </c:pt>
                <c:pt idx="40">
                  <c:v>41770</c:v>
                </c:pt>
                <c:pt idx="41">
                  <c:v>41771</c:v>
                </c:pt>
                <c:pt idx="42">
                  <c:v>41772</c:v>
                </c:pt>
                <c:pt idx="43">
                  <c:v>41773</c:v>
                </c:pt>
                <c:pt idx="44">
                  <c:v>41774</c:v>
                </c:pt>
                <c:pt idx="45">
                  <c:v>41775</c:v>
                </c:pt>
                <c:pt idx="46">
                  <c:v>41776</c:v>
                </c:pt>
                <c:pt idx="47">
                  <c:v>41777</c:v>
                </c:pt>
                <c:pt idx="48">
                  <c:v>41778</c:v>
                </c:pt>
                <c:pt idx="49">
                  <c:v>41779</c:v>
                </c:pt>
                <c:pt idx="50">
                  <c:v>41780</c:v>
                </c:pt>
                <c:pt idx="51">
                  <c:v>41781</c:v>
                </c:pt>
                <c:pt idx="52">
                  <c:v>41782</c:v>
                </c:pt>
                <c:pt idx="53">
                  <c:v>41783</c:v>
                </c:pt>
                <c:pt idx="54">
                  <c:v>41784</c:v>
                </c:pt>
                <c:pt idx="55">
                  <c:v>41785</c:v>
                </c:pt>
                <c:pt idx="56">
                  <c:v>41786</c:v>
                </c:pt>
                <c:pt idx="57">
                  <c:v>41787</c:v>
                </c:pt>
                <c:pt idx="58">
                  <c:v>41788</c:v>
                </c:pt>
                <c:pt idx="59">
                  <c:v>41789</c:v>
                </c:pt>
                <c:pt idx="60">
                  <c:v>41790</c:v>
                </c:pt>
                <c:pt idx="61">
                  <c:v>41791</c:v>
                </c:pt>
                <c:pt idx="62">
                  <c:v>41792</c:v>
                </c:pt>
                <c:pt idx="63">
                  <c:v>41793</c:v>
                </c:pt>
                <c:pt idx="64">
                  <c:v>41794</c:v>
                </c:pt>
                <c:pt idx="65">
                  <c:v>41795</c:v>
                </c:pt>
                <c:pt idx="66">
                  <c:v>41796</c:v>
                </c:pt>
                <c:pt idx="67">
                  <c:v>41797</c:v>
                </c:pt>
                <c:pt idx="68">
                  <c:v>41798</c:v>
                </c:pt>
                <c:pt idx="69">
                  <c:v>41799</c:v>
                </c:pt>
                <c:pt idx="70">
                  <c:v>41800</c:v>
                </c:pt>
                <c:pt idx="71">
                  <c:v>41801</c:v>
                </c:pt>
                <c:pt idx="72">
                  <c:v>41802</c:v>
                </c:pt>
                <c:pt idx="73">
                  <c:v>41803</c:v>
                </c:pt>
                <c:pt idx="74">
                  <c:v>41804</c:v>
                </c:pt>
                <c:pt idx="75">
                  <c:v>41805</c:v>
                </c:pt>
                <c:pt idx="76">
                  <c:v>41806</c:v>
                </c:pt>
                <c:pt idx="77">
                  <c:v>41807</c:v>
                </c:pt>
                <c:pt idx="78">
                  <c:v>41808</c:v>
                </c:pt>
                <c:pt idx="79">
                  <c:v>41809</c:v>
                </c:pt>
                <c:pt idx="80">
                  <c:v>41810</c:v>
                </c:pt>
                <c:pt idx="81">
                  <c:v>41811</c:v>
                </c:pt>
                <c:pt idx="82">
                  <c:v>41812</c:v>
                </c:pt>
                <c:pt idx="83">
                  <c:v>41813</c:v>
                </c:pt>
                <c:pt idx="84">
                  <c:v>41814</c:v>
                </c:pt>
                <c:pt idx="85">
                  <c:v>41815</c:v>
                </c:pt>
                <c:pt idx="86">
                  <c:v>41816</c:v>
                </c:pt>
                <c:pt idx="87">
                  <c:v>41817</c:v>
                </c:pt>
                <c:pt idx="88">
                  <c:v>41818</c:v>
                </c:pt>
                <c:pt idx="89">
                  <c:v>41819</c:v>
                </c:pt>
                <c:pt idx="90">
                  <c:v>41820</c:v>
                </c:pt>
                <c:pt idx="91">
                  <c:v>41821</c:v>
                </c:pt>
                <c:pt idx="92">
                  <c:v>41822</c:v>
                </c:pt>
                <c:pt idx="93">
                  <c:v>41823</c:v>
                </c:pt>
                <c:pt idx="94">
                  <c:v>41824</c:v>
                </c:pt>
              </c:numCache>
            </c:numRef>
          </c:cat>
          <c:val>
            <c:numRef>
              <c:f>'Temperature (OBB)'!$B$4:$B$98</c:f>
              <c:numCache>
                <c:formatCode>General</c:formatCode>
                <c:ptCount val="95"/>
                <c:pt idx="0">
                  <c:v>54.2</c:v>
                </c:pt>
                <c:pt idx="1">
                  <c:v>54.8</c:v>
                </c:pt>
                <c:pt idx="2">
                  <c:v>55.5</c:v>
                </c:pt>
                <c:pt idx="3">
                  <c:v>55.7</c:v>
                </c:pt>
                <c:pt idx="4">
                  <c:v>56.1</c:v>
                </c:pt>
                <c:pt idx="5">
                  <c:v>57.4</c:v>
                </c:pt>
                <c:pt idx="6">
                  <c:v>58.9</c:v>
                </c:pt>
                <c:pt idx="7">
                  <c:v>59.2</c:v>
                </c:pt>
                <c:pt idx="8">
                  <c:v>57.6</c:v>
                </c:pt>
                <c:pt idx="9">
                  <c:v>56.8</c:v>
                </c:pt>
                <c:pt idx="10">
                  <c:v>56.3</c:v>
                </c:pt>
                <c:pt idx="11">
                  <c:v>56.5</c:v>
                </c:pt>
                <c:pt idx="12">
                  <c:v>56.2</c:v>
                </c:pt>
                <c:pt idx="13">
                  <c:v>55.8</c:v>
                </c:pt>
                <c:pt idx="14">
                  <c:v>56.9</c:v>
                </c:pt>
                <c:pt idx="15">
                  <c:v>56.8</c:v>
                </c:pt>
                <c:pt idx="16">
                  <c:v>56.1</c:v>
                </c:pt>
                <c:pt idx="17">
                  <c:v>56</c:v>
                </c:pt>
                <c:pt idx="18">
                  <c:v>55.7</c:v>
                </c:pt>
                <c:pt idx="19">
                  <c:v>55.6</c:v>
                </c:pt>
                <c:pt idx="20">
                  <c:v>55.3</c:v>
                </c:pt>
                <c:pt idx="21">
                  <c:v>54.8</c:v>
                </c:pt>
                <c:pt idx="22">
                  <c:v>54.6</c:v>
                </c:pt>
                <c:pt idx="23">
                  <c:v>55.2</c:v>
                </c:pt>
                <c:pt idx="24">
                  <c:v>54.4</c:v>
                </c:pt>
                <c:pt idx="25">
                  <c:v>54.3</c:v>
                </c:pt>
                <c:pt idx="26">
                  <c:v>54.3</c:v>
                </c:pt>
                <c:pt idx="27">
                  <c:v>54.6</c:v>
                </c:pt>
                <c:pt idx="28">
                  <c:v>54.9</c:v>
                </c:pt>
                <c:pt idx="29">
                  <c:v>55.4</c:v>
                </c:pt>
                <c:pt idx="30">
                  <c:v>55.2</c:v>
                </c:pt>
                <c:pt idx="31">
                  <c:v>54.9</c:v>
                </c:pt>
                <c:pt idx="32">
                  <c:v>54.8</c:v>
                </c:pt>
                <c:pt idx="33">
                  <c:v>54.8</c:v>
                </c:pt>
                <c:pt idx="34">
                  <c:v>54.6</c:v>
                </c:pt>
                <c:pt idx="35">
                  <c:v>54.3</c:v>
                </c:pt>
                <c:pt idx="36">
                  <c:v>54.5</c:v>
                </c:pt>
                <c:pt idx="37">
                  <c:v>54.5</c:v>
                </c:pt>
                <c:pt idx="38">
                  <c:v>55</c:v>
                </c:pt>
                <c:pt idx="39">
                  <c:v>54.7</c:v>
                </c:pt>
                <c:pt idx="40">
                  <c:v>55.1</c:v>
                </c:pt>
                <c:pt idx="41">
                  <c:v>55.6</c:v>
                </c:pt>
                <c:pt idx="42">
                  <c:v>55.9</c:v>
                </c:pt>
                <c:pt idx="43">
                  <c:v>56</c:v>
                </c:pt>
                <c:pt idx="44">
                  <c:v>55.9</c:v>
                </c:pt>
                <c:pt idx="45">
                  <c:v>56</c:v>
                </c:pt>
                <c:pt idx="46">
                  <c:v>56.6</c:v>
                </c:pt>
                <c:pt idx="47">
                  <c:v>57.2</c:v>
                </c:pt>
                <c:pt idx="48">
                  <c:v>56.8</c:v>
                </c:pt>
                <c:pt idx="49">
                  <c:v>56.2</c:v>
                </c:pt>
                <c:pt idx="50">
                  <c:v>57</c:v>
                </c:pt>
                <c:pt idx="51">
                  <c:v>58.2</c:v>
                </c:pt>
                <c:pt idx="52">
                  <c:v>58.9</c:v>
                </c:pt>
                <c:pt idx="53">
                  <c:v>59.3</c:v>
                </c:pt>
                <c:pt idx="54">
                  <c:v>60</c:v>
                </c:pt>
                <c:pt idx="55">
                  <c:v>60.7</c:v>
                </c:pt>
                <c:pt idx="56">
                  <c:v>60.2</c:v>
                </c:pt>
                <c:pt idx="57">
                  <c:v>59.4</c:v>
                </c:pt>
                <c:pt idx="58">
                  <c:v>59</c:v>
                </c:pt>
                <c:pt idx="59">
                  <c:v>59.7</c:v>
                </c:pt>
                <c:pt idx="60">
                  <c:v>60.5</c:v>
                </c:pt>
                <c:pt idx="61">
                  <c:v>61</c:v>
                </c:pt>
                <c:pt idx="62">
                  <c:v>61.4</c:v>
                </c:pt>
                <c:pt idx="63">
                  <c:v>61.5</c:v>
                </c:pt>
                <c:pt idx="64">
                  <c:v>62</c:v>
                </c:pt>
                <c:pt idx="65">
                  <c:v>63.2</c:v>
                </c:pt>
                <c:pt idx="66">
                  <c:v>63.2</c:v>
                </c:pt>
                <c:pt idx="67">
                  <c:v>63.5</c:v>
                </c:pt>
                <c:pt idx="68">
                  <c:v>64.099999999999994</c:v>
                </c:pt>
                <c:pt idx="69">
                  <c:v>64.5</c:v>
                </c:pt>
                <c:pt idx="70">
                  <c:v>63.8</c:v>
                </c:pt>
                <c:pt idx="71">
                  <c:v>63.5</c:v>
                </c:pt>
                <c:pt idx="72">
                  <c:v>62.7</c:v>
                </c:pt>
                <c:pt idx="73">
                  <c:v>62.1</c:v>
                </c:pt>
                <c:pt idx="74">
                  <c:v>61.7</c:v>
                </c:pt>
                <c:pt idx="75">
                  <c:v>61.7</c:v>
                </c:pt>
                <c:pt idx="76">
                  <c:v>62.1</c:v>
                </c:pt>
                <c:pt idx="77">
                  <c:v>61.6</c:v>
                </c:pt>
                <c:pt idx="78">
                  <c:v>62.2</c:v>
                </c:pt>
                <c:pt idx="79">
                  <c:v>62.9</c:v>
                </c:pt>
                <c:pt idx="80">
                  <c:v>63.5</c:v>
                </c:pt>
                <c:pt idx="81">
                  <c:v>62.6</c:v>
                </c:pt>
                <c:pt idx="82">
                  <c:v>62.3</c:v>
                </c:pt>
                <c:pt idx="83">
                  <c:v>63.8</c:v>
                </c:pt>
                <c:pt idx="84">
                  <c:v>64.599999999999994</c:v>
                </c:pt>
                <c:pt idx="85">
                  <c:v>64.599999999999994</c:v>
                </c:pt>
                <c:pt idx="86">
                  <c:v>64.5</c:v>
                </c:pt>
                <c:pt idx="87">
                  <c:v>64.5</c:v>
                </c:pt>
                <c:pt idx="88">
                  <c:v>64.8</c:v>
                </c:pt>
                <c:pt idx="89">
                  <c:v>64.3</c:v>
                </c:pt>
                <c:pt idx="90">
                  <c:v>64.5</c:v>
                </c:pt>
                <c:pt idx="91">
                  <c:v>64</c:v>
                </c:pt>
                <c:pt idx="92">
                  <c:v>64.099999999999994</c:v>
                </c:pt>
                <c:pt idx="93">
                  <c:v>63.9</c:v>
                </c:pt>
                <c:pt idx="94">
                  <c:v>64.3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2A-024A-87CB-EF3F8F5D4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960072"/>
        <c:axId val="2138956360"/>
      </c:lineChart>
      <c:valAx>
        <c:axId val="213895636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138960072"/>
        <c:crosses val="autoZero"/>
        <c:crossBetween val="between"/>
      </c:valAx>
      <c:dateAx>
        <c:axId val="21389600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138956360"/>
        <c:crosses val="autoZero"/>
        <c:auto val="1"/>
        <c:lblOffset val="100"/>
        <c:baseTimeUnit val="days"/>
      </c:date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Flow and Temp during Sampling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FlowTemp!$C$1:$C$1</c:f>
              <c:strCache>
                <c:ptCount val="1"/>
                <c:pt idx="0">
                  <c:v>Flow cfs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FlowTemp!$A$2:$A$96</c:f>
              <c:numCache>
                <c:formatCode>m/d/yy</c:formatCode>
                <c:ptCount val="95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  <c:pt idx="31">
                  <c:v>41761</c:v>
                </c:pt>
                <c:pt idx="32">
                  <c:v>41762</c:v>
                </c:pt>
                <c:pt idx="33">
                  <c:v>41763</c:v>
                </c:pt>
                <c:pt idx="34">
                  <c:v>41764</c:v>
                </c:pt>
                <c:pt idx="35">
                  <c:v>41765</c:v>
                </c:pt>
                <c:pt idx="36">
                  <c:v>41766</c:v>
                </c:pt>
                <c:pt idx="37">
                  <c:v>41767</c:v>
                </c:pt>
                <c:pt idx="38">
                  <c:v>41768</c:v>
                </c:pt>
                <c:pt idx="39">
                  <c:v>41769</c:v>
                </c:pt>
                <c:pt idx="40">
                  <c:v>41770</c:v>
                </c:pt>
                <c:pt idx="41">
                  <c:v>41771</c:v>
                </c:pt>
                <c:pt idx="42">
                  <c:v>41772</c:v>
                </c:pt>
                <c:pt idx="43">
                  <c:v>41773</c:v>
                </c:pt>
                <c:pt idx="44">
                  <c:v>41774</c:v>
                </c:pt>
                <c:pt idx="45">
                  <c:v>41775</c:v>
                </c:pt>
                <c:pt idx="46">
                  <c:v>41776</c:v>
                </c:pt>
                <c:pt idx="47">
                  <c:v>41777</c:v>
                </c:pt>
                <c:pt idx="48">
                  <c:v>41778</c:v>
                </c:pt>
                <c:pt idx="49">
                  <c:v>41779</c:v>
                </c:pt>
                <c:pt idx="50">
                  <c:v>41780</c:v>
                </c:pt>
                <c:pt idx="51">
                  <c:v>41781</c:v>
                </c:pt>
                <c:pt idx="52">
                  <c:v>41782</c:v>
                </c:pt>
                <c:pt idx="53">
                  <c:v>41783</c:v>
                </c:pt>
                <c:pt idx="54">
                  <c:v>41784</c:v>
                </c:pt>
                <c:pt idx="55">
                  <c:v>41785</c:v>
                </c:pt>
                <c:pt idx="56">
                  <c:v>41786</c:v>
                </c:pt>
                <c:pt idx="57">
                  <c:v>41787</c:v>
                </c:pt>
                <c:pt idx="58">
                  <c:v>41788</c:v>
                </c:pt>
                <c:pt idx="59">
                  <c:v>41789</c:v>
                </c:pt>
                <c:pt idx="60">
                  <c:v>41790</c:v>
                </c:pt>
                <c:pt idx="61">
                  <c:v>41791</c:v>
                </c:pt>
                <c:pt idx="62">
                  <c:v>41792</c:v>
                </c:pt>
                <c:pt idx="63">
                  <c:v>41793</c:v>
                </c:pt>
                <c:pt idx="64">
                  <c:v>41794</c:v>
                </c:pt>
                <c:pt idx="65">
                  <c:v>41795</c:v>
                </c:pt>
                <c:pt idx="66">
                  <c:v>41796</c:v>
                </c:pt>
                <c:pt idx="67">
                  <c:v>41797</c:v>
                </c:pt>
                <c:pt idx="68">
                  <c:v>41798</c:v>
                </c:pt>
                <c:pt idx="69">
                  <c:v>41799</c:v>
                </c:pt>
                <c:pt idx="70">
                  <c:v>41800</c:v>
                </c:pt>
                <c:pt idx="71">
                  <c:v>41801</c:v>
                </c:pt>
                <c:pt idx="72">
                  <c:v>41802</c:v>
                </c:pt>
                <c:pt idx="73">
                  <c:v>41803</c:v>
                </c:pt>
                <c:pt idx="74">
                  <c:v>41804</c:v>
                </c:pt>
                <c:pt idx="75">
                  <c:v>41805</c:v>
                </c:pt>
                <c:pt idx="76">
                  <c:v>41806</c:v>
                </c:pt>
                <c:pt idx="77">
                  <c:v>41807</c:v>
                </c:pt>
                <c:pt idx="78">
                  <c:v>41808</c:v>
                </c:pt>
                <c:pt idx="79">
                  <c:v>41809</c:v>
                </c:pt>
                <c:pt idx="80">
                  <c:v>41810</c:v>
                </c:pt>
                <c:pt idx="81">
                  <c:v>41811</c:v>
                </c:pt>
                <c:pt idx="82">
                  <c:v>41812</c:v>
                </c:pt>
                <c:pt idx="83">
                  <c:v>41813</c:v>
                </c:pt>
                <c:pt idx="84">
                  <c:v>41814</c:v>
                </c:pt>
                <c:pt idx="85">
                  <c:v>41815</c:v>
                </c:pt>
                <c:pt idx="86">
                  <c:v>41816</c:v>
                </c:pt>
                <c:pt idx="87">
                  <c:v>41817</c:v>
                </c:pt>
                <c:pt idx="88">
                  <c:v>41818</c:v>
                </c:pt>
                <c:pt idx="89">
                  <c:v>41819</c:v>
                </c:pt>
                <c:pt idx="90">
                  <c:v>41820</c:v>
                </c:pt>
                <c:pt idx="91">
                  <c:v>41821</c:v>
                </c:pt>
                <c:pt idx="92">
                  <c:v>41822</c:v>
                </c:pt>
                <c:pt idx="93">
                  <c:v>41823</c:v>
                </c:pt>
                <c:pt idx="94">
                  <c:v>41824</c:v>
                </c:pt>
              </c:numCache>
            </c:numRef>
          </c:cat>
          <c:val>
            <c:numRef>
              <c:f>FlowTemp!$C$2:$C$96</c:f>
              <c:numCache>
                <c:formatCode>General</c:formatCode>
                <c:ptCount val="95"/>
                <c:pt idx="0">
                  <c:v>244</c:v>
                </c:pt>
                <c:pt idx="1">
                  <c:v>248</c:v>
                </c:pt>
                <c:pt idx="2">
                  <c:v>243</c:v>
                </c:pt>
                <c:pt idx="3">
                  <c:v>234</c:v>
                </c:pt>
                <c:pt idx="4">
                  <c:v>233</c:v>
                </c:pt>
                <c:pt idx="5">
                  <c:v>232</c:v>
                </c:pt>
                <c:pt idx="6">
                  <c:v>245</c:v>
                </c:pt>
                <c:pt idx="7">
                  <c:v>374</c:v>
                </c:pt>
                <c:pt idx="8">
                  <c:v>580</c:v>
                </c:pt>
                <c:pt idx="9">
                  <c:v>657</c:v>
                </c:pt>
                <c:pt idx="10">
                  <c:v>652</c:v>
                </c:pt>
                <c:pt idx="11">
                  <c:v>662</c:v>
                </c:pt>
                <c:pt idx="12">
                  <c:v>671</c:v>
                </c:pt>
                <c:pt idx="13">
                  <c:v>1337</c:v>
                </c:pt>
                <c:pt idx="14">
                  <c:v>2708</c:v>
                </c:pt>
                <c:pt idx="15">
                  <c:v>2677</c:v>
                </c:pt>
                <c:pt idx="16">
                  <c:v>2658</c:v>
                </c:pt>
                <c:pt idx="17">
                  <c:v>2685</c:v>
                </c:pt>
                <c:pt idx="18">
                  <c:v>2670</c:v>
                </c:pt>
                <c:pt idx="19">
                  <c:v>2684</c:v>
                </c:pt>
                <c:pt idx="20">
                  <c:v>2681</c:v>
                </c:pt>
                <c:pt idx="21">
                  <c:v>2682</c:v>
                </c:pt>
                <c:pt idx="22">
                  <c:v>2660</c:v>
                </c:pt>
                <c:pt idx="23">
                  <c:v>2640</c:v>
                </c:pt>
                <c:pt idx="24">
                  <c:v>2636</c:v>
                </c:pt>
                <c:pt idx="25">
                  <c:v>2692</c:v>
                </c:pt>
                <c:pt idx="26">
                  <c:v>2701</c:v>
                </c:pt>
                <c:pt idx="27">
                  <c:v>2694</c:v>
                </c:pt>
                <c:pt idx="28">
                  <c:v>2708</c:v>
                </c:pt>
                <c:pt idx="29">
                  <c:v>2678</c:v>
                </c:pt>
                <c:pt idx="30">
                  <c:v>2282</c:v>
                </c:pt>
                <c:pt idx="31">
                  <c:v>2289</c:v>
                </c:pt>
                <c:pt idx="32">
                  <c:v>2306</c:v>
                </c:pt>
                <c:pt idx="33">
                  <c:v>2300</c:v>
                </c:pt>
                <c:pt idx="34">
                  <c:v>2294</c:v>
                </c:pt>
                <c:pt idx="35">
                  <c:v>2285</c:v>
                </c:pt>
                <c:pt idx="36">
                  <c:v>2282</c:v>
                </c:pt>
                <c:pt idx="37">
                  <c:v>2277</c:v>
                </c:pt>
                <c:pt idx="38">
                  <c:v>2278</c:v>
                </c:pt>
                <c:pt idx="39">
                  <c:v>2270</c:v>
                </c:pt>
                <c:pt idx="40">
                  <c:v>2268</c:v>
                </c:pt>
                <c:pt idx="41">
                  <c:v>2283</c:v>
                </c:pt>
                <c:pt idx="42">
                  <c:v>2254</c:v>
                </c:pt>
                <c:pt idx="43">
                  <c:v>2226</c:v>
                </c:pt>
                <c:pt idx="44">
                  <c:v>1711</c:v>
                </c:pt>
                <c:pt idx="45">
                  <c:v>1236</c:v>
                </c:pt>
                <c:pt idx="46">
                  <c:v>698</c:v>
                </c:pt>
                <c:pt idx="47">
                  <c:v>656</c:v>
                </c:pt>
                <c:pt idx="48">
                  <c:v>652</c:v>
                </c:pt>
                <c:pt idx="49">
                  <c:v>653</c:v>
                </c:pt>
                <c:pt idx="50">
                  <c:v>650</c:v>
                </c:pt>
                <c:pt idx="51">
                  <c:v>569</c:v>
                </c:pt>
                <c:pt idx="52">
                  <c:v>546</c:v>
                </c:pt>
                <c:pt idx="53">
                  <c:v>548</c:v>
                </c:pt>
                <c:pt idx="54">
                  <c:v>473</c:v>
                </c:pt>
                <c:pt idx="55">
                  <c:v>425</c:v>
                </c:pt>
                <c:pt idx="56">
                  <c:v>423</c:v>
                </c:pt>
                <c:pt idx="57">
                  <c:v>426</c:v>
                </c:pt>
                <c:pt idx="58">
                  <c:v>424</c:v>
                </c:pt>
                <c:pt idx="59">
                  <c:v>360</c:v>
                </c:pt>
                <c:pt idx="60">
                  <c:v>324</c:v>
                </c:pt>
                <c:pt idx="61">
                  <c:v>322</c:v>
                </c:pt>
                <c:pt idx="62">
                  <c:v>335</c:v>
                </c:pt>
                <c:pt idx="63">
                  <c:v>326</c:v>
                </c:pt>
                <c:pt idx="64">
                  <c:v>291</c:v>
                </c:pt>
                <c:pt idx="65">
                  <c:v>290</c:v>
                </c:pt>
                <c:pt idx="66">
                  <c:v>277</c:v>
                </c:pt>
                <c:pt idx="67">
                  <c:v>263</c:v>
                </c:pt>
                <c:pt idx="68">
                  <c:v>241</c:v>
                </c:pt>
                <c:pt idx="69">
                  <c:v>243</c:v>
                </c:pt>
                <c:pt idx="70">
                  <c:v>268</c:v>
                </c:pt>
                <c:pt idx="71">
                  <c:v>269</c:v>
                </c:pt>
                <c:pt idx="72">
                  <c:v>291</c:v>
                </c:pt>
                <c:pt idx="73">
                  <c:v>291</c:v>
                </c:pt>
                <c:pt idx="74">
                  <c:v>295</c:v>
                </c:pt>
                <c:pt idx="75">
                  <c:v>282</c:v>
                </c:pt>
                <c:pt idx="76">
                  <c:v>275</c:v>
                </c:pt>
                <c:pt idx="77">
                  <c:v>275</c:v>
                </c:pt>
                <c:pt idx="78">
                  <c:v>256</c:v>
                </c:pt>
                <c:pt idx="79">
                  <c:v>247</c:v>
                </c:pt>
                <c:pt idx="80">
                  <c:v>247</c:v>
                </c:pt>
                <c:pt idx="81">
                  <c:v>243</c:v>
                </c:pt>
                <c:pt idx="82">
                  <c:v>247</c:v>
                </c:pt>
                <c:pt idx="83">
                  <c:v>234</c:v>
                </c:pt>
                <c:pt idx="84">
                  <c:v>231</c:v>
                </c:pt>
                <c:pt idx="85">
                  <c:v>230</c:v>
                </c:pt>
                <c:pt idx="86">
                  <c:v>231</c:v>
                </c:pt>
                <c:pt idx="87">
                  <c:v>228</c:v>
                </c:pt>
                <c:pt idx="88">
                  <c:v>263</c:v>
                </c:pt>
                <c:pt idx="89">
                  <c:v>275</c:v>
                </c:pt>
                <c:pt idx="90">
                  <c:v>299</c:v>
                </c:pt>
                <c:pt idx="91">
                  <c:v>328</c:v>
                </c:pt>
                <c:pt idx="92">
                  <c:v>324</c:v>
                </c:pt>
                <c:pt idx="93">
                  <c:v>336</c:v>
                </c:pt>
                <c:pt idx="94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A-1C4A-874F-C0C1A5463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015608"/>
        <c:axId val="2139011912"/>
      </c:lineChart>
      <c:lineChart>
        <c:grouping val="standard"/>
        <c:varyColors val="0"/>
        <c:ser>
          <c:idx val="1"/>
          <c:order val="1"/>
          <c:tx>
            <c:strRef>
              <c:f>FlowTemp!$B$1:$B$1</c:f>
              <c:strCache>
                <c:ptCount val="1"/>
                <c:pt idx="0">
                  <c:v>Temp F</c:v>
                </c:pt>
              </c:strCache>
            </c:strRef>
          </c:tx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FlowTemp!$A$2:$A$96</c:f>
              <c:numCache>
                <c:formatCode>m/d/yy</c:formatCode>
                <c:ptCount val="95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  <c:pt idx="31">
                  <c:v>41761</c:v>
                </c:pt>
                <c:pt idx="32">
                  <c:v>41762</c:v>
                </c:pt>
                <c:pt idx="33">
                  <c:v>41763</c:v>
                </c:pt>
                <c:pt idx="34">
                  <c:v>41764</c:v>
                </c:pt>
                <c:pt idx="35">
                  <c:v>41765</c:v>
                </c:pt>
                <c:pt idx="36">
                  <c:v>41766</c:v>
                </c:pt>
                <c:pt idx="37">
                  <c:v>41767</c:v>
                </c:pt>
                <c:pt idx="38">
                  <c:v>41768</c:v>
                </c:pt>
                <c:pt idx="39">
                  <c:v>41769</c:v>
                </c:pt>
                <c:pt idx="40">
                  <c:v>41770</c:v>
                </c:pt>
                <c:pt idx="41">
                  <c:v>41771</c:v>
                </c:pt>
                <c:pt idx="42">
                  <c:v>41772</c:v>
                </c:pt>
                <c:pt idx="43">
                  <c:v>41773</c:v>
                </c:pt>
                <c:pt idx="44">
                  <c:v>41774</c:v>
                </c:pt>
                <c:pt idx="45">
                  <c:v>41775</c:v>
                </c:pt>
                <c:pt idx="46">
                  <c:v>41776</c:v>
                </c:pt>
                <c:pt idx="47">
                  <c:v>41777</c:v>
                </c:pt>
                <c:pt idx="48">
                  <c:v>41778</c:v>
                </c:pt>
                <c:pt idx="49">
                  <c:v>41779</c:v>
                </c:pt>
                <c:pt idx="50">
                  <c:v>41780</c:v>
                </c:pt>
                <c:pt idx="51">
                  <c:v>41781</c:v>
                </c:pt>
                <c:pt idx="52">
                  <c:v>41782</c:v>
                </c:pt>
                <c:pt idx="53">
                  <c:v>41783</c:v>
                </c:pt>
                <c:pt idx="54">
                  <c:v>41784</c:v>
                </c:pt>
                <c:pt idx="55">
                  <c:v>41785</c:v>
                </c:pt>
                <c:pt idx="56">
                  <c:v>41786</c:v>
                </c:pt>
                <c:pt idx="57">
                  <c:v>41787</c:v>
                </c:pt>
                <c:pt idx="58">
                  <c:v>41788</c:v>
                </c:pt>
                <c:pt idx="59">
                  <c:v>41789</c:v>
                </c:pt>
                <c:pt idx="60">
                  <c:v>41790</c:v>
                </c:pt>
                <c:pt idx="61">
                  <c:v>41791</c:v>
                </c:pt>
                <c:pt idx="62">
                  <c:v>41792</c:v>
                </c:pt>
                <c:pt idx="63">
                  <c:v>41793</c:v>
                </c:pt>
                <c:pt idx="64">
                  <c:v>41794</c:v>
                </c:pt>
                <c:pt idx="65">
                  <c:v>41795</c:v>
                </c:pt>
                <c:pt idx="66">
                  <c:v>41796</c:v>
                </c:pt>
                <c:pt idx="67">
                  <c:v>41797</c:v>
                </c:pt>
                <c:pt idx="68">
                  <c:v>41798</c:v>
                </c:pt>
                <c:pt idx="69">
                  <c:v>41799</c:v>
                </c:pt>
                <c:pt idx="70">
                  <c:v>41800</c:v>
                </c:pt>
                <c:pt idx="71">
                  <c:v>41801</c:v>
                </c:pt>
                <c:pt idx="72">
                  <c:v>41802</c:v>
                </c:pt>
                <c:pt idx="73">
                  <c:v>41803</c:v>
                </c:pt>
                <c:pt idx="74">
                  <c:v>41804</c:v>
                </c:pt>
                <c:pt idx="75">
                  <c:v>41805</c:v>
                </c:pt>
                <c:pt idx="76">
                  <c:v>41806</c:v>
                </c:pt>
                <c:pt idx="77">
                  <c:v>41807</c:v>
                </c:pt>
                <c:pt idx="78">
                  <c:v>41808</c:v>
                </c:pt>
                <c:pt idx="79">
                  <c:v>41809</c:v>
                </c:pt>
                <c:pt idx="80">
                  <c:v>41810</c:v>
                </c:pt>
                <c:pt idx="81">
                  <c:v>41811</c:v>
                </c:pt>
                <c:pt idx="82">
                  <c:v>41812</c:v>
                </c:pt>
                <c:pt idx="83">
                  <c:v>41813</c:v>
                </c:pt>
                <c:pt idx="84">
                  <c:v>41814</c:v>
                </c:pt>
                <c:pt idx="85">
                  <c:v>41815</c:v>
                </c:pt>
                <c:pt idx="86">
                  <c:v>41816</c:v>
                </c:pt>
                <c:pt idx="87">
                  <c:v>41817</c:v>
                </c:pt>
                <c:pt idx="88">
                  <c:v>41818</c:v>
                </c:pt>
                <c:pt idx="89">
                  <c:v>41819</c:v>
                </c:pt>
                <c:pt idx="90">
                  <c:v>41820</c:v>
                </c:pt>
                <c:pt idx="91">
                  <c:v>41821</c:v>
                </c:pt>
                <c:pt idx="92">
                  <c:v>41822</c:v>
                </c:pt>
                <c:pt idx="93">
                  <c:v>41823</c:v>
                </c:pt>
                <c:pt idx="94">
                  <c:v>41824</c:v>
                </c:pt>
              </c:numCache>
            </c:numRef>
          </c:cat>
          <c:val>
            <c:numRef>
              <c:f>FlowTemp!$B$2:$B$96</c:f>
              <c:numCache>
                <c:formatCode>General</c:formatCode>
                <c:ptCount val="95"/>
                <c:pt idx="0">
                  <c:v>54.2</c:v>
                </c:pt>
                <c:pt idx="1">
                  <c:v>54.8</c:v>
                </c:pt>
                <c:pt idx="2">
                  <c:v>55.5</c:v>
                </c:pt>
                <c:pt idx="3">
                  <c:v>55.7</c:v>
                </c:pt>
                <c:pt idx="4">
                  <c:v>56.1</c:v>
                </c:pt>
                <c:pt idx="5">
                  <c:v>57.4</c:v>
                </c:pt>
                <c:pt idx="6">
                  <c:v>58.9</c:v>
                </c:pt>
                <c:pt idx="7">
                  <c:v>59.2</c:v>
                </c:pt>
                <c:pt idx="8">
                  <c:v>57.6</c:v>
                </c:pt>
                <c:pt idx="9">
                  <c:v>56.8</c:v>
                </c:pt>
                <c:pt idx="10">
                  <c:v>56.3</c:v>
                </c:pt>
                <c:pt idx="11">
                  <c:v>56.5</c:v>
                </c:pt>
                <c:pt idx="12">
                  <c:v>56.2</c:v>
                </c:pt>
                <c:pt idx="13">
                  <c:v>55.8</c:v>
                </c:pt>
                <c:pt idx="14">
                  <c:v>56.9</c:v>
                </c:pt>
                <c:pt idx="15">
                  <c:v>56.8</c:v>
                </c:pt>
                <c:pt idx="16">
                  <c:v>56.1</c:v>
                </c:pt>
                <c:pt idx="17">
                  <c:v>56</c:v>
                </c:pt>
                <c:pt idx="18">
                  <c:v>55.7</c:v>
                </c:pt>
                <c:pt idx="19">
                  <c:v>55.6</c:v>
                </c:pt>
                <c:pt idx="20">
                  <c:v>55.3</c:v>
                </c:pt>
                <c:pt idx="21">
                  <c:v>54.8</c:v>
                </c:pt>
                <c:pt idx="22">
                  <c:v>54.6</c:v>
                </c:pt>
                <c:pt idx="23">
                  <c:v>55.2</c:v>
                </c:pt>
                <c:pt idx="24">
                  <c:v>54.4</c:v>
                </c:pt>
                <c:pt idx="25">
                  <c:v>54.3</c:v>
                </c:pt>
                <c:pt idx="26">
                  <c:v>54.3</c:v>
                </c:pt>
                <c:pt idx="27">
                  <c:v>54.6</c:v>
                </c:pt>
                <c:pt idx="28">
                  <c:v>54.9</c:v>
                </c:pt>
                <c:pt idx="29">
                  <c:v>55.4</c:v>
                </c:pt>
                <c:pt idx="30">
                  <c:v>55.2</c:v>
                </c:pt>
                <c:pt idx="31">
                  <c:v>54.9</c:v>
                </c:pt>
                <c:pt idx="32">
                  <c:v>54.8</c:v>
                </c:pt>
                <c:pt idx="33">
                  <c:v>54.8</c:v>
                </c:pt>
                <c:pt idx="34">
                  <c:v>54.6</c:v>
                </c:pt>
                <c:pt idx="35">
                  <c:v>54.3</c:v>
                </c:pt>
                <c:pt idx="36">
                  <c:v>54.5</c:v>
                </c:pt>
                <c:pt idx="37">
                  <c:v>54.5</c:v>
                </c:pt>
                <c:pt idx="38">
                  <c:v>55</c:v>
                </c:pt>
                <c:pt idx="39">
                  <c:v>54.7</c:v>
                </c:pt>
                <c:pt idx="40">
                  <c:v>55.1</c:v>
                </c:pt>
                <c:pt idx="41">
                  <c:v>55.6</c:v>
                </c:pt>
                <c:pt idx="42">
                  <c:v>55.9</c:v>
                </c:pt>
                <c:pt idx="43">
                  <c:v>56</c:v>
                </c:pt>
                <c:pt idx="44">
                  <c:v>55.9</c:v>
                </c:pt>
                <c:pt idx="45">
                  <c:v>56</c:v>
                </c:pt>
                <c:pt idx="46">
                  <c:v>56.6</c:v>
                </c:pt>
                <c:pt idx="47">
                  <c:v>57.2</c:v>
                </c:pt>
                <c:pt idx="48">
                  <c:v>56.8</c:v>
                </c:pt>
                <c:pt idx="49">
                  <c:v>56.2</c:v>
                </c:pt>
                <c:pt idx="50">
                  <c:v>57</c:v>
                </c:pt>
                <c:pt idx="51">
                  <c:v>58.2</c:v>
                </c:pt>
                <c:pt idx="52">
                  <c:v>58.9</c:v>
                </c:pt>
                <c:pt idx="53">
                  <c:v>59.3</c:v>
                </c:pt>
                <c:pt idx="54">
                  <c:v>60</c:v>
                </c:pt>
                <c:pt idx="55">
                  <c:v>60.7</c:v>
                </c:pt>
                <c:pt idx="56">
                  <c:v>60.2</c:v>
                </c:pt>
                <c:pt idx="57">
                  <c:v>59.4</c:v>
                </c:pt>
                <c:pt idx="58">
                  <c:v>59</c:v>
                </c:pt>
                <c:pt idx="59">
                  <c:v>59.7</c:v>
                </c:pt>
                <c:pt idx="60">
                  <c:v>60.5</c:v>
                </c:pt>
                <c:pt idx="61">
                  <c:v>61</c:v>
                </c:pt>
                <c:pt idx="62">
                  <c:v>61.4</c:v>
                </c:pt>
                <c:pt idx="63">
                  <c:v>61.5</c:v>
                </c:pt>
                <c:pt idx="64">
                  <c:v>62</c:v>
                </c:pt>
                <c:pt idx="65">
                  <c:v>63.2</c:v>
                </c:pt>
                <c:pt idx="66">
                  <c:v>63.2</c:v>
                </c:pt>
                <c:pt idx="67">
                  <c:v>63.5</c:v>
                </c:pt>
                <c:pt idx="68">
                  <c:v>64.099999999999994</c:v>
                </c:pt>
                <c:pt idx="69">
                  <c:v>64.5</c:v>
                </c:pt>
                <c:pt idx="70">
                  <c:v>63.8</c:v>
                </c:pt>
                <c:pt idx="71">
                  <c:v>63.5</c:v>
                </c:pt>
                <c:pt idx="72">
                  <c:v>62.7</c:v>
                </c:pt>
                <c:pt idx="73">
                  <c:v>62.1</c:v>
                </c:pt>
                <c:pt idx="74">
                  <c:v>61.7</c:v>
                </c:pt>
                <c:pt idx="75">
                  <c:v>61.7</c:v>
                </c:pt>
                <c:pt idx="76">
                  <c:v>62.1</c:v>
                </c:pt>
                <c:pt idx="77">
                  <c:v>61.6</c:v>
                </c:pt>
                <c:pt idx="78">
                  <c:v>62.2</c:v>
                </c:pt>
                <c:pt idx="79">
                  <c:v>62.9</c:v>
                </c:pt>
                <c:pt idx="80">
                  <c:v>63.5</c:v>
                </c:pt>
                <c:pt idx="81">
                  <c:v>62.6</c:v>
                </c:pt>
                <c:pt idx="82">
                  <c:v>62.3</c:v>
                </c:pt>
                <c:pt idx="83">
                  <c:v>63.8</c:v>
                </c:pt>
                <c:pt idx="84">
                  <c:v>64.599999999999994</c:v>
                </c:pt>
                <c:pt idx="85">
                  <c:v>64.599999999999994</c:v>
                </c:pt>
                <c:pt idx="86">
                  <c:v>64.5</c:v>
                </c:pt>
                <c:pt idx="87">
                  <c:v>64.5</c:v>
                </c:pt>
                <c:pt idx="88">
                  <c:v>64.8</c:v>
                </c:pt>
                <c:pt idx="89">
                  <c:v>64.3</c:v>
                </c:pt>
                <c:pt idx="90">
                  <c:v>64.5</c:v>
                </c:pt>
                <c:pt idx="91">
                  <c:v>64</c:v>
                </c:pt>
                <c:pt idx="92">
                  <c:v>64.099999999999994</c:v>
                </c:pt>
                <c:pt idx="93">
                  <c:v>63.9</c:v>
                </c:pt>
                <c:pt idx="94">
                  <c:v>64.3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6A-1C4A-874F-C0C1A5463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022696"/>
        <c:axId val="2139019048"/>
      </c:lineChart>
      <c:valAx>
        <c:axId val="213901191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139015608"/>
        <c:crosses val="autoZero"/>
        <c:crossBetween val="between"/>
      </c:valAx>
      <c:dateAx>
        <c:axId val="21390156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139011912"/>
        <c:crosses val="autoZero"/>
        <c:auto val="1"/>
        <c:lblOffset val="100"/>
        <c:baseTimeUnit val="days"/>
      </c:dateAx>
      <c:valAx>
        <c:axId val="21390190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139022696"/>
        <c:crosses val="max"/>
        <c:crossBetween val="between"/>
      </c:valAx>
      <c:dateAx>
        <c:axId val="2139022696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2139019048"/>
        <c:crosses val="autoZero"/>
        <c:auto val="1"/>
        <c:lblOffset val="100"/>
        <c:baseTimeUnit val="days"/>
      </c:date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Summarized</a:t>
            </a:r>
            <a:r>
              <a:rPr lang="en-US" baseline="0"/>
              <a:t> composition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CC-204A-BC48-90520164B6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CC-204A-BC48-90520164B64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CCC-204A-BC48-90520164B64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CCC-204A-BC48-90520164B64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CCC-204A-BC48-90520164B64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CCC-204A-BC48-90520164B64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CCC-204A-BC48-90520164B64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CCC-204A-BC48-90520164B64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CCC-204A-BC48-90520164B64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CCC-204A-BC48-90520164B64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CCC-204A-BC48-90520164B64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CCC-204A-BC48-90520164B64D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'_Taxa_#_and_total_Composition'!$G$50:$G$62</c15:sqref>
                  </c15:fullRef>
                </c:ext>
              </c:extLst>
              <c:f>('_Taxa_#_and_total_Composition'!$G$50,'_Taxa_#_and_total_Composition'!$G$52:$G$62)</c:f>
              <c:strCache>
                <c:ptCount val="12"/>
                <c:pt idx="0">
                  <c:v>Trichoptera</c:v>
                </c:pt>
                <c:pt idx="1">
                  <c:v>Fish</c:v>
                </c:pt>
                <c:pt idx="2">
                  <c:v>Diptera</c:v>
                </c:pt>
                <c:pt idx="3">
                  <c:v>Chironomidae</c:v>
                </c:pt>
                <c:pt idx="4">
                  <c:v>Cladocera</c:v>
                </c:pt>
                <c:pt idx="5">
                  <c:v>Decapoda</c:v>
                </c:pt>
                <c:pt idx="6">
                  <c:v>Hydracarina</c:v>
                </c:pt>
                <c:pt idx="7">
                  <c:v>Amphipoda</c:v>
                </c:pt>
                <c:pt idx="8">
                  <c:v>Copopoda</c:v>
                </c:pt>
                <c:pt idx="9">
                  <c:v>Oligochaeta</c:v>
                </c:pt>
                <c:pt idx="10">
                  <c:v>Ephemeroptera</c:v>
                </c:pt>
                <c:pt idx="11">
                  <c:v>Others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'_Taxa_#_and_total_Composition'!$I$50:$I$62</c15:sqref>
                  </c15:fullRef>
                </c:ext>
              </c:extLst>
              <c:f>('_Taxa_#_and_total_Composition'!$I$50,'_Taxa_#_and_total_Composition'!$I$52:$I$62)</c:f>
              <c:numCache>
                <c:formatCode>General</c:formatCode>
                <c:ptCount val="12"/>
                <c:pt idx="0">
                  <c:v>1.610598779062216E-2</c:v>
                </c:pt>
                <c:pt idx="1">
                  <c:v>1.9093388751785945E-2</c:v>
                </c:pt>
                <c:pt idx="2">
                  <c:v>3.8576438498506296E-2</c:v>
                </c:pt>
                <c:pt idx="3">
                  <c:v>0.30055851409273932</c:v>
                </c:pt>
                <c:pt idx="4">
                  <c:v>0.19625925444862968</c:v>
                </c:pt>
                <c:pt idx="5">
                  <c:v>9.1570333809585666E-2</c:v>
                </c:pt>
                <c:pt idx="6">
                  <c:v>9.3128977789323289E-2</c:v>
                </c:pt>
                <c:pt idx="7">
                  <c:v>1.8443953760228601E-2</c:v>
                </c:pt>
                <c:pt idx="8">
                  <c:v>4.883751136511235E-2</c:v>
                </c:pt>
                <c:pt idx="9">
                  <c:v>2.4938303675802052E-2</c:v>
                </c:pt>
                <c:pt idx="10">
                  <c:v>7.4295363034160275E-2</c:v>
                </c:pt>
                <c:pt idx="11">
                  <c:v>6.3514742174308345E-2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18-CCCC-204A-BC48-90520164B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600" b="1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600" b="1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Diversity of side and main channel</a:t>
            </a:r>
          </a:p>
        </c:rich>
      </c:tx>
      <c:layout>
        <c:manualLayout>
          <c:xMode val="edge"/>
          <c:yMode val="edge"/>
          <c:x val="0.18693641504900099"/>
          <c:y val="3.0613354834996699E-2"/>
        </c:manualLayout>
      </c:layout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'drift_densities,_EPT,_diversity'!$Z$20:$Z$20</c:f>
              <c:strCache>
                <c:ptCount val="1"/>
              </c:strCache>
            </c:strRef>
          </c:tx>
          <c:spPr>
            <a:ln w="22320" cap="rnd">
              <a:solidFill>
                <a:srgbClr val="5B9BD5"/>
              </a:solidFill>
              <a:prstDash val="solid"/>
              <a:round/>
            </a:ln>
          </c:spPr>
          <c:marker>
            <c:symbol val="diamond"/>
            <c:size val="6"/>
          </c:marker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numRef>
              <c:f>'drift_densities,_EPT,_diversity'!$Y$22:$Y$26</c:f>
              <c:numCache>
                <c:formatCode>[$-409]m/d/yyyy</c:formatCode>
                <c:ptCount val="5"/>
                <c:pt idx="0">
                  <c:v>41733</c:v>
                </c:pt>
                <c:pt idx="1">
                  <c:v>41743</c:v>
                </c:pt>
                <c:pt idx="2">
                  <c:v>41781</c:v>
                </c:pt>
                <c:pt idx="3">
                  <c:v>41820</c:v>
                </c:pt>
              </c:numCache>
            </c:numRef>
          </c:cat>
          <c:val>
            <c:numRef>
              <c:f>'drift_densities,_EPT,_diversity'!$Z$22:$Z$26</c:f>
              <c:numCache>
                <c:formatCode>[$-409]General</c:formatCode>
                <c:ptCount val="5"/>
                <c:pt idx="0">
                  <c:v>2.2389999999999999</c:v>
                </c:pt>
                <c:pt idx="1">
                  <c:v>3.306</c:v>
                </c:pt>
                <c:pt idx="3">
                  <c:v>2.0790000000000002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FE-AB41-B92D-9AB99B18F732}"/>
            </c:ext>
          </c:extLst>
        </c:ser>
        <c:ser>
          <c:idx val="1"/>
          <c:order val="1"/>
          <c:tx>
            <c:strRef>
              <c:f>'drift_densities,_EPT,_diversity'!$AA$20:$AA$20</c:f>
              <c:strCache>
                <c:ptCount val="1"/>
              </c:strCache>
            </c:strRef>
          </c:tx>
          <c:spPr>
            <a:ln w="22320" cap="rnd">
              <a:solidFill>
                <a:srgbClr val="ED7D31"/>
              </a:solidFill>
              <a:prstDash val="solid"/>
              <a:round/>
            </a:ln>
          </c:spPr>
          <c:marker>
            <c:symbol val="square"/>
            <c:size val="6"/>
          </c:marker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numRef>
              <c:f>'drift_densities,_EPT,_diversity'!$Y$22:$Y$26</c:f>
              <c:numCache>
                <c:formatCode>[$-409]m/d/yyyy</c:formatCode>
                <c:ptCount val="5"/>
                <c:pt idx="0">
                  <c:v>41733</c:v>
                </c:pt>
                <c:pt idx="1">
                  <c:v>41743</c:v>
                </c:pt>
                <c:pt idx="2">
                  <c:v>41781</c:v>
                </c:pt>
                <c:pt idx="3">
                  <c:v>41820</c:v>
                </c:pt>
              </c:numCache>
            </c:numRef>
          </c:cat>
          <c:val>
            <c:numRef>
              <c:f>'drift_densities,_EPT,_diversity'!$AA$22:$AA$27</c:f>
              <c:numCache>
                <c:formatCode>[$-409]General</c:formatCode>
                <c:ptCount val="6"/>
                <c:pt idx="0">
                  <c:v>1.538</c:v>
                </c:pt>
                <c:pt idx="1">
                  <c:v>2.76</c:v>
                </c:pt>
                <c:pt idx="2">
                  <c:v>2.56</c:v>
                </c:pt>
                <c:pt idx="3">
                  <c:v>3.395</c:v>
                </c:pt>
                <c:pt idx="5">
                  <c:v>2.56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FE-AB41-B92D-9AB99B18F732}"/>
            </c:ext>
          </c:extLst>
        </c:ser>
        <c:ser>
          <c:idx val="2"/>
          <c:order val="2"/>
          <c:tx>
            <c:strRef>
              <c:f>'drift_densities,_EPT,_diversity'!$AB$20:$AB$20</c:f>
              <c:strCache>
                <c:ptCount val="1"/>
              </c:strCache>
            </c:strRef>
          </c:tx>
          <c:spPr>
            <a:ln w="22320" cap="rnd">
              <a:solidFill>
                <a:srgbClr val="A5A5A5"/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numRef>
              <c:f>'drift_densities,_EPT,_diversity'!$Y$22:$Y$26</c:f>
              <c:numCache>
                <c:formatCode>[$-409]m/d/yyyy</c:formatCode>
                <c:ptCount val="5"/>
                <c:pt idx="0">
                  <c:v>41733</c:v>
                </c:pt>
                <c:pt idx="1">
                  <c:v>41743</c:v>
                </c:pt>
                <c:pt idx="2">
                  <c:v>41781</c:v>
                </c:pt>
                <c:pt idx="3">
                  <c:v>41820</c:v>
                </c:pt>
              </c:numCache>
            </c:numRef>
          </c:cat>
          <c:val>
            <c:numRef>
              <c:f>'drift_densities,_EPT,_diversity'!$AB$22:$AB$27</c:f>
              <c:numCache>
                <c:formatCode>[$-409]General</c:formatCode>
                <c:ptCount val="6"/>
                <c:pt idx="0">
                  <c:v>2.9340000000000002</c:v>
                </c:pt>
                <c:pt idx="1">
                  <c:v>2.9750000000000001</c:v>
                </c:pt>
                <c:pt idx="2">
                  <c:v>2.1360000000000001</c:v>
                </c:pt>
                <c:pt idx="3">
                  <c:v>3.1309999999999998</c:v>
                </c:pt>
                <c:pt idx="5">
                  <c:v>2.79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FE-AB41-B92D-9AB99B18F732}"/>
            </c:ext>
          </c:extLst>
        </c:ser>
        <c:ser>
          <c:idx val="3"/>
          <c:order val="3"/>
          <c:tx>
            <c:strRef>
              <c:f>'drift_densities,_EPT,_diversity'!$AC$20:$AC$20</c:f>
              <c:strCache>
                <c:ptCount val="1"/>
              </c:strCache>
            </c:strRef>
          </c:tx>
          <c:spPr>
            <a:ln w="22320" cap="rnd">
              <a:solidFill>
                <a:srgbClr val="FFC000"/>
              </a:solidFill>
              <a:prstDash val="solid"/>
              <a:round/>
            </a:ln>
          </c:spPr>
          <c:marker>
            <c:symbol val="x"/>
            <c:size val="6"/>
          </c:marker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numRef>
              <c:f>'drift_densities,_EPT,_diversity'!$Y$22:$Y$26</c:f>
              <c:numCache>
                <c:formatCode>[$-409]m/d/yyyy</c:formatCode>
                <c:ptCount val="5"/>
                <c:pt idx="0">
                  <c:v>41733</c:v>
                </c:pt>
                <c:pt idx="1">
                  <c:v>41743</c:v>
                </c:pt>
                <c:pt idx="2">
                  <c:v>41781</c:v>
                </c:pt>
                <c:pt idx="3">
                  <c:v>41820</c:v>
                </c:pt>
              </c:numCache>
            </c:numRef>
          </c:cat>
          <c:val>
            <c:numRef>
              <c:f>'drift_densities,_EPT,_diversity'!$AC$22:$AC$27</c:f>
              <c:numCache>
                <c:formatCode>[$-409]General</c:formatCode>
                <c:ptCount val="6"/>
                <c:pt idx="3">
                  <c:v>2.6349999999999998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FE-AB41-B92D-9AB99B18F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096776"/>
        <c:axId val="2138148504"/>
      </c:lineChart>
      <c:valAx>
        <c:axId val="2138148504"/>
        <c:scaling>
          <c:orientation val="minMax"/>
        </c:scaling>
        <c:delete val="0"/>
        <c:axPos val="l"/>
        <c:numFmt formatCode="[$-409]General" sourceLinked="1"/>
        <c:majorTickMark val="none"/>
        <c:minorTickMark val="none"/>
        <c:tickLblPos val="nextTo"/>
        <c:spPr>
          <a:noFill/>
          <a:ln w="9363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054096776"/>
        <c:crossesAt val="41733"/>
        <c:crossBetween val="between"/>
      </c:valAx>
      <c:dateAx>
        <c:axId val="2054096776"/>
        <c:scaling>
          <c:orientation val="minMax"/>
        </c:scaling>
        <c:delete val="0"/>
        <c:axPos val="b"/>
        <c:numFmt formatCode="[$-409]m/d/yyyy" sourceLinked="1"/>
        <c:majorTickMark val="none"/>
        <c:minorTickMark val="none"/>
        <c:tickLblPos val="nextTo"/>
        <c:spPr>
          <a:noFill/>
          <a:ln w="9363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8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38148504"/>
        <c:crossesAt val="0"/>
        <c:auto val="1"/>
        <c:lblOffset val="100"/>
        <c:baseTimeUnit val="days"/>
      </c:date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363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Shannon Diversity of Main Channel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'drift_densities,_EPT,_diversity'!$AA$41:$AA$41</c:f>
              <c:strCache>
                <c:ptCount val="1"/>
              </c:strCache>
            </c:strRef>
          </c:tx>
          <c:spPr>
            <a:ln w="28437" cap="rnd">
              <a:solidFill>
                <a:srgbClr val="5B9BD5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'drift_densities,_EPT,_diversity'!$Z$43:$Z$49</c:f>
              <c:numCache>
                <c:formatCode>[$-409]m/d/yyyy</c:formatCode>
                <c:ptCount val="7"/>
                <c:pt idx="0">
                  <c:v>41733</c:v>
                </c:pt>
                <c:pt idx="1">
                  <c:v>41743</c:v>
                </c:pt>
                <c:pt idx="2">
                  <c:v>41760</c:v>
                </c:pt>
                <c:pt idx="3">
                  <c:v>41768</c:v>
                </c:pt>
                <c:pt idx="4">
                  <c:v>41772</c:v>
                </c:pt>
                <c:pt idx="5">
                  <c:v>41774</c:v>
                </c:pt>
                <c:pt idx="6">
                  <c:v>41820</c:v>
                </c:pt>
              </c:numCache>
            </c:numRef>
          </c:cat>
          <c:val>
            <c:numRef>
              <c:f>'drift_densities,_EPT,_diversity'!$AA$43:$AA$49</c:f>
              <c:numCache>
                <c:formatCode>[$-409]General</c:formatCode>
                <c:ptCount val="7"/>
                <c:pt idx="0">
                  <c:v>2.239093</c:v>
                </c:pt>
                <c:pt idx="1">
                  <c:v>3.3060139999999998</c:v>
                </c:pt>
                <c:pt idx="2">
                  <c:v>2.16374827068196</c:v>
                </c:pt>
                <c:pt idx="3">
                  <c:v>2.5874390491125498</c:v>
                </c:pt>
                <c:pt idx="4">
                  <c:v>2.50785957229373</c:v>
                </c:pt>
                <c:pt idx="5">
                  <c:v>2.57812630571676</c:v>
                </c:pt>
                <c:pt idx="6">
                  <c:v>2.0794000000000001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7E-F64B-B75F-E13411147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735704"/>
        <c:axId val="2138438632"/>
      </c:lineChart>
      <c:valAx>
        <c:axId val="2138438632"/>
        <c:scaling>
          <c:orientation val="minMax"/>
        </c:scaling>
        <c:delete val="0"/>
        <c:axPos val="l"/>
        <c:majorGridlines>
          <c:spPr>
            <a:ln w="9363" cap="flat">
              <a:solidFill>
                <a:srgbClr val="D9D9D9"/>
              </a:solidFill>
              <a:prstDash val="solid"/>
              <a:round/>
            </a:ln>
          </c:spPr>
        </c:majorGridlines>
        <c:numFmt formatCode="[$-409]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38735704"/>
        <c:crossesAt val="0"/>
        <c:crossBetween val="between"/>
      </c:valAx>
      <c:dateAx>
        <c:axId val="2138735704"/>
        <c:scaling>
          <c:orientation val="minMax"/>
        </c:scaling>
        <c:delete val="0"/>
        <c:axPos val="b"/>
        <c:numFmt formatCode="[$-409]m/d/yyyy" sourceLinked="1"/>
        <c:majorTickMark val="none"/>
        <c:minorTickMark val="none"/>
        <c:tickLblPos val="nextTo"/>
        <c:spPr>
          <a:noFill/>
          <a:ln w="9363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38438632"/>
        <c:crossesAt val="0"/>
        <c:auto val="1"/>
        <c:lblOffset val="100"/>
        <c:baseTimeUnit val="days"/>
      </c:date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363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Diversity of Floodplain and Main Channel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'drift_densities,_EPT,_diversity'!$Z$29:$Z$29</c:f>
              <c:strCache>
                <c:ptCount val="1"/>
              </c:strCache>
            </c:strRef>
          </c:tx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'drift_densities,_EPT,_diversity'!$Y$31:$Y$34</c:f>
              <c:numCache>
                <c:formatCode>[$-409]m/d/yyyy</c:formatCode>
                <c:ptCount val="4"/>
                <c:pt idx="0">
                  <c:v>41760</c:v>
                </c:pt>
                <c:pt idx="1">
                  <c:v>41768</c:v>
                </c:pt>
                <c:pt idx="2">
                  <c:v>41772</c:v>
                </c:pt>
                <c:pt idx="3">
                  <c:v>41774</c:v>
                </c:pt>
              </c:numCache>
            </c:numRef>
          </c:cat>
          <c:val>
            <c:numRef>
              <c:f>'drift_densities,_EPT,_diversity'!$Z$31:$Z$34</c:f>
              <c:numCache>
                <c:formatCode>[$-409]General</c:formatCode>
                <c:ptCount val="4"/>
                <c:pt idx="0">
                  <c:v>2.16374827068196</c:v>
                </c:pt>
                <c:pt idx="1">
                  <c:v>2.5874390491125498</c:v>
                </c:pt>
                <c:pt idx="2">
                  <c:v>2.50785957229373</c:v>
                </c:pt>
                <c:pt idx="3">
                  <c:v>2.57812630571676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05-514B-BA48-2319F72D5CC2}"/>
            </c:ext>
          </c:extLst>
        </c:ser>
        <c:ser>
          <c:idx val="1"/>
          <c:order val="1"/>
          <c:tx>
            <c:strRef>
              <c:f>'drift_densities,_EPT,_diversity'!$AA$29:$AA$29</c:f>
              <c:strCache>
                <c:ptCount val="1"/>
              </c:strCache>
            </c:strRef>
          </c:tx>
          <c:spPr>
            <a:ln w="28575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'drift_densities,_EPT,_diversity'!$Y$31:$Y$34</c:f>
              <c:numCache>
                <c:formatCode>[$-409]m/d/yyyy</c:formatCode>
                <c:ptCount val="4"/>
                <c:pt idx="0">
                  <c:v>41760</c:v>
                </c:pt>
                <c:pt idx="1">
                  <c:v>41768</c:v>
                </c:pt>
                <c:pt idx="2">
                  <c:v>41772</c:v>
                </c:pt>
                <c:pt idx="3">
                  <c:v>41774</c:v>
                </c:pt>
              </c:numCache>
            </c:numRef>
          </c:cat>
          <c:val>
            <c:numRef>
              <c:f>'drift_densities,_EPT,_diversity'!$AA$31:$AA$34</c:f>
              <c:numCache>
                <c:formatCode>[$-409]General</c:formatCode>
                <c:ptCount val="4"/>
                <c:pt idx="0">
                  <c:v>2.75101984687665</c:v>
                </c:pt>
                <c:pt idx="1">
                  <c:v>2.7470298558016402</c:v>
                </c:pt>
                <c:pt idx="2">
                  <c:v>2.4635082238316701</c:v>
                </c:pt>
                <c:pt idx="3">
                  <c:v>2.8901140331119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05-514B-BA48-2319F72D5CC2}"/>
            </c:ext>
          </c:extLst>
        </c:ser>
        <c:ser>
          <c:idx val="2"/>
          <c:order val="2"/>
          <c:tx>
            <c:strRef>
              <c:f>'drift_densities,_EPT,_diversity'!$AB$29:$AB$29</c:f>
              <c:strCache>
                <c:ptCount val="1"/>
              </c:strCache>
            </c:strRef>
          </c:tx>
          <c:spPr>
            <a:ln w="28575" cap="rnd">
              <a:solidFill>
                <a:srgbClr val="A5A5A5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'drift_densities,_EPT,_diversity'!$Y$31:$Y$34</c:f>
              <c:numCache>
                <c:formatCode>[$-409]m/d/yyyy</c:formatCode>
                <c:ptCount val="4"/>
                <c:pt idx="0">
                  <c:v>41760</c:v>
                </c:pt>
                <c:pt idx="1">
                  <c:v>41768</c:v>
                </c:pt>
                <c:pt idx="2">
                  <c:v>41772</c:v>
                </c:pt>
                <c:pt idx="3">
                  <c:v>41774</c:v>
                </c:pt>
              </c:numCache>
            </c:numRef>
          </c:cat>
          <c:val>
            <c:numRef>
              <c:f>'drift_densities,_EPT,_diversity'!$AB$31:$AB$34</c:f>
              <c:numCache>
                <c:formatCode>[$-409]General</c:formatCode>
                <c:ptCount val="4"/>
                <c:pt idx="1">
                  <c:v>2.7273742778395902</c:v>
                </c:pt>
                <c:pt idx="2">
                  <c:v>2.59344118050489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05-514B-BA48-2319F72D5CC2}"/>
            </c:ext>
          </c:extLst>
        </c:ser>
        <c:ser>
          <c:idx val="3"/>
          <c:order val="3"/>
          <c:tx>
            <c:strRef>
              <c:f>'drift_densities,_EPT,_diversity'!$AC$29:$AC$29</c:f>
              <c:strCache>
                <c:ptCount val="1"/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'drift_densities,_EPT,_diversity'!$Y$31:$Y$34</c:f>
              <c:numCache>
                <c:formatCode>[$-409]m/d/yyyy</c:formatCode>
                <c:ptCount val="4"/>
                <c:pt idx="0">
                  <c:v>41760</c:v>
                </c:pt>
                <c:pt idx="1">
                  <c:v>41768</c:v>
                </c:pt>
                <c:pt idx="2">
                  <c:v>41772</c:v>
                </c:pt>
                <c:pt idx="3">
                  <c:v>41774</c:v>
                </c:pt>
              </c:numCache>
            </c:numRef>
          </c:cat>
          <c:val>
            <c:numRef>
              <c:f>'drift_densities,_EPT,_diversity'!$AC$31:$AC$34</c:f>
              <c:numCache>
                <c:formatCode>[$-409]General</c:formatCode>
                <c:ptCount val="4"/>
                <c:pt idx="0">
                  <c:v>2.7090367005598499</c:v>
                </c:pt>
                <c:pt idx="1">
                  <c:v>2.79757116162145</c:v>
                </c:pt>
                <c:pt idx="2">
                  <c:v>2.6922280824499198</c:v>
                </c:pt>
                <c:pt idx="3">
                  <c:v>2.57266271180002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05-514B-BA48-2319F72D5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776056"/>
        <c:axId val="2138915688"/>
      </c:lineChart>
      <c:valAx>
        <c:axId val="2138915688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[$-409]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138776056"/>
        <c:crosses val="autoZero"/>
        <c:crossBetween val="between"/>
      </c:valAx>
      <c:dateAx>
        <c:axId val="2138776056"/>
        <c:scaling>
          <c:orientation val="minMax"/>
        </c:scaling>
        <c:delete val="0"/>
        <c:axPos val="b"/>
        <c:numFmt formatCode="[$-409]m/d/yyyy" sourceLinked="1"/>
        <c:majorTickMark val="out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138915688"/>
        <c:crosses val="autoZero"/>
        <c:auto val="1"/>
        <c:lblOffset val="100"/>
        <c:baseTimeUnit val="days"/>
      </c:date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xMode val="edge"/>
          <c:yMode val="edge"/>
          <c:x val="5.8496266495515099E-3"/>
          <c:y val="0.14123797025371801"/>
          <c:w val="0.94087089014469605"/>
          <c:h val="0.8492351997666960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strRef>
              <c:f>EPT_density_over_time!$I$2:$I$16</c:f>
              <c:strCache>
                <c:ptCount val="15"/>
                <c:pt idx="0">
                  <c:v>Lower Flood Plain</c:v>
                </c:pt>
                <c:pt idx="1">
                  <c:v>5/1/2014</c:v>
                </c:pt>
                <c:pt idx="2">
                  <c:v>5/9/2014</c:v>
                </c:pt>
                <c:pt idx="3">
                  <c:v>5/13/2014</c:v>
                </c:pt>
                <c:pt idx="4">
                  <c:v>5/15/2014</c:v>
                </c:pt>
                <c:pt idx="6">
                  <c:v>Middle Flood Plain</c:v>
                </c:pt>
                <c:pt idx="7">
                  <c:v>5/9/2014</c:v>
                </c:pt>
                <c:pt idx="8">
                  <c:v>13-May</c:v>
                </c:pt>
                <c:pt idx="10">
                  <c:v>Upper Flood Plain</c:v>
                </c:pt>
                <c:pt idx="11">
                  <c:v>5/1/2014</c:v>
                </c:pt>
                <c:pt idx="12">
                  <c:v>5/9/2014</c:v>
                </c:pt>
                <c:pt idx="13">
                  <c:v>5/13/2014</c:v>
                </c:pt>
                <c:pt idx="14">
                  <c:v>5/15/2014</c:v>
                </c:pt>
              </c:strCache>
            </c:strRef>
          </c:cat>
          <c:val>
            <c:numRef>
              <c:f>EPT_density_over_time!$J$2:$J$16</c:f>
              <c:numCache>
                <c:formatCode>[$-409]General</c:formatCode>
                <c:ptCount val="15"/>
                <c:pt idx="1">
                  <c:v>0.16800097040271714</c:v>
                </c:pt>
                <c:pt idx="2">
                  <c:v>0.12507507507507507</c:v>
                </c:pt>
                <c:pt idx="3">
                  <c:v>8.9379600420609884E-2</c:v>
                </c:pt>
                <c:pt idx="4">
                  <c:v>0.14183006535947712</c:v>
                </c:pt>
                <c:pt idx="7">
                  <c:v>0.19241192411924118</c:v>
                </c:pt>
                <c:pt idx="8">
                  <c:v>0.30606324340005803</c:v>
                </c:pt>
                <c:pt idx="11">
                  <c:v>0.10564044519901905</c:v>
                </c:pt>
                <c:pt idx="12">
                  <c:v>0.30570252792475017</c:v>
                </c:pt>
                <c:pt idx="13">
                  <c:v>0.14583333333333334</c:v>
                </c:pt>
                <c:pt idx="14">
                  <c:v>0.18066847335140018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5A-B24F-BB56-848014485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380760"/>
        <c:axId val="-2114384472"/>
      </c:lineChart>
      <c:valAx>
        <c:axId val="-211438447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[$-409]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-2114380760"/>
        <c:crosses val="autoZero"/>
        <c:crossBetween val="between"/>
      </c:valAx>
      <c:catAx>
        <c:axId val="-211438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-211438447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EPTDM densities over 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"/>
          <c:y val="0.13150206294003799"/>
          <c:w val="0.98322740656302898"/>
          <c:h val="0.65582049615563598"/>
        </c:manualLayout>
      </c:layout>
      <c:lineChart>
        <c:grouping val="standard"/>
        <c:varyColors val="0"/>
        <c:ser>
          <c:idx val="0"/>
          <c:order val="0"/>
          <c:tx>
            <c:strRef>
              <c:f>EPT_density_over_time!$B$1:$B$1</c:f>
              <c:strCache>
                <c:ptCount val="1"/>
                <c:pt idx="0">
                  <c:v>Ephemeroptera</c:v>
                </c:pt>
              </c:strCache>
            </c:strRef>
          </c:tx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strRef>
              <c:f>EPT_density_over_time!$A$2:$A$23</c:f>
              <c:strCache>
                <c:ptCount val="22"/>
                <c:pt idx="0">
                  <c:v>4/4/2014</c:v>
                </c:pt>
                <c:pt idx="1">
                  <c:v>4/14/2014</c:v>
                </c:pt>
                <c:pt idx="2">
                  <c:v>5/1/2014</c:v>
                </c:pt>
                <c:pt idx="3">
                  <c:v>5/9/2014</c:v>
                </c:pt>
                <c:pt idx="4">
                  <c:v>5/13/2014</c:v>
                </c:pt>
                <c:pt idx="5">
                  <c:v>5/15/2014</c:v>
                </c:pt>
                <c:pt idx="6">
                  <c:v>6/30/2014</c:v>
                </c:pt>
                <c:pt idx="9">
                  <c:v>Lower Side</c:v>
                </c:pt>
                <c:pt idx="10">
                  <c:v>4-Apr</c:v>
                </c:pt>
                <c:pt idx="11">
                  <c:v>4/14/2014</c:v>
                </c:pt>
                <c:pt idx="12">
                  <c:v>5/22/2014</c:v>
                </c:pt>
                <c:pt idx="13">
                  <c:v>6/30/2014</c:v>
                </c:pt>
                <c:pt idx="16">
                  <c:v>Top Side</c:v>
                </c:pt>
                <c:pt idx="17">
                  <c:v>4/4/2014</c:v>
                </c:pt>
                <c:pt idx="18">
                  <c:v>4/9/2014</c:v>
                </c:pt>
                <c:pt idx="19">
                  <c:v>4/14/2014</c:v>
                </c:pt>
                <c:pt idx="20">
                  <c:v>22-May</c:v>
                </c:pt>
                <c:pt idx="21">
                  <c:v>6/30/2014</c:v>
                </c:pt>
              </c:strCache>
            </c:strRef>
          </c:cat>
          <c:val>
            <c:numRef>
              <c:f>EPT_density_over_time!$B$9:$B$23</c:f>
              <c:numCache>
                <c:formatCode>General</c:formatCode>
                <c:ptCount val="15"/>
                <c:pt idx="2">
                  <c:v>0</c:v>
                </c:pt>
                <c:pt idx="3">
                  <c:v>9.8199672667757767E-2</c:v>
                </c:pt>
                <c:pt idx="4">
                  <c:v>3.6523009495982471E-3</c:v>
                </c:pt>
                <c:pt idx="5">
                  <c:v>1.614987080103359E-2</c:v>
                </c:pt>
                <c:pt idx="6">
                  <c:v>3.968253968253968E-2</c:v>
                </c:pt>
                <c:pt idx="9">
                  <c:v>0</c:v>
                </c:pt>
                <c:pt idx="10">
                  <c:v>2.02991452991453E-2</c:v>
                </c:pt>
                <c:pt idx="11">
                  <c:v>1.5179113539769277E-2</c:v>
                </c:pt>
                <c:pt idx="12">
                  <c:v>1.2315270935960591E-3</c:v>
                </c:pt>
                <c:pt idx="13">
                  <c:v>1.5549901046084252E-2</c:v>
                </c:pt>
                <c:pt idx="14">
                  <c:v>1.1574074074074073E-2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5-1C42-8D9C-4324E99A8F94}"/>
            </c:ext>
          </c:extLst>
        </c:ser>
        <c:ser>
          <c:idx val="1"/>
          <c:order val="1"/>
          <c:tx>
            <c:strRef>
              <c:f>EPT_density_over_time!$C$1:$C$1</c:f>
              <c:strCache>
                <c:ptCount val="1"/>
                <c:pt idx="0">
                  <c:v>Plecoptera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strRef>
              <c:f>EPT_density_over_time!$A$2:$A$23</c:f>
              <c:strCache>
                <c:ptCount val="22"/>
                <c:pt idx="0">
                  <c:v>4/4/2014</c:v>
                </c:pt>
                <c:pt idx="1">
                  <c:v>4/14/2014</c:v>
                </c:pt>
                <c:pt idx="2">
                  <c:v>5/1/2014</c:v>
                </c:pt>
                <c:pt idx="3">
                  <c:v>5/9/2014</c:v>
                </c:pt>
                <c:pt idx="4">
                  <c:v>5/13/2014</c:v>
                </c:pt>
                <c:pt idx="5">
                  <c:v>5/15/2014</c:v>
                </c:pt>
                <c:pt idx="6">
                  <c:v>6/30/2014</c:v>
                </c:pt>
                <c:pt idx="9">
                  <c:v>Lower Side</c:v>
                </c:pt>
                <c:pt idx="10">
                  <c:v>4-Apr</c:v>
                </c:pt>
                <c:pt idx="11">
                  <c:v>4/14/2014</c:v>
                </c:pt>
                <c:pt idx="12">
                  <c:v>5/22/2014</c:v>
                </c:pt>
                <c:pt idx="13">
                  <c:v>6/30/2014</c:v>
                </c:pt>
                <c:pt idx="16">
                  <c:v>Top Side</c:v>
                </c:pt>
                <c:pt idx="17">
                  <c:v>4/4/2014</c:v>
                </c:pt>
                <c:pt idx="18">
                  <c:v>4/9/2014</c:v>
                </c:pt>
                <c:pt idx="19">
                  <c:v>4/14/2014</c:v>
                </c:pt>
                <c:pt idx="20">
                  <c:v>22-May</c:v>
                </c:pt>
                <c:pt idx="21">
                  <c:v>6/30/2014</c:v>
                </c:pt>
              </c:strCache>
            </c:strRef>
          </c:cat>
          <c:val>
            <c:numRef>
              <c:f>EPT_density_over_time!$C$2:$C$23</c:f>
              <c:numCache>
                <c:formatCode>General</c:formatCode>
                <c:ptCount val="22"/>
                <c:pt idx="0">
                  <c:v>0</c:v>
                </c:pt>
                <c:pt idx="1">
                  <c:v>4.9472621851067607E-3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9">
                  <c:v>0</c:v>
                </c:pt>
                <c:pt idx="10">
                  <c:v>2.7277686852154939E-3</c:v>
                </c:pt>
                <c:pt idx="11">
                  <c:v>0</c:v>
                </c:pt>
                <c:pt idx="12">
                  <c:v>4.6142488002953123E-3</c:v>
                </c:pt>
                <c:pt idx="13">
                  <c:v>9.9206349206349201E-3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5.4734537493158185E-4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25-1C42-8D9C-4324E99A8F94}"/>
            </c:ext>
          </c:extLst>
        </c:ser>
        <c:ser>
          <c:idx val="2"/>
          <c:order val="2"/>
          <c:tx>
            <c:strRef>
              <c:f>EPT_density_over_time!$D$1:$D$1</c:f>
              <c:strCache>
                <c:ptCount val="1"/>
                <c:pt idx="0">
                  <c:v>Tricoptera</c:v>
                </c:pt>
              </c:strCache>
            </c:strRef>
          </c:tx>
          <c:spPr>
            <a:ln w="28575" cap="rnd">
              <a:solidFill>
                <a:srgbClr val="A5A5A5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strRef>
              <c:f>EPT_density_over_time!$A$2:$A$23</c:f>
              <c:strCache>
                <c:ptCount val="22"/>
                <c:pt idx="0">
                  <c:v>4/4/2014</c:v>
                </c:pt>
                <c:pt idx="1">
                  <c:v>4/14/2014</c:v>
                </c:pt>
                <c:pt idx="2">
                  <c:v>5/1/2014</c:v>
                </c:pt>
                <c:pt idx="3">
                  <c:v>5/9/2014</c:v>
                </c:pt>
                <c:pt idx="4">
                  <c:v>5/13/2014</c:v>
                </c:pt>
                <c:pt idx="5">
                  <c:v>5/15/2014</c:v>
                </c:pt>
                <c:pt idx="6">
                  <c:v>6/30/2014</c:v>
                </c:pt>
                <c:pt idx="9">
                  <c:v>Lower Side</c:v>
                </c:pt>
                <c:pt idx="10">
                  <c:v>4-Apr</c:v>
                </c:pt>
                <c:pt idx="11">
                  <c:v>4/14/2014</c:v>
                </c:pt>
                <c:pt idx="12">
                  <c:v>5/22/2014</c:v>
                </c:pt>
                <c:pt idx="13">
                  <c:v>6/30/2014</c:v>
                </c:pt>
                <c:pt idx="16">
                  <c:v>Top Side</c:v>
                </c:pt>
                <c:pt idx="17">
                  <c:v>4/4/2014</c:v>
                </c:pt>
                <c:pt idx="18">
                  <c:v>4/9/2014</c:v>
                </c:pt>
                <c:pt idx="19">
                  <c:v>4/14/2014</c:v>
                </c:pt>
                <c:pt idx="20">
                  <c:v>22-May</c:v>
                </c:pt>
                <c:pt idx="21">
                  <c:v>6/30/2014</c:v>
                </c:pt>
              </c:strCache>
            </c:strRef>
          </c:cat>
          <c:val>
            <c:numRef>
              <c:f>EPT_density_over_time!$D$2:$D$23</c:f>
              <c:numCache>
                <c:formatCode>General</c:formatCode>
                <c:ptCount val="22"/>
                <c:pt idx="0">
                  <c:v>2.6304713804713806E-3</c:v>
                </c:pt>
                <c:pt idx="1">
                  <c:v>3.9578097480854092E-3</c:v>
                </c:pt>
                <c:pt idx="2">
                  <c:v>0</c:v>
                </c:pt>
                <c:pt idx="3">
                  <c:v>2.4029219530949636E-2</c:v>
                </c:pt>
                <c:pt idx="4">
                  <c:v>9.8970704671417255E-3</c:v>
                </c:pt>
                <c:pt idx="5">
                  <c:v>1.53298994358597E-3</c:v>
                </c:pt>
                <c:pt idx="6">
                  <c:v>1.3227513227513227E-2</c:v>
                </c:pt>
                <c:pt idx="9">
                  <c:v>0</c:v>
                </c:pt>
                <c:pt idx="10">
                  <c:v>5.4555373704309879E-3</c:v>
                </c:pt>
                <c:pt idx="11">
                  <c:v>5.4784514243973702E-3</c:v>
                </c:pt>
                <c:pt idx="12">
                  <c:v>9.2284976005906245E-3</c:v>
                </c:pt>
                <c:pt idx="13">
                  <c:v>5.7539682539682536E-2</c:v>
                </c:pt>
                <c:pt idx="16">
                  <c:v>0</c:v>
                </c:pt>
                <c:pt idx="17">
                  <c:v>1.0683760683760685E-3</c:v>
                </c:pt>
                <c:pt idx="18">
                  <c:v>7.5895567698846386E-3</c:v>
                </c:pt>
                <c:pt idx="19">
                  <c:v>2.4286581663630845E-3</c:v>
                </c:pt>
                <c:pt idx="20">
                  <c:v>3.5340684195646027E-3</c:v>
                </c:pt>
                <c:pt idx="21">
                  <c:v>3.7037037037037035E-2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25-1C42-8D9C-4324E99A8F94}"/>
            </c:ext>
          </c:extLst>
        </c:ser>
        <c:ser>
          <c:idx val="3"/>
          <c:order val="3"/>
          <c:tx>
            <c:strRef>
              <c:f>EPT_density_over_time!$E$1:$E$1</c:f>
              <c:strCache>
                <c:ptCount val="1"/>
                <c:pt idx="0">
                  <c:v>Diptera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strRef>
              <c:f>EPT_density_over_time!$A$2:$A$23</c:f>
              <c:strCache>
                <c:ptCount val="22"/>
                <c:pt idx="0">
                  <c:v>4/4/2014</c:v>
                </c:pt>
                <c:pt idx="1">
                  <c:v>4/14/2014</c:v>
                </c:pt>
                <c:pt idx="2">
                  <c:v>5/1/2014</c:v>
                </c:pt>
                <c:pt idx="3">
                  <c:v>5/9/2014</c:v>
                </c:pt>
                <c:pt idx="4">
                  <c:v>5/13/2014</c:v>
                </c:pt>
                <c:pt idx="5">
                  <c:v>5/15/2014</c:v>
                </c:pt>
                <c:pt idx="6">
                  <c:v>6/30/2014</c:v>
                </c:pt>
                <c:pt idx="9">
                  <c:v>Lower Side</c:v>
                </c:pt>
                <c:pt idx="10">
                  <c:v>4-Apr</c:v>
                </c:pt>
                <c:pt idx="11">
                  <c:v>4/14/2014</c:v>
                </c:pt>
                <c:pt idx="12">
                  <c:v>5/22/2014</c:v>
                </c:pt>
                <c:pt idx="13">
                  <c:v>6/30/2014</c:v>
                </c:pt>
                <c:pt idx="16">
                  <c:v>Top Side</c:v>
                </c:pt>
                <c:pt idx="17">
                  <c:v>4/4/2014</c:v>
                </c:pt>
                <c:pt idx="18">
                  <c:v>4/9/2014</c:v>
                </c:pt>
                <c:pt idx="19">
                  <c:v>4/14/2014</c:v>
                </c:pt>
                <c:pt idx="20">
                  <c:v>22-May</c:v>
                </c:pt>
                <c:pt idx="21">
                  <c:v>6/30/2014</c:v>
                </c:pt>
              </c:strCache>
            </c:strRef>
          </c:cat>
          <c:val>
            <c:numRef>
              <c:f>EPT_density_over_time!$E$2:$E$23</c:f>
              <c:numCache>
                <c:formatCode>General</c:formatCode>
                <c:ptCount val="22"/>
                <c:pt idx="0">
                  <c:v>0.42350589225589225</c:v>
                </c:pt>
                <c:pt idx="1">
                  <c:v>3.7599192606811382E-2</c:v>
                </c:pt>
                <c:pt idx="2">
                  <c:v>5.8873902804538643E-2</c:v>
                </c:pt>
                <c:pt idx="3">
                  <c:v>0.24509803921568626</c:v>
                </c:pt>
                <c:pt idx="4">
                  <c:v>0.17154922143045659</c:v>
                </c:pt>
                <c:pt idx="5">
                  <c:v>7.8182487122884475E-2</c:v>
                </c:pt>
                <c:pt idx="6">
                  <c:v>0.35493827160493829</c:v>
                </c:pt>
                <c:pt idx="9">
                  <c:v>0</c:v>
                </c:pt>
                <c:pt idx="10">
                  <c:v>0.19639934533551553</c:v>
                </c:pt>
                <c:pt idx="11">
                  <c:v>0.10591672753834916</c:v>
                </c:pt>
                <c:pt idx="12">
                  <c:v>0.12227759320782576</c:v>
                </c:pt>
                <c:pt idx="13">
                  <c:v>0.16468253968253968</c:v>
                </c:pt>
                <c:pt idx="16">
                  <c:v>0</c:v>
                </c:pt>
                <c:pt idx="17">
                  <c:v>0.21474358974358973</c:v>
                </c:pt>
                <c:pt idx="18">
                  <c:v>1.6697024893746207E-2</c:v>
                </c:pt>
                <c:pt idx="19">
                  <c:v>9.1680350301039954E-3</c:v>
                </c:pt>
                <c:pt idx="20">
                  <c:v>8.8351710489115068E-2</c:v>
                </c:pt>
                <c:pt idx="21">
                  <c:v>6.1342592592592594E-2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25-1C42-8D9C-4324E99A8F94}"/>
            </c:ext>
          </c:extLst>
        </c:ser>
        <c:ser>
          <c:idx val="4"/>
          <c:order val="4"/>
          <c:tx>
            <c:strRef>
              <c:f>EPT_density_over_time!$F$1:$F$1</c:f>
              <c:strCache>
                <c:ptCount val="1"/>
                <c:pt idx="0">
                  <c:v>Microcrustacea</c:v>
                </c:pt>
              </c:strCache>
            </c:strRef>
          </c:tx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strRef>
              <c:f>EPT_density_over_time!$A$2:$A$23</c:f>
              <c:strCache>
                <c:ptCount val="22"/>
                <c:pt idx="0">
                  <c:v>4/4/2014</c:v>
                </c:pt>
                <c:pt idx="1">
                  <c:v>4/14/2014</c:v>
                </c:pt>
                <c:pt idx="2">
                  <c:v>5/1/2014</c:v>
                </c:pt>
                <c:pt idx="3">
                  <c:v>5/9/2014</c:v>
                </c:pt>
                <c:pt idx="4">
                  <c:v>5/13/2014</c:v>
                </c:pt>
                <c:pt idx="5">
                  <c:v>5/15/2014</c:v>
                </c:pt>
                <c:pt idx="6">
                  <c:v>6/30/2014</c:v>
                </c:pt>
                <c:pt idx="9">
                  <c:v>Lower Side</c:v>
                </c:pt>
                <c:pt idx="10">
                  <c:v>4-Apr</c:v>
                </c:pt>
                <c:pt idx="11">
                  <c:v>4/14/2014</c:v>
                </c:pt>
                <c:pt idx="12">
                  <c:v>5/22/2014</c:v>
                </c:pt>
                <c:pt idx="13">
                  <c:v>6/30/2014</c:v>
                </c:pt>
                <c:pt idx="16">
                  <c:v>Top Side</c:v>
                </c:pt>
                <c:pt idx="17">
                  <c:v>4/4/2014</c:v>
                </c:pt>
                <c:pt idx="18">
                  <c:v>4/9/2014</c:v>
                </c:pt>
                <c:pt idx="19">
                  <c:v>4/14/2014</c:v>
                </c:pt>
                <c:pt idx="20">
                  <c:v>22-May</c:v>
                </c:pt>
                <c:pt idx="21">
                  <c:v>6/30/2014</c:v>
                </c:pt>
              </c:strCache>
            </c:strRef>
          </c:cat>
          <c:val>
            <c:numRef>
              <c:f>EPT_density_over_time!$F$2:$F$23</c:f>
              <c:numCache>
                <c:formatCode>General</c:formatCode>
                <c:ptCount val="22"/>
                <c:pt idx="0">
                  <c:v>8.9436026936026938E-2</c:v>
                </c:pt>
                <c:pt idx="1">
                  <c:v>9.3503255298517787E-2</c:v>
                </c:pt>
                <c:pt idx="2">
                  <c:v>0.87240419610361808</c:v>
                </c:pt>
                <c:pt idx="3">
                  <c:v>0.28835063437139563</c:v>
                </c:pt>
                <c:pt idx="4">
                  <c:v>0.35629453681710216</c:v>
                </c:pt>
                <c:pt idx="5">
                  <c:v>8.4314446897228348E-2</c:v>
                </c:pt>
                <c:pt idx="6">
                  <c:v>1.3227513227513227E-2</c:v>
                </c:pt>
                <c:pt idx="9">
                  <c:v>0</c:v>
                </c:pt>
                <c:pt idx="10">
                  <c:v>1.9094380796508457E-2</c:v>
                </c:pt>
                <c:pt idx="11">
                  <c:v>0.12235208181154127</c:v>
                </c:pt>
                <c:pt idx="12">
                  <c:v>0.30915466961978588</c:v>
                </c:pt>
                <c:pt idx="13">
                  <c:v>4.96031746031746E-2</c:v>
                </c:pt>
                <c:pt idx="16">
                  <c:v>0</c:v>
                </c:pt>
                <c:pt idx="17">
                  <c:v>9.6153846153846159E-3</c:v>
                </c:pt>
                <c:pt idx="18">
                  <c:v>7.2100789313904068E-2</c:v>
                </c:pt>
                <c:pt idx="19">
                  <c:v>3.3388067870826495E-2</c:v>
                </c:pt>
                <c:pt idx="20">
                  <c:v>3.3220243143907265E-2</c:v>
                </c:pt>
                <c:pt idx="21">
                  <c:v>0.10879629629629629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25-1C42-8D9C-4324E99A8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320056"/>
        <c:axId val="-2114323896"/>
      </c:lineChart>
      <c:valAx>
        <c:axId val="-211432389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-2114320056"/>
        <c:crosses val="autoZero"/>
        <c:crossBetween val="between"/>
      </c:valAx>
      <c:catAx>
        <c:axId val="-2114320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-211432389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Drift Density</a:t>
            </a:r>
            <a:b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</a:b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 for Main and Side Channel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EPT_density_over_time!$B$25:$B$25</c:f>
              <c:strCache>
                <c:ptCount val="1"/>
                <c:pt idx="0">
                  <c:v>total avg density</c:v>
                </c:pt>
              </c:strCache>
            </c:strRef>
          </c:tx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strRef>
              <c:f>EPT_density_over_time!$A$26:$A$47</c:f>
              <c:strCache>
                <c:ptCount val="22"/>
                <c:pt idx="0">
                  <c:v>4/4/2014</c:v>
                </c:pt>
                <c:pt idx="1">
                  <c:v>4/14/2014</c:v>
                </c:pt>
                <c:pt idx="2">
                  <c:v>5/1/2014</c:v>
                </c:pt>
                <c:pt idx="3">
                  <c:v>5/9/2014</c:v>
                </c:pt>
                <c:pt idx="4">
                  <c:v>5/13/2014</c:v>
                </c:pt>
                <c:pt idx="5">
                  <c:v>5/15/2014</c:v>
                </c:pt>
                <c:pt idx="6">
                  <c:v>6/30/2014</c:v>
                </c:pt>
                <c:pt idx="9">
                  <c:v>Lower Side</c:v>
                </c:pt>
                <c:pt idx="10">
                  <c:v>4-Apr</c:v>
                </c:pt>
                <c:pt idx="11">
                  <c:v>4/14/2014</c:v>
                </c:pt>
                <c:pt idx="12">
                  <c:v>5/22/2014</c:v>
                </c:pt>
                <c:pt idx="13">
                  <c:v>6/30/2014</c:v>
                </c:pt>
                <c:pt idx="16">
                  <c:v>Top Side</c:v>
                </c:pt>
                <c:pt idx="17">
                  <c:v>4/4/2014</c:v>
                </c:pt>
                <c:pt idx="18">
                  <c:v>4/9/2014</c:v>
                </c:pt>
                <c:pt idx="19">
                  <c:v>4/14/2014</c:v>
                </c:pt>
                <c:pt idx="20">
                  <c:v>22-May</c:v>
                </c:pt>
                <c:pt idx="21">
                  <c:v>6/30/2014</c:v>
                </c:pt>
              </c:strCache>
            </c:strRef>
          </c:cat>
          <c:val>
            <c:numRef>
              <c:f>EPT_density_over_time!$B$26:$B$47</c:f>
              <c:numCache>
                <c:formatCode>[$-409]General</c:formatCode>
                <c:ptCount val="22"/>
                <c:pt idx="0">
                  <c:v>0.66813973063973064</c:v>
                </c:pt>
                <c:pt idx="1">
                  <c:v>0.39285219559495776</c:v>
                </c:pt>
                <c:pt idx="2">
                  <c:v>1.0918432883750804</c:v>
                </c:pt>
                <c:pt idx="3">
                  <c:v>0.97078046905036519</c:v>
                </c:pt>
                <c:pt idx="4">
                  <c:v>0.74228028503562948</c:v>
                </c:pt>
                <c:pt idx="5">
                  <c:v>0.36019131714495956</c:v>
                </c:pt>
                <c:pt idx="6">
                  <c:v>0.5092592592592593</c:v>
                </c:pt>
                <c:pt idx="10">
                  <c:v>0.80378250591016553</c:v>
                </c:pt>
                <c:pt idx="11">
                  <c:v>0.37070854638422207</c:v>
                </c:pt>
                <c:pt idx="12">
                  <c:v>0.50526024363233668</c:v>
                </c:pt>
                <c:pt idx="13">
                  <c:v>0.40476190476190477</c:v>
                </c:pt>
                <c:pt idx="17">
                  <c:v>0.28311965811965811</c:v>
                </c:pt>
                <c:pt idx="18">
                  <c:v>0.38137522768670312</c:v>
                </c:pt>
                <c:pt idx="19">
                  <c:v>0.12287903667214012</c:v>
                </c:pt>
                <c:pt idx="20">
                  <c:v>0.18306474413344642</c:v>
                </c:pt>
                <c:pt idx="21">
                  <c:v>0.28587962962962965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62-8342-BF1B-30DDCBBBA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287304"/>
        <c:axId val="-2114291128"/>
      </c:lineChart>
      <c:valAx>
        <c:axId val="-2114291128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[$-409]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-2114287304"/>
        <c:crosses val="autoZero"/>
        <c:crossBetween val="between"/>
      </c:valAx>
      <c:catAx>
        <c:axId val="-2114287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-211429112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EPTDM densities over time</a:t>
            </a:r>
            <a:b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</a:br>
            <a:endParaRPr lang="en-US" sz="1400" b="0" i="0" u="none" strike="noStrike" kern="1200" cap="none" spc="0" baseline="0">
              <a:solidFill>
                <a:srgbClr val="595959"/>
              </a:solidFill>
              <a:uFillTx/>
              <a:latin typeface="Calibri"/>
            </a:endParaRP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EPT_density_over_time!$M$46:$M$46</c:f>
              <c:strCache>
                <c:ptCount val="1"/>
                <c:pt idx="0">
                  <c:v>Ephemeroptera</c:v>
                </c:pt>
              </c:strCache>
            </c:strRef>
          </c:tx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strRef>
              <c:f>EPT_density_over_time!$L$47:$L$60</c:f>
              <c:strCache>
                <c:ptCount val="14"/>
                <c:pt idx="0">
                  <c:v>5/1/2014</c:v>
                </c:pt>
                <c:pt idx="1">
                  <c:v>5/9/2014</c:v>
                </c:pt>
                <c:pt idx="2">
                  <c:v>5/13/2014</c:v>
                </c:pt>
                <c:pt idx="3">
                  <c:v>5/15/2014</c:v>
                </c:pt>
                <c:pt idx="5">
                  <c:v>Middle Flood Plain</c:v>
                </c:pt>
                <c:pt idx="6">
                  <c:v>5/9/2014</c:v>
                </c:pt>
                <c:pt idx="7">
                  <c:v>13-May</c:v>
                </c:pt>
                <c:pt idx="9">
                  <c:v>Upper Flood Plain</c:v>
                </c:pt>
                <c:pt idx="10">
                  <c:v>5/1/2014</c:v>
                </c:pt>
                <c:pt idx="11">
                  <c:v>5/9/2014</c:v>
                </c:pt>
                <c:pt idx="12">
                  <c:v>5/13/2014</c:v>
                </c:pt>
                <c:pt idx="13">
                  <c:v>5/15/2014</c:v>
                </c:pt>
              </c:strCache>
            </c:strRef>
          </c:cat>
          <c:val>
            <c:numRef>
              <c:f>EPT_density_over_time!$M$47:$M$60</c:f>
              <c:numCache>
                <c:formatCode>[$-409]General</c:formatCode>
                <c:ptCount val="14"/>
                <c:pt idx="0">
                  <c:v>7.2780203784570596E-3</c:v>
                </c:pt>
                <c:pt idx="1">
                  <c:v>2.002002002002002E-3</c:v>
                </c:pt>
                <c:pt idx="2">
                  <c:v>4.3813529617946022E-4</c:v>
                </c:pt>
                <c:pt idx="3">
                  <c:v>6.5359477124183009E-3</c:v>
                </c:pt>
                <c:pt idx="6">
                  <c:v>9.0334236675700102E-3</c:v>
                </c:pt>
                <c:pt idx="7">
                  <c:v>4.3516100957354219E-3</c:v>
                </c:pt>
                <c:pt idx="10">
                  <c:v>5.6593095642331632E-3</c:v>
                </c:pt>
                <c:pt idx="11">
                  <c:v>1.0288065843621399E-2</c:v>
                </c:pt>
                <c:pt idx="12">
                  <c:v>4.340277777777778E-3</c:v>
                </c:pt>
                <c:pt idx="13">
                  <c:v>3.3875338753387531E-2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A8-D14B-995C-EBB0C1CF6928}"/>
            </c:ext>
          </c:extLst>
        </c:ser>
        <c:ser>
          <c:idx val="1"/>
          <c:order val="1"/>
          <c:tx>
            <c:strRef>
              <c:f>EPT_density_over_time!$N$46:$N$46</c:f>
              <c:strCache>
                <c:ptCount val="1"/>
                <c:pt idx="0">
                  <c:v>Plecoptera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strRef>
              <c:f>EPT_density_over_time!$L$47:$L$60</c:f>
              <c:strCache>
                <c:ptCount val="14"/>
                <c:pt idx="0">
                  <c:v>5/1/2014</c:v>
                </c:pt>
                <c:pt idx="1">
                  <c:v>5/9/2014</c:v>
                </c:pt>
                <c:pt idx="2">
                  <c:v>5/13/2014</c:v>
                </c:pt>
                <c:pt idx="3">
                  <c:v>5/15/2014</c:v>
                </c:pt>
                <c:pt idx="5">
                  <c:v>Middle Flood Plain</c:v>
                </c:pt>
                <c:pt idx="6">
                  <c:v>5/9/2014</c:v>
                </c:pt>
                <c:pt idx="7">
                  <c:v>13-May</c:v>
                </c:pt>
                <c:pt idx="9">
                  <c:v>Upper Flood Plain</c:v>
                </c:pt>
                <c:pt idx="10">
                  <c:v>5/1/2014</c:v>
                </c:pt>
                <c:pt idx="11">
                  <c:v>5/9/2014</c:v>
                </c:pt>
                <c:pt idx="12">
                  <c:v>5/13/2014</c:v>
                </c:pt>
                <c:pt idx="13">
                  <c:v>5/15/2014</c:v>
                </c:pt>
              </c:strCache>
            </c:strRef>
          </c:cat>
          <c:val>
            <c:numRef>
              <c:f>EPT_density_over_time!$N$47:$N$60</c:f>
              <c:numCache>
                <c:formatCode>[$-409]General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6">
                  <c:v>0</c:v>
                </c:pt>
                <c:pt idx="7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7.5278530563083407E-4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A8-D14B-995C-EBB0C1CF6928}"/>
            </c:ext>
          </c:extLst>
        </c:ser>
        <c:ser>
          <c:idx val="2"/>
          <c:order val="2"/>
          <c:tx>
            <c:strRef>
              <c:f>EPT_density_over_time!$O$46:$O$46</c:f>
              <c:strCache>
                <c:ptCount val="1"/>
                <c:pt idx="0">
                  <c:v>Tricoptera</c:v>
                </c:pt>
              </c:strCache>
            </c:strRef>
          </c:tx>
          <c:spPr>
            <a:ln w="28575" cap="rnd">
              <a:solidFill>
                <a:srgbClr val="A5A5A5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strRef>
              <c:f>EPT_density_over_time!$L$47:$L$60</c:f>
              <c:strCache>
                <c:ptCount val="14"/>
                <c:pt idx="0">
                  <c:v>5/1/2014</c:v>
                </c:pt>
                <c:pt idx="1">
                  <c:v>5/9/2014</c:v>
                </c:pt>
                <c:pt idx="2">
                  <c:v>5/13/2014</c:v>
                </c:pt>
                <c:pt idx="3">
                  <c:v>5/15/2014</c:v>
                </c:pt>
                <c:pt idx="5">
                  <c:v>Middle Flood Plain</c:v>
                </c:pt>
                <c:pt idx="6">
                  <c:v>5/9/2014</c:v>
                </c:pt>
                <c:pt idx="7">
                  <c:v>13-May</c:v>
                </c:pt>
                <c:pt idx="9">
                  <c:v>Upper Flood Plain</c:v>
                </c:pt>
                <c:pt idx="10">
                  <c:v>5/1/2014</c:v>
                </c:pt>
                <c:pt idx="11">
                  <c:v>5/9/2014</c:v>
                </c:pt>
                <c:pt idx="12">
                  <c:v>5/13/2014</c:v>
                </c:pt>
                <c:pt idx="13">
                  <c:v>5/15/2014</c:v>
                </c:pt>
              </c:strCache>
            </c:strRef>
          </c:cat>
          <c:val>
            <c:numRef>
              <c:f>EPT_density_over_time!$O$47:$O$60</c:f>
              <c:numCache>
                <c:formatCode>[$-409]General</c:formatCode>
                <c:ptCount val="14"/>
                <c:pt idx="0">
                  <c:v>6.0650169820475493E-4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6">
                  <c:v>9.0334236675700097E-4</c:v>
                </c:pt>
                <c:pt idx="7">
                  <c:v>2.9010733971569481E-3</c:v>
                </c:pt>
                <c:pt idx="10">
                  <c:v>9.4321826070552727E-4</c:v>
                </c:pt>
                <c:pt idx="11">
                  <c:v>1.4697236919459142E-3</c:v>
                </c:pt>
                <c:pt idx="12">
                  <c:v>1.736111111111111E-3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A8-D14B-995C-EBB0C1CF6928}"/>
            </c:ext>
          </c:extLst>
        </c:ser>
        <c:ser>
          <c:idx val="3"/>
          <c:order val="3"/>
          <c:tx>
            <c:strRef>
              <c:f>EPT_density_over_time!$P$46:$P$46</c:f>
              <c:strCache>
                <c:ptCount val="1"/>
                <c:pt idx="0">
                  <c:v>Diptera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strRef>
              <c:f>EPT_density_over_time!$L$47:$L$60</c:f>
              <c:strCache>
                <c:ptCount val="14"/>
                <c:pt idx="0">
                  <c:v>5/1/2014</c:v>
                </c:pt>
                <c:pt idx="1">
                  <c:v>5/9/2014</c:v>
                </c:pt>
                <c:pt idx="2">
                  <c:v>5/13/2014</c:v>
                </c:pt>
                <c:pt idx="3">
                  <c:v>5/15/2014</c:v>
                </c:pt>
                <c:pt idx="5">
                  <c:v>Middle Flood Plain</c:v>
                </c:pt>
                <c:pt idx="6">
                  <c:v>5/9/2014</c:v>
                </c:pt>
                <c:pt idx="7">
                  <c:v>13-May</c:v>
                </c:pt>
                <c:pt idx="9">
                  <c:v>Upper Flood Plain</c:v>
                </c:pt>
                <c:pt idx="10">
                  <c:v>5/1/2014</c:v>
                </c:pt>
                <c:pt idx="11">
                  <c:v>5/9/2014</c:v>
                </c:pt>
                <c:pt idx="12">
                  <c:v>5/13/2014</c:v>
                </c:pt>
                <c:pt idx="13">
                  <c:v>5/15/2014</c:v>
                </c:pt>
              </c:strCache>
            </c:strRef>
          </c:cat>
          <c:val>
            <c:numRef>
              <c:f>EPT_density_over_time!$P$47:$P$60</c:f>
              <c:numCache>
                <c:formatCode>[$-409]General</c:formatCode>
                <c:ptCount val="14"/>
                <c:pt idx="0">
                  <c:v>2.8505579815623485E-2</c:v>
                </c:pt>
                <c:pt idx="1">
                  <c:v>5.5055055055055063E-3</c:v>
                </c:pt>
                <c:pt idx="2">
                  <c:v>3.85559060637925E-2</c:v>
                </c:pt>
                <c:pt idx="3">
                  <c:v>3.5294117647058823E-2</c:v>
                </c:pt>
                <c:pt idx="6">
                  <c:v>5.7813911472448062E-2</c:v>
                </c:pt>
                <c:pt idx="7">
                  <c:v>7.3977371627502175E-2</c:v>
                </c:pt>
                <c:pt idx="10">
                  <c:v>1.7921146953405017E-2</c:v>
                </c:pt>
                <c:pt idx="11">
                  <c:v>6.7607289829512057E-2</c:v>
                </c:pt>
                <c:pt idx="12">
                  <c:v>4.2534722222222224E-2</c:v>
                </c:pt>
                <c:pt idx="13">
                  <c:v>4.2908762420957543E-2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A8-D14B-995C-EBB0C1CF6928}"/>
            </c:ext>
          </c:extLst>
        </c:ser>
        <c:ser>
          <c:idx val="4"/>
          <c:order val="4"/>
          <c:tx>
            <c:strRef>
              <c:f>EPT_density_over_time!$Q$46:$Q$46</c:f>
              <c:strCache>
                <c:ptCount val="1"/>
                <c:pt idx="0">
                  <c:v>Microcrustacea</c:v>
                </c:pt>
              </c:strCache>
            </c:strRef>
          </c:tx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strRef>
              <c:f>EPT_density_over_time!$L$47:$L$60</c:f>
              <c:strCache>
                <c:ptCount val="14"/>
                <c:pt idx="0">
                  <c:v>5/1/2014</c:v>
                </c:pt>
                <c:pt idx="1">
                  <c:v>5/9/2014</c:v>
                </c:pt>
                <c:pt idx="2">
                  <c:v>5/13/2014</c:v>
                </c:pt>
                <c:pt idx="3">
                  <c:v>5/15/2014</c:v>
                </c:pt>
                <c:pt idx="5">
                  <c:v>Middle Flood Plain</c:v>
                </c:pt>
                <c:pt idx="6">
                  <c:v>5/9/2014</c:v>
                </c:pt>
                <c:pt idx="7">
                  <c:v>13-May</c:v>
                </c:pt>
                <c:pt idx="9">
                  <c:v>Upper Flood Plain</c:v>
                </c:pt>
                <c:pt idx="10">
                  <c:v>5/1/2014</c:v>
                </c:pt>
                <c:pt idx="11">
                  <c:v>5/9/2014</c:v>
                </c:pt>
                <c:pt idx="12">
                  <c:v>5/13/2014</c:v>
                </c:pt>
                <c:pt idx="13">
                  <c:v>5/15/2014</c:v>
                </c:pt>
              </c:strCache>
            </c:strRef>
          </c:cat>
          <c:val>
            <c:numRef>
              <c:f>EPT_density_over_time!$Q$47:$Q$60</c:f>
              <c:numCache>
                <c:formatCode>[$-409]General</c:formatCode>
                <c:ptCount val="14"/>
                <c:pt idx="0">
                  <c:v>7.4599708879184864E-2</c:v>
                </c:pt>
                <c:pt idx="1">
                  <c:v>2.3523523523523528E-2</c:v>
                </c:pt>
                <c:pt idx="2">
                  <c:v>2.6726253066947075E-2</c:v>
                </c:pt>
                <c:pt idx="3">
                  <c:v>5.3594771241830062E-2</c:v>
                </c:pt>
                <c:pt idx="6">
                  <c:v>2.6196928635953028E-2</c:v>
                </c:pt>
                <c:pt idx="7">
                  <c:v>0.1508558166521613</c:v>
                </c:pt>
                <c:pt idx="10">
                  <c:v>6.1309186945859274E-2</c:v>
                </c:pt>
                <c:pt idx="11">
                  <c:v>0.13668430335097001</c:v>
                </c:pt>
                <c:pt idx="12">
                  <c:v>8.5069444444444448E-2</c:v>
                </c:pt>
                <c:pt idx="13">
                  <c:v>7.0009033423667572E-2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A8-D14B-995C-EBB0C1CF6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225368"/>
        <c:axId val="-2114229208"/>
      </c:lineChart>
      <c:valAx>
        <c:axId val="-2114229208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[$-409]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-2114225368"/>
        <c:crosses val="autoZero"/>
        <c:crossBetween val="between"/>
      </c:valAx>
      <c:catAx>
        <c:axId val="-2114225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-211422920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3792279090113699"/>
          <c:y val="0.26215004374453199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image" Target="../media/image1.png"/><Relationship Id="rId1" Type="http://schemas.openxmlformats.org/officeDocument/2006/relationships/chart" Target="../charts/chart6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233357</xdr:colOff>
      <xdr:row>4</xdr:row>
      <xdr:rowOff>190499</xdr:rowOff>
    </xdr:from>
    <xdr:ext cx="6767518" cy="5476875"/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twoCellAnchor>
    <xdr:from>
      <xdr:col>10</xdr:col>
      <xdr:colOff>381000</xdr:colOff>
      <xdr:row>46</xdr:row>
      <xdr:rowOff>52387</xdr:rowOff>
    </xdr:from>
    <xdr:to>
      <xdr:col>17</xdr:col>
      <xdr:colOff>552450</xdr:colOff>
      <xdr:row>62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593381</xdr:colOff>
      <xdr:row>16</xdr:row>
      <xdr:rowOff>129204</xdr:rowOff>
    </xdr:from>
    <xdr:ext cx="5597316" cy="3318814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17</xdr:col>
      <xdr:colOff>585033</xdr:colOff>
      <xdr:row>39</xdr:row>
      <xdr:rowOff>63322</xdr:rowOff>
    </xdr:from>
    <xdr:ext cx="4646523" cy="2717322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30</xdr:col>
      <xdr:colOff>190496</xdr:colOff>
      <xdr:row>36</xdr:row>
      <xdr:rowOff>147639</xdr:rowOff>
    </xdr:from>
    <xdr:ext cx="4572000" cy="2743200"/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623885</xdr:colOff>
      <xdr:row>17</xdr:row>
      <xdr:rowOff>42857</xdr:rowOff>
    </xdr:from>
    <xdr:ext cx="4791071" cy="2743200"/>
    <xdr:grpSp>
      <xdr:nvGrpSpPr>
        <xdr:cNvPr id="2" name="Chart 5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7761285" y="3065457"/>
          <a:ext cx="4791071" cy="2743200"/>
          <a:chOff x="7758110" y="3119432"/>
          <a:chExt cx="4791071" cy="2743200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GraphicFramePr/>
        </xdr:nvGraphicFramePr>
        <xdr:xfrm>
          <a:off x="7758110" y="3119432"/>
          <a:ext cx="4791071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pic>
        <xdr:nvPicPr>
          <xdr:cNvPr id="4" name="chart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8965859" y="3167064"/>
            <a:ext cx="2459635" cy="384084"/>
          </a:xfrm>
          <a:prstGeom prst="rect">
            <a:avLst/>
          </a:prstGeom>
          <a:noFill/>
          <a:ln cap="flat">
            <a:noFill/>
          </a:ln>
        </xdr:spPr>
      </xdr:pic>
    </xdr:grpSp>
    <xdr:clientData/>
  </xdr:oneCellAnchor>
  <xdr:oneCellAnchor>
    <xdr:from>
      <xdr:col>2</xdr:col>
      <xdr:colOff>811072</xdr:colOff>
      <xdr:row>40</xdr:row>
      <xdr:rowOff>174970</xdr:rowOff>
    </xdr:from>
    <xdr:ext cx="4581939" cy="2761835"/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2</xdr:col>
      <xdr:colOff>668819</xdr:colOff>
      <xdr:row>25</xdr:row>
      <xdr:rowOff>38514</xdr:rowOff>
    </xdr:from>
    <xdr:ext cx="4572000" cy="2743200"/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16</xdr:col>
      <xdr:colOff>10770</xdr:colOff>
      <xdr:row>27</xdr:row>
      <xdr:rowOff>88900</xdr:rowOff>
    </xdr:from>
    <xdr:ext cx="5335929" cy="2986155"/>
    <xdr:graphicFrame macro="">
      <xdr:nvGraphicFramePr>
        <xdr:cNvPr id="6" name="Chart 4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328607</xdr:colOff>
      <xdr:row>4</xdr:row>
      <xdr:rowOff>28575</xdr:rowOff>
    </xdr:from>
    <xdr:ext cx="4572000" cy="27432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357182</xdr:colOff>
      <xdr:row>65</xdr:row>
      <xdr:rowOff>33339</xdr:rowOff>
    </xdr:from>
    <xdr:ext cx="4572000" cy="27432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390521</xdr:colOff>
      <xdr:row>83</xdr:row>
      <xdr:rowOff>95253</xdr:rowOff>
    </xdr:from>
    <xdr:ext cx="184727" cy="26456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3133721" y="16354428"/>
          <a:ext cx="184727" cy="264563"/>
        </a:xfrm>
        <a:prstGeom prst="rect">
          <a:avLst/>
        </a:prstGeom>
        <a:noFill/>
        <a:ln cap="flat">
          <a:noFill/>
        </a:ln>
      </xdr:spPr>
      <xdr:txBody>
        <a:bodyPr vert="horz" wrap="none" lIns="91440" tIns="45720" rIns="91440" bIns="45720" anchor="t" anchorCtr="0" compatLnSpc="0">
          <a:spAutoFit/>
        </a:bodyPr>
        <a:lstStyle/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0" displayName="Table10" ref="B36:F42" totalsRowShown="0">
  <tableColumns count="5">
    <tableColumn id="1" xr3:uid="{00000000-0010-0000-0000-000001000000}" name="Shannon Diversity"/>
    <tableColumn id="2" xr3:uid="{00000000-0010-0000-0000-000002000000}" name="Column1"/>
    <tableColumn id="3" xr3:uid="{00000000-0010-0000-0000-000003000000}" name="Column2"/>
    <tableColumn id="4" xr3:uid="{00000000-0010-0000-0000-000004000000}" name="Column3"/>
    <tableColumn id="5" xr3:uid="{00000000-0010-0000-0000-000005000000}" name="Column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://cdec.water.ca.gov/histPlot/DataPlotter.jsp?staid=OBB&amp;sensor_no=25&amp;duration=D&amp;start=04/01/2014+00:00&amp;end=07/04/2014+00:00&amp;geom=sm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H532"/>
  <sheetViews>
    <sheetView topLeftCell="A461" workbookViewId="0">
      <selection activeCell="C1" sqref="C1"/>
    </sheetView>
  </sheetViews>
  <sheetFormatPr baseColWidth="10" defaultColWidth="8.6640625" defaultRowHeight="14" x14ac:dyDescent="0.15"/>
  <cols>
    <col min="1" max="1" width="15.6640625" style="2" customWidth="1"/>
    <col min="2" max="2" width="11.83203125" style="2" customWidth="1"/>
    <col min="3" max="3" width="29.1640625" style="2" customWidth="1"/>
    <col min="4" max="4" width="14.83203125" style="2" customWidth="1"/>
    <col min="5" max="5" width="13" style="2" customWidth="1"/>
    <col min="6" max="6" width="15.5" style="2" customWidth="1"/>
    <col min="7" max="7" width="11.5" style="2" customWidth="1"/>
    <col min="8" max="8" width="20.5" style="2" customWidth="1"/>
    <col min="9" max="9" width="16.33203125" style="2" customWidth="1"/>
    <col min="10" max="10" width="16" style="2" customWidth="1"/>
    <col min="11" max="1022" width="8.6640625" style="2" customWidth="1"/>
    <col min="1023" max="1023" width="9" customWidth="1"/>
  </cols>
  <sheetData>
    <row r="1" spans="1:12" x14ac:dyDescent="0.15">
      <c r="B1" s="2" t="s">
        <v>56</v>
      </c>
      <c r="C1" s="2" t="s">
        <v>57</v>
      </c>
      <c r="D1" s="2" t="s">
        <v>206</v>
      </c>
      <c r="E1" s="2" t="s">
        <v>58</v>
      </c>
      <c r="F1" s="2" t="s">
        <v>209</v>
      </c>
      <c r="G1" s="2" t="s">
        <v>59</v>
      </c>
      <c r="H1" s="2" t="s">
        <v>60</v>
      </c>
      <c r="I1" s="2" t="s">
        <v>1</v>
      </c>
      <c r="J1" s="2" t="s">
        <v>2</v>
      </c>
      <c r="K1" s="2" t="s">
        <v>61</v>
      </c>
      <c r="L1" s="2" t="s">
        <v>62</v>
      </c>
    </row>
    <row r="2" spans="1:12" x14ac:dyDescent="0.15">
      <c r="A2" s="2">
        <v>4</v>
      </c>
      <c r="B2" s="3">
        <v>41733</v>
      </c>
      <c r="C2" s="2" t="s">
        <v>63</v>
      </c>
      <c r="D2" s="2">
        <v>0.97499999999999998</v>
      </c>
      <c r="E2" s="2">
        <v>94</v>
      </c>
      <c r="F2" s="2">
        <f>D2*(E2*60)</f>
        <v>5499</v>
      </c>
      <c r="G2" s="2">
        <v>20</v>
      </c>
      <c r="H2" s="2">
        <v>2</v>
      </c>
      <c r="I2" s="2" t="s">
        <v>47</v>
      </c>
      <c r="J2" s="2" t="s">
        <v>48</v>
      </c>
      <c r="K2" s="2">
        <v>82</v>
      </c>
    </row>
    <row r="3" spans="1:12" x14ac:dyDescent="0.15">
      <c r="A3" s="2">
        <v>4</v>
      </c>
      <c r="B3" s="3">
        <v>41733</v>
      </c>
      <c r="C3" s="2" t="s">
        <v>63</v>
      </c>
      <c r="D3" s="2">
        <v>0.97499999999999998</v>
      </c>
      <c r="E3" s="2">
        <v>94</v>
      </c>
      <c r="F3" s="2">
        <f>D3*(E3*60)</f>
        <v>5499</v>
      </c>
      <c r="G3" s="2">
        <v>20</v>
      </c>
      <c r="H3" s="2">
        <v>2</v>
      </c>
      <c r="I3" s="2" t="s">
        <v>47</v>
      </c>
      <c r="J3" s="2" t="s">
        <v>64</v>
      </c>
      <c r="K3" s="2">
        <v>8</v>
      </c>
    </row>
    <row r="4" spans="1:12" x14ac:dyDescent="0.15">
      <c r="A4" s="2">
        <v>4</v>
      </c>
      <c r="B4" s="3">
        <v>41733</v>
      </c>
      <c r="C4" s="2" t="s">
        <v>63</v>
      </c>
      <c r="D4" s="2">
        <v>0.97499999999999998</v>
      </c>
      <c r="E4" s="2">
        <v>94</v>
      </c>
      <c r="F4" s="2">
        <f>D4*(E4*60)</f>
        <v>5499</v>
      </c>
      <c r="G4" s="2">
        <v>20</v>
      </c>
      <c r="H4" s="2">
        <v>2</v>
      </c>
      <c r="I4" s="2" t="s">
        <v>26</v>
      </c>
      <c r="K4" s="2">
        <v>46</v>
      </c>
    </row>
    <row r="5" spans="1:12" x14ac:dyDescent="0.15">
      <c r="A5" s="2">
        <v>4</v>
      </c>
      <c r="B5" s="3">
        <v>41733</v>
      </c>
      <c r="C5" s="2" t="s">
        <v>63</v>
      </c>
      <c r="D5" s="2">
        <v>0.97499999999999998</v>
      </c>
      <c r="E5" s="2">
        <v>94</v>
      </c>
      <c r="F5" s="2">
        <f>D5*(E5*60)</f>
        <v>5499</v>
      </c>
      <c r="G5" s="2">
        <v>20</v>
      </c>
      <c r="H5" s="2">
        <v>2</v>
      </c>
      <c r="I5" s="2" t="s">
        <v>24</v>
      </c>
      <c r="K5" s="2">
        <v>11</v>
      </c>
    </row>
    <row r="6" spans="1:12" x14ac:dyDescent="0.15">
      <c r="A6" s="2">
        <v>4</v>
      </c>
      <c r="B6" s="3">
        <v>41733</v>
      </c>
      <c r="C6" s="2" t="s">
        <v>63</v>
      </c>
      <c r="D6" s="2">
        <v>0.97499999999999998</v>
      </c>
      <c r="E6" s="2">
        <v>94</v>
      </c>
      <c r="F6" s="2">
        <f>D6*(E6*60)</f>
        <v>5499</v>
      </c>
      <c r="G6" s="2">
        <v>20</v>
      </c>
      <c r="H6" s="2">
        <v>2</v>
      </c>
      <c r="I6" s="2" t="s">
        <v>17</v>
      </c>
      <c r="J6" s="2" t="s">
        <v>18</v>
      </c>
      <c r="K6" s="2">
        <v>5</v>
      </c>
    </row>
    <row r="7" spans="1:12" x14ac:dyDescent="0.15">
      <c r="A7" s="2">
        <v>4</v>
      </c>
      <c r="B7" s="3">
        <v>41733</v>
      </c>
      <c r="C7" s="2" t="s">
        <v>63</v>
      </c>
      <c r="D7" s="2">
        <v>0.97499999999999998</v>
      </c>
      <c r="E7" s="2">
        <v>94</v>
      </c>
      <c r="F7" s="2">
        <f>D7*(E7*60)</f>
        <v>5499</v>
      </c>
      <c r="G7" s="2">
        <v>20</v>
      </c>
      <c r="H7" s="2">
        <v>2</v>
      </c>
      <c r="I7" s="2" t="s">
        <v>47</v>
      </c>
      <c r="K7" s="2">
        <v>8</v>
      </c>
    </row>
    <row r="8" spans="1:12" x14ac:dyDescent="0.15">
      <c r="A8" s="2">
        <v>4</v>
      </c>
      <c r="B8" s="3">
        <v>41733</v>
      </c>
      <c r="C8" s="2" t="s">
        <v>63</v>
      </c>
      <c r="D8" s="2">
        <v>0.97499999999999998</v>
      </c>
      <c r="E8" s="2">
        <v>94</v>
      </c>
      <c r="F8" s="2">
        <f>D8*(E8*60)</f>
        <v>5499</v>
      </c>
      <c r="G8" s="2">
        <v>20</v>
      </c>
      <c r="H8" s="2">
        <v>2</v>
      </c>
      <c r="I8" s="2" t="s">
        <v>65</v>
      </c>
      <c r="K8" s="2">
        <v>5</v>
      </c>
    </row>
    <row r="9" spans="1:12" x14ac:dyDescent="0.15">
      <c r="A9" s="2">
        <v>4</v>
      </c>
      <c r="B9" s="3">
        <v>41733</v>
      </c>
      <c r="C9" s="2" t="s">
        <v>63</v>
      </c>
      <c r="D9" s="2">
        <v>0.97499999999999998</v>
      </c>
      <c r="E9" s="2">
        <v>94</v>
      </c>
      <c r="F9" s="2">
        <f>D9*(E9*60)</f>
        <v>5499</v>
      </c>
      <c r="G9" s="2">
        <v>20</v>
      </c>
      <c r="H9" s="2">
        <v>2</v>
      </c>
      <c r="I9" s="2" t="s">
        <v>44</v>
      </c>
      <c r="K9" s="2">
        <v>3</v>
      </c>
    </row>
    <row r="10" spans="1:12" x14ac:dyDescent="0.15">
      <c r="A10" s="2">
        <v>4</v>
      </c>
      <c r="B10" s="3">
        <v>41733</v>
      </c>
      <c r="C10" s="2" t="s">
        <v>63</v>
      </c>
      <c r="D10" s="2">
        <v>0.97499999999999998</v>
      </c>
      <c r="E10" s="2">
        <v>94</v>
      </c>
      <c r="F10" s="2">
        <f>D10*(E10*60)</f>
        <v>5499</v>
      </c>
      <c r="G10" s="2">
        <v>20</v>
      </c>
      <c r="H10" s="2">
        <v>2</v>
      </c>
      <c r="I10" s="2" t="s">
        <v>50</v>
      </c>
      <c r="K10" s="2">
        <v>8</v>
      </c>
    </row>
    <row r="11" spans="1:12" x14ac:dyDescent="0.15">
      <c r="A11" s="2">
        <v>4</v>
      </c>
      <c r="B11" s="3">
        <v>41733</v>
      </c>
      <c r="C11" s="2" t="s">
        <v>63</v>
      </c>
      <c r="D11" s="2">
        <v>0.97499999999999998</v>
      </c>
      <c r="E11" s="2">
        <v>94</v>
      </c>
      <c r="F11" s="2">
        <f>D11*(E11*60)</f>
        <v>5499</v>
      </c>
      <c r="G11" s="2">
        <v>20</v>
      </c>
      <c r="H11" s="2">
        <v>2</v>
      </c>
      <c r="I11" s="2" t="s">
        <v>66</v>
      </c>
      <c r="K11" s="2">
        <v>5</v>
      </c>
    </row>
    <row r="12" spans="1:12" x14ac:dyDescent="0.15">
      <c r="A12" s="2">
        <v>4</v>
      </c>
      <c r="B12" s="3">
        <v>41733</v>
      </c>
      <c r="C12" s="2" t="s">
        <v>63</v>
      </c>
      <c r="D12" s="2">
        <v>0.97499999999999998</v>
      </c>
      <c r="E12" s="2">
        <v>94</v>
      </c>
      <c r="F12" s="2">
        <f>D12*(E12*60)</f>
        <v>5499</v>
      </c>
      <c r="G12" s="2">
        <v>20</v>
      </c>
      <c r="H12" s="2">
        <v>2</v>
      </c>
      <c r="I12" s="2" t="s">
        <v>29</v>
      </c>
      <c r="J12" s="2" t="s">
        <v>67</v>
      </c>
      <c r="K12" s="2">
        <v>2</v>
      </c>
    </row>
    <row r="13" spans="1:12" x14ac:dyDescent="0.15">
      <c r="A13" s="2">
        <v>4</v>
      </c>
      <c r="B13" s="3">
        <v>41733</v>
      </c>
      <c r="C13" s="2" t="s">
        <v>63</v>
      </c>
      <c r="D13" s="2">
        <v>0.97499999999999998</v>
      </c>
      <c r="E13" s="2">
        <v>94</v>
      </c>
      <c r="F13" s="2">
        <f>D13*(E13*60)</f>
        <v>5499</v>
      </c>
      <c r="G13" s="2">
        <v>20</v>
      </c>
      <c r="H13" s="2">
        <v>2</v>
      </c>
      <c r="I13" s="2" t="s">
        <v>19</v>
      </c>
      <c r="K13" s="2">
        <v>3</v>
      </c>
    </row>
    <row r="14" spans="1:12" x14ac:dyDescent="0.15">
      <c r="A14" s="2">
        <v>4</v>
      </c>
      <c r="B14" s="3">
        <v>41733</v>
      </c>
      <c r="C14" s="2" t="s">
        <v>63</v>
      </c>
      <c r="D14" s="2">
        <v>0.97499999999999998</v>
      </c>
      <c r="E14" s="2">
        <v>94</v>
      </c>
      <c r="F14" s="2">
        <f>D14*(E14*60)</f>
        <v>5499</v>
      </c>
      <c r="G14" s="2">
        <v>20</v>
      </c>
      <c r="H14" s="2">
        <v>2</v>
      </c>
      <c r="I14" s="2" t="s">
        <v>42</v>
      </c>
      <c r="J14" s="2" t="s">
        <v>43</v>
      </c>
      <c r="K14" s="2">
        <v>3</v>
      </c>
    </row>
    <row r="15" spans="1:12" x14ac:dyDescent="0.15">
      <c r="A15" s="2">
        <v>4</v>
      </c>
      <c r="B15" s="3">
        <v>41733</v>
      </c>
      <c r="C15" s="2" t="s">
        <v>63</v>
      </c>
      <c r="D15" s="2">
        <v>0.97499999999999998</v>
      </c>
      <c r="E15" s="2">
        <v>94</v>
      </c>
      <c r="F15" s="2">
        <f>D15*(E15*60)</f>
        <v>5499</v>
      </c>
      <c r="G15" s="2">
        <v>20</v>
      </c>
      <c r="H15" s="2">
        <v>2</v>
      </c>
      <c r="I15" s="2" t="s">
        <v>28</v>
      </c>
      <c r="K15" s="2">
        <v>1</v>
      </c>
    </row>
    <row r="16" spans="1:12" x14ac:dyDescent="0.15">
      <c r="A16" s="2">
        <v>4</v>
      </c>
      <c r="B16" s="3">
        <v>41733</v>
      </c>
      <c r="C16" s="2" t="s">
        <v>63</v>
      </c>
      <c r="D16" s="2">
        <v>0.97499999999999998</v>
      </c>
      <c r="E16" s="2">
        <v>94</v>
      </c>
      <c r="F16" s="2">
        <f>D16*(E16*60)</f>
        <v>5499</v>
      </c>
      <c r="G16" s="2">
        <v>20</v>
      </c>
      <c r="H16" s="2">
        <v>2</v>
      </c>
      <c r="I16" s="2" t="s">
        <v>29</v>
      </c>
      <c r="J16" s="2" t="s">
        <v>33</v>
      </c>
      <c r="K16" s="2">
        <v>4</v>
      </c>
    </row>
    <row r="17" spans="1:11" x14ac:dyDescent="0.15">
      <c r="A17" s="2">
        <v>4</v>
      </c>
      <c r="B17" s="3">
        <v>41733</v>
      </c>
      <c r="C17" s="2" t="s">
        <v>63</v>
      </c>
      <c r="D17" s="2">
        <v>0.97499999999999998</v>
      </c>
      <c r="E17" s="2">
        <v>94</v>
      </c>
      <c r="F17" s="2">
        <f>D17*(E17*60)</f>
        <v>5499</v>
      </c>
      <c r="G17" s="2">
        <v>20</v>
      </c>
      <c r="H17" s="2">
        <v>2</v>
      </c>
      <c r="I17" s="2" t="s">
        <v>13</v>
      </c>
      <c r="J17" s="2" t="s">
        <v>15</v>
      </c>
      <c r="K17" s="2">
        <v>6</v>
      </c>
    </row>
    <row r="18" spans="1:11" x14ac:dyDescent="0.15">
      <c r="A18" s="2">
        <v>4</v>
      </c>
      <c r="B18" s="3">
        <v>41733</v>
      </c>
      <c r="C18" s="2" t="s">
        <v>63</v>
      </c>
      <c r="D18" s="2">
        <v>0.97499999999999998</v>
      </c>
      <c r="E18" s="2">
        <v>94</v>
      </c>
      <c r="F18" s="2">
        <f>D18*(E18*60)</f>
        <v>5499</v>
      </c>
      <c r="G18" s="2">
        <v>20</v>
      </c>
      <c r="H18" s="2">
        <v>2</v>
      </c>
      <c r="I18" s="2" t="s">
        <v>26</v>
      </c>
      <c r="K18" s="2">
        <v>62</v>
      </c>
    </row>
    <row r="19" spans="1:11" x14ac:dyDescent="0.15">
      <c r="A19" s="2">
        <v>4</v>
      </c>
      <c r="B19" s="3">
        <v>41733</v>
      </c>
      <c r="C19" s="2" t="s">
        <v>63</v>
      </c>
      <c r="D19" s="2">
        <v>0.97499999999999998</v>
      </c>
      <c r="E19" s="2">
        <v>94</v>
      </c>
      <c r="F19" s="2">
        <f>D19*(E19*60)</f>
        <v>5499</v>
      </c>
      <c r="G19" s="2">
        <v>20</v>
      </c>
      <c r="H19" s="2">
        <v>2</v>
      </c>
      <c r="I19" s="2" t="s">
        <v>47</v>
      </c>
      <c r="J19" s="2" t="s">
        <v>48</v>
      </c>
      <c r="K19" s="2">
        <v>105</v>
      </c>
    </row>
    <row r="20" spans="1:11" x14ac:dyDescent="0.15">
      <c r="A20" s="2">
        <v>4</v>
      </c>
      <c r="B20" s="3">
        <v>41733</v>
      </c>
      <c r="C20" s="2" t="s">
        <v>63</v>
      </c>
      <c r="D20" s="2">
        <v>0.97499999999999998</v>
      </c>
      <c r="E20" s="2">
        <v>94</v>
      </c>
      <c r="F20" s="2">
        <f>D20*(E20*60)</f>
        <v>5499</v>
      </c>
      <c r="G20" s="2">
        <v>20</v>
      </c>
      <c r="H20" s="2">
        <v>2</v>
      </c>
      <c r="I20" s="2" t="s">
        <v>47</v>
      </c>
      <c r="J20" s="2" t="s">
        <v>64</v>
      </c>
      <c r="K20" s="2">
        <v>5</v>
      </c>
    </row>
    <row r="21" spans="1:11" x14ac:dyDescent="0.15">
      <c r="A21" s="2">
        <v>4</v>
      </c>
      <c r="B21" s="3">
        <v>41733</v>
      </c>
      <c r="C21" s="2" t="s">
        <v>63</v>
      </c>
      <c r="D21" s="2">
        <v>0.97499999999999998</v>
      </c>
      <c r="E21" s="2">
        <v>94</v>
      </c>
      <c r="F21" s="2">
        <f>D21*(E21*60)</f>
        <v>5499</v>
      </c>
      <c r="G21" s="2">
        <v>20</v>
      </c>
      <c r="H21" s="2">
        <v>2</v>
      </c>
      <c r="I21" s="2" t="s">
        <v>19</v>
      </c>
      <c r="K21" s="2">
        <v>2</v>
      </c>
    </row>
    <row r="22" spans="1:11" x14ac:dyDescent="0.15">
      <c r="A22" s="2">
        <v>4</v>
      </c>
      <c r="B22" s="3">
        <v>41733</v>
      </c>
      <c r="C22" s="2" t="s">
        <v>63</v>
      </c>
      <c r="D22" s="2">
        <v>0.97499999999999998</v>
      </c>
      <c r="E22" s="2">
        <v>94</v>
      </c>
      <c r="F22" s="2">
        <f>D22*(E22*60)</f>
        <v>5499</v>
      </c>
      <c r="G22" s="2">
        <v>20</v>
      </c>
      <c r="H22" s="2">
        <v>2</v>
      </c>
      <c r="I22" s="2" t="s">
        <v>24</v>
      </c>
      <c r="K22" s="2">
        <v>35</v>
      </c>
    </row>
    <row r="23" spans="1:11" x14ac:dyDescent="0.15">
      <c r="A23" s="2">
        <v>4</v>
      </c>
      <c r="B23" s="3">
        <v>41733</v>
      </c>
      <c r="C23" s="2" t="s">
        <v>63</v>
      </c>
      <c r="D23" s="2">
        <v>0.97499999999999998</v>
      </c>
      <c r="E23" s="2">
        <v>94</v>
      </c>
      <c r="F23" s="2">
        <f>D23*(E23*60)</f>
        <v>5499</v>
      </c>
      <c r="G23" s="2">
        <v>20</v>
      </c>
      <c r="H23" s="2">
        <v>2</v>
      </c>
      <c r="I23" s="2" t="s">
        <v>28</v>
      </c>
      <c r="K23" s="2">
        <v>2</v>
      </c>
    </row>
    <row r="24" spans="1:11" x14ac:dyDescent="0.15">
      <c r="A24" s="2">
        <v>4</v>
      </c>
      <c r="B24" s="3">
        <v>41733</v>
      </c>
      <c r="C24" s="2" t="s">
        <v>63</v>
      </c>
      <c r="D24" s="2">
        <v>0.97499999999999998</v>
      </c>
      <c r="E24" s="2">
        <v>94</v>
      </c>
      <c r="F24" s="2">
        <f>D24*(E24*60)</f>
        <v>5499</v>
      </c>
      <c r="G24" s="2">
        <v>20</v>
      </c>
      <c r="H24" s="2">
        <v>2</v>
      </c>
      <c r="I24" s="2" t="s">
        <v>36</v>
      </c>
      <c r="K24" s="2">
        <v>3</v>
      </c>
    </row>
    <row r="25" spans="1:11" x14ac:dyDescent="0.15">
      <c r="A25" s="2">
        <v>4</v>
      </c>
      <c r="B25" s="3">
        <v>41733</v>
      </c>
      <c r="C25" s="2" t="s">
        <v>63</v>
      </c>
      <c r="D25" s="2">
        <v>0.97499999999999998</v>
      </c>
      <c r="E25" s="2">
        <v>94</v>
      </c>
      <c r="F25" s="2">
        <f>D25*(E25*60)</f>
        <v>5499</v>
      </c>
      <c r="G25" s="2">
        <v>20</v>
      </c>
      <c r="H25" s="2">
        <v>2</v>
      </c>
      <c r="I25" s="2" t="s">
        <v>13</v>
      </c>
      <c r="J25" s="2" t="s">
        <v>15</v>
      </c>
      <c r="K25" s="2">
        <v>6</v>
      </c>
    </row>
    <row r="26" spans="1:11" x14ac:dyDescent="0.15">
      <c r="A26" s="2">
        <v>4</v>
      </c>
      <c r="B26" s="3">
        <v>41733</v>
      </c>
      <c r="C26" s="2" t="s">
        <v>63</v>
      </c>
      <c r="D26" s="2">
        <v>0.97499999999999998</v>
      </c>
      <c r="E26" s="2">
        <v>94</v>
      </c>
      <c r="F26" s="2">
        <f>D26*(E26*60)</f>
        <v>5499</v>
      </c>
      <c r="G26" s="2">
        <v>20</v>
      </c>
      <c r="H26" s="2">
        <v>2</v>
      </c>
      <c r="I26" s="2" t="s">
        <v>47</v>
      </c>
      <c r="K26" s="2">
        <v>8</v>
      </c>
    </row>
    <row r="27" spans="1:11" x14ac:dyDescent="0.15">
      <c r="A27" s="2">
        <v>4</v>
      </c>
      <c r="B27" s="3">
        <v>41733</v>
      </c>
      <c r="C27" s="2" t="s">
        <v>63</v>
      </c>
      <c r="D27" s="2">
        <v>0.97499999999999998</v>
      </c>
      <c r="E27" s="2">
        <v>94</v>
      </c>
      <c r="F27" s="2">
        <f>D27*(E27*60)</f>
        <v>5499</v>
      </c>
      <c r="G27" s="2">
        <v>20</v>
      </c>
      <c r="H27" s="2">
        <v>2</v>
      </c>
      <c r="I27" s="2" t="s">
        <v>68</v>
      </c>
      <c r="K27" s="2">
        <v>2</v>
      </c>
    </row>
    <row r="28" spans="1:11" x14ac:dyDescent="0.15">
      <c r="A28" s="2">
        <v>4</v>
      </c>
      <c r="B28" s="3">
        <v>41733</v>
      </c>
      <c r="C28" s="2" t="s">
        <v>63</v>
      </c>
      <c r="D28" s="2">
        <v>0.97499999999999998</v>
      </c>
      <c r="E28" s="2">
        <v>94</v>
      </c>
      <c r="F28" s="2">
        <f>D28*(E28*60)</f>
        <v>5499</v>
      </c>
      <c r="G28" s="2">
        <v>20</v>
      </c>
      <c r="H28" s="2">
        <v>2</v>
      </c>
      <c r="I28" s="2" t="s">
        <v>69</v>
      </c>
      <c r="K28" s="2">
        <v>2</v>
      </c>
    </row>
    <row r="29" spans="1:11" x14ac:dyDescent="0.15">
      <c r="A29" s="2">
        <v>4</v>
      </c>
      <c r="B29" s="3">
        <v>41733</v>
      </c>
      <c r="C29" s="2" t="s">
        <v>63</v>
      </c>
      <c r="D29" s="2">
        <v>0.97499999999999998</v>
      </c>
      <c r="E29" s="2">
        <v>94</v>
      </c>
      <c r="F29" s="2">
        <f>D29*(E29*60)</f>
        <v>5499</v>
      </c>
      <c r="G29" s="2">
        <v>20</v>
      </c>
      <c r="H29" s="2">
        <v>2</v>
      </c>
      <c r="I29" s="2" t="s">
        <v>17</v>
      </c>
      <c r="J29" s="2" t="s">
        <v>18</v>
      </c>
      <c r="K29" s="2">
        <v>9</v>
      </c>
    </row>
    <row r="30" spans="1:11" x14ac:dyDescent="0.15">
      <c r="A30" s="2">
        <v>4</v>
      </c>
      <c r="B30" s="3">
        <v>41733</v>
      </c>
      <c r="C30" s="2" t="s">
        <v>63</v>
      </c>
      <c r="D30" s="2">
        <v>0.97499999999999998</v>
      </c>
      <c r="E30" s="2">
        <v>94</v>
      </c>
      <c r="F30" s="2">
        <f>D30*(E30*60)</f>
        <v>5499</v>
      </c>
      <c r="G30" s="2">
        <v>20</v>
      </c>
      <c r="H30" s="2">
        <v>2</v>
      </c>
      <c r="I30" s="2" t="s">
        <v>42</v>
      </c>
      <c r="J30" s="2" t="s">
        <v>43</v>
      </c>
      <c r="K30" s="2">
        <v>1</v>
      </c>
    </row>
    <row r="31" spans="1:11" x14ac:dyDescent="0.15">
      <c r="A31" s="2">
        <v>1</v>
      </c>
      <c r="B31" s="3">
        <v>41733</v>
      </c>
      <c r="C31" s="2" t="s">
        <v>70</v>
      </c>
      <c r="D31" s="2">
        <v>2.64</v>
      </c>
      <c r="E31" s="2">
        <v>60</v>
      </c>
      <c r="F31" s="2">
        <f>D31*(E31*60)</f>
        <v>9504</v>
      </c>
      <c r="G31" s="2">
        <v>25</v>
      </c>
      <c r="H31" s="2">
        <v>1</v>
      </c>
      <c r="I31" s="2" t="s">
        <v>47</v>
      </c>
      <c r="J31" s="2" t="s">
        <v>48</v>
      </c>
      <c r="K31" s="2">
        <v>140</v>
      </c>
    </row>
    <row r="32" spans="1:11" x14ac:dyDescent="0.15">
      <c r="A32" s="2">
        <v>1</v>
      </c>
      <c r="B32" s="3">
        <v>41733</v>
      </c>
      <c r="C32" s="2" t="s">
        <v>70</v>
      </c>
      <c r="D32" s="2">
        <v>2.64</v>
      </c>
      <c r="E32" s="2">
        <v>60</v>
      </c>
      <c r="F32" s="2">
        <f>D32*(E32*60)</f>
        <v>9504</v>
      </c>
      <c r="G32" s="2">
        <v>25</v>
      </c>
      <c r="H32" s="2">
        <v>1</v>
      </c>
      <c r="I32" s="2" t="s">
        <v>47</v>
      </c>
      <c r="K32" s="2">
        <v>20</v>
      </c>
    </row>
    <row r="33" spans="1:11" x14ac:dyDescent="0.15">
      <c r="A33" s="2">
        <v>1</v>
      </c>
      <c r="B33" s="3">
        <v>41733</v>
      </c>
      <c r="C33" s="2" t="s">
        <v>70</v>
      </c>
      <c r="D33" s="2">
        <v>2.64</v>
      </c>
      <c r="E33" s="2">
        <v>60</v>
      </c>
      <c r="F33" s="2">
        <f>D33*(E33*60)</f>
        <v>9504</v>
      </c>
      <c r="G33" s="2">
        <v>25</v>
      </c>
      <c r="H33" s="2">
        <v>1</v>
      </c>
      <c r="I33" s="2" t="s">
        <v>26</v>
      </c>
      <c r="K33" s="2">
        <v>32</v>
      </c>
    </row>
    <row r="34" spans="1:11" x14ac:dyDescent="0.15">
      <c r="A34" s="2">
        <v>1</v>
      </c>
      <c r="B34" s="3">
        <v>41733</v>
      </c>
      <c r="C34" s="2" t="s">
        <v>70</v>
      </c>
      <c r="D34" s="2">
        <v>2.64</v>
      </c>
      <c r="E34" s="2">
        <v>60</v>
      </c>
      <c r="F34" s="2">
        <f>D34*(E34*60)</f>
        <v>9504</v>
      </c>
      <c r="G34" s="2">
        <v>25</v>
      </c>
      <c r="H34" s="2">
        <v>1</v>
      </c>
      <c r="I34" s="2" t="s">
        <v>28</v>
      </c>
      <c r="K34" s="2">
        <v>6</v>
      </c>
    </row>
    <row r="35" spans="1:11" x14ac:dyDescent="0.15">
      <c r="A35" s="2">
        <v>1</v>
      </c>
      <c r="B35" s="3">
        <v>41733</v>
      </c>
      <c r="C35" s="2" t="s">
        <v>70</v>
      </c>
      <c r="D35" s="2">
        <v>2.64</v>
      </c>
      <c r="E35" s="2">
        <v>60</v>
      </c>
      <c r="F35" s="2">
        <f>D35*(E35*60)</f>
        <v>9504</v>
      </c>
      <c r="G35" s="2">
        <v>25</v>
      </c>
      <c r="H35" s="2">
        <v>1</v>
      </c>
      <c r="I35" s="2" t="s">
        <v>42</v>
      </c>
      <c r="J35" s="2" t="s">
        <v>43</v>
      </c>
      <c r="K35" s="2">
        <v>3</v>
      </c>
    </row>
    <row r="36" spans="1:11" x14ac:dyDescent="0.15">
      <c r="A36" s="2">
        <v>1</v>
      </c>
      <c r="B36" s="3">
        <v>41733</v>
      </c>
      <c r="C36" s="2" t="s">
        <v>70</v>
      </c>
      <c r="D36" s="2">
        <v>2.64</v>
      </c>
      <c r="E36" s="2">
        <v>60</v>
      </c>
      <c r="F36" s="2">
        <f>D36*(E36*60)</f>
        <v>9504</v>
      </c>
      <c r="G36" s="2">
        <v>25</v>
      </c>
      <c r="H36" s="2">
        <v>1</v>
      </c>
      <c r="I36" s="2" t="s">
        <v>17</v>
      </c>
      <c r="J36" s="2" t="s">
        <v>18</v>
      </c>
      <c r="K36" s="2">
        <v>24</v>
      </c>
    </row>
    <row r="37" spans="1:11" x14ac:dyDescent="0.15">
      <c r="A37" s="2">
        <v>1</v>
      </c>
      <c r="B37" s="3">
        <v>41733</v>
      </c>
      <c r="C37" s="2" t="s">
        <v>70</v>
      </c>
      <c r="D37" s="2">
        <v>2.64</v>
      </c>
      <c r="E37" s="2">
        <v>60</v>
      </c>
      <c r="F37" s="2">
        <f>D37*(E37*60)</f>
        <v>9504</v>
      </c>
      <c r="G37" s="2">
        <v>25</v>
      </c>
      <c r="H37" s="2">
        <v>1</v>
      </c>
      <c r="I37" s="2" t="s">
        <v>69</v>
      </c>
      <c r="K37" s="2">
        <v>10</v>
      </c>
    </row>
    <row r="38" spans="1:11" x14ac:dyDescent="0.15">
      <c r="A38" s="2">
        <v>1</v>
      </c>
      <c r="B38" s="3">
        <v>41733</v>
      </c>
      <c r="C38" s="2" t="s">
        <v>70</v>
      </c>
      <c r="D38" s="2">
        <v>2.64</v>
      </c>
      <c r="E38" s="2">
        <v>60</v>
      </c>
      <c r="F38" s="2">
        <f>D38*(E38*60)</f>
        <v>9504</v>
      </c>
      <c r="G38" s="2">
        <v>25</v>
      </c>
      <c r="H38" s="2">
        <v>1</v>
      </c>
      <c r="I38" s="2" t="s">
        <v>13</v>
      </c>
      <c r="J38" s="2" t="s">
        <v>15</v>
      </c>
      <c r="K38" s="2">
        <v>10</v>
      </c>
    </row>
    <row r="39" spans="1:11" x14ac:dyDescent="0.15">
      <c r="A39" s="2">
        <v>1</v>
      </c>
      <c r="B39" s="3">
        <v>41733</v>
      </c>
      <c r="C39" s="2" t="s">
        <v>70</v>
      </c>
      <c r="D39" s="2">
        <v>2.64</v>
      </c>
      <c r="E39" s="2">
        <v>60</v>
      </c>
      <c r="F39" s="2">
        <f>D39*(E39*60)</f>
        <v>9504</v>
      </c>
      <c r="G39" s="2">
        <v>25</v>
      </c>
      <c r="H39" s="2">
        <v>1</v>
      </c>
      <c r="I39" s="2" t="s">
        <v>47</v>
      </c>
      <c r="J39" s="2" t="s">
        <v>64</v>
      </c>
      <c r="K39" s="2">
        <v>1</v>
      </c>
    </row>
    <row r="40" spans="1:11" x14ac:dyDescent="0.15">
      <c r="A40" s="2">
        <v>1</v>
      </c>
      <c r="B40" s="3">
        <v>41733</v>
      </c>
      <c r="C40" s="2" t="s">
        <v>70</v>
      </c>
      <c r="D40" s="2">
        <v>2.64</v>
      </c>
      <c r="E40" s="2">
        <v>60</v>
      </c>
      <c r="F40" s="2">
        <f>D40*(E40*60)</f>
        <v>9504</v>
      </c>
      <c r="G40" s="2">
        <v>25</v>
      </c>
      <c r="H40" s="2">
        <v>1</v>
      </c>
      <c r="I40" s="2" t="s">
        <v>29</v>
      </c>
      <c r="J40" s="2" t="s">
        <v>32</v>
      </c>
      <c r="K40" s="2">
        <v>1</v>
      </c>
    </row>
    <row r="41" spans="1:11" x14ac:dyDescent="0.15">
      <c r="A41" s="2">
        <v>1</v>
      </c>
      <c r="B41" s="3">
        <v>41733</v>
      </c>
      <c r="C41" s="2" t="s">
        <v>70</v>
      </c>
      <c r="D41" s="2">
        <v>2.64</v>
      </c>
      <c r="E41" s="2">
        <v>60</v>
      </c>
      <c r="F41" s="2">
        <f>D41*(E41*60)</f>
        <v>9504</v>
      </c>
      <c r="G41" s="2">
        <v>25</v>
      </c>
      <c r="H41" s="2">
        <v>1</v>
      </c>
      <c r="I41" s="2" t="s">
        <v>66</v>
      </c>
      <c r="K41" s="2">
        <v>3</v>
      </c>
    </row>
    <row r="42" spans="1:11" x14ac:dyDescent="0.15">
      <c r="A42" s="2">
        <v>1</v>
      </c>
      <c r="B42" s="3">
        <v>41733</v>
      </c>
      <c r="C42" s="2" t="s">
        <v>70</v>
      </c>
      <c r="D42" s="2">
        <v>2.64</v>
      </c>
      <c r="E42" s="2">
        <v>60</v>
      </c>
      <c r="F42" s="2">
        <f>D42*(E42*60)</f>
        <v>9504</v>
      </c>
      <c r="G42" s="2">
        <v>25</v>
      </c>
      <c r="H42" s="2">
        <v>1</v>
      </c>
      <c r="I42" s="2" t="s">
        <v>68</v>
      </c>
      <c r="K42" s="2">
        <v>1</v>
      </c>
    </row>
    <row r="43" spans="1:11" x14ac:dyDescent="0.15">
      <c r="A43" s="2">
        <v>1</v>
      </c>
      <c r="B43" s="3">
        <v>41733</v>
      </c>
      <c r="C43" s="2" t="s">
        <v>70</v>
      </c>
      <c r="D43" s="2">
        <v>2.64</v>
      </c>
      <c r="E43" s="2">
        <v>60</v>
      </c>
      <c r="F43" s="2">
        <f>D43*(E43*60)</f>
        <v>9504</v>
      </c>
      <c r="G43" s="2">
        <v>25</v>
      </c>
      <c r="H43" s="2">
        <v>1</v>
      </c>
      <c r="I43" s="2" t="s">
        <v>44</v>
      </c>
      <c r="K43" s="2">
        <v>1</v>
      </c>
    </row>
    <row r="44" spans="1:11" x14ac:dyDescent="0.15">
      <c r="A44" s="2">
        <v>2</v>
      </c>
      <c r="B44" s="3">
        <v>41733</v>
      </c>
      <c r="C44" s="2" t="s">
        <v>70</v>
      </c>
      <c r="D44" s="2">
        <v>2.64</v>
      </c>
      <c r="E44" s="2">
        <v>60</v>
      </c>
      <c r="F44" s="2">
        <f>D44*(E44*60)</f>
        <v>9504</v>
      </c>
      <c r="G44" s="2">
        <v>25</v>
      </c>
      <c r="H44" s="2">
        <v>1</v>
      </c>
      <c r="I44" s="2" t="s">
        <v>51</v>
      </c>
      <c r="K44" s="2">
        <v>2</v>
      </c>
    </row>
    <row r="45" spans="1:11" x14ac:dyDescent="0.15">
      <c r="A45" s="2">
        <v>3</v>
      </c>
      <c r="B45" s="3">
        <v>41733</v>
      </c>
      <c r="C45" s="2" t="s">
        <v>71</v>
      </c>
      <c r="D45" s="2">
        <v>1</v>
      </c>
      <c r="E45" s="2">
        <v>78</v>
      </c>
      <c r="F45" s="2">
        <f>D45*(E45*60)</f>
        <v>4680</v>
      </c>
      <c r="G45" s="2">
        <v>10</v>
      </c>
      <c r="H45" s="2">
        <v>2</v>
      </c>
      <c r="I45" s="2" t="s">
        <v>47</v>
      </c>
      <c r="J45" s="2" t="s">
        <v>48</v>
      </c>
      <c r="K45" s="2">
        <v>195</v>
      </c>
    </row>
    <row r="46" spans="1:11" x14ac:dyDescent="0.15">
      <c r="A46" s="2">
        <v>3</v>
      </c>
      <c r="B46" s="3">
        <v>41733</v>
      </c>
      <c r="C46" s="2" t="s">
        <v>71</v>
      </c>
      <c r="D46" s="2">
        <v>1</v>
      </c>
      <c r="E46" s="2">
        <v>78</v>
      </c>
      <c r="F46" s="2">
        <f>D46*(E46*60)</f>
        <v>4680</v>
      </c>
      <c r="G46" s="2">
        <v>10</v>
      </c>
      <c r="H46" s="2">
        <v>2</v>
      </c>
      <c r="I46" s="2" t="s">
        <v>69</v>
      </c>
      <c r="K46" s="2">
        <v>3</v>
      </c>
    </row>
    <row r="47" spans="1:11" x14ac:dyDescent="0.15">
      <c r="A47" s="2">
        <v>3</v>
      </c>
      <c r="B47" s="3">
        <v>41733</v>
      </c>
      <c r="C47" s="2" t="s">
        <v>71</v>
      </c>
      <c r="D47" s="2">
        <v>1</v>
      </c>
      <c r="E47" s="2">
        <v>78</v>
      </c>
      <c r="F47" s="2">
        <f>D47*(E47*60)</f>
        <v>4680</v>
      </c>
      <c r="G47" s="2">
        <v>10</v>
      </c>
      <c r="H47" s="2">
        <v>2</v>
      </c>
      <c r="I47" s="2" t="s">
        <v>16</v>
      </c>
      <c r="K47" s="2">
        <v>1</v>
      </c>
    </row>
    <row r="48" spans="1:11" x14ac:dyDescent="0.15">
      <c r="A48" s="2">
        <v>3</v>
      </c>
      <c r="B48" s="3">
        <v>41733</v>
      </c>
      <c r="C48" s="2" t="s">
        <v>71</v>
      </c>
      <c r="D48" s="2">
        <v>1</v>
      </c>
      <c r="E48" s="2">
        <v>78</v>
      </c>
      <c r="F48" s="2">
        <f>D48*(E48*60)</f>
        <v>4680</v>
      </c>
      <c r="G48" s="2">
        <v>10</v>
      </c>
      <c r="H48" s="2">
        <v>2</v>
      </c>
      <c r="I48" s="2" t="s">
        <v>17</v>
      </c>
      <c r="J48" s="2" t="s">
        <v>18</v>
      </c>
      <c r="K48" s="2">
        <v>4</v>
      </c>
    </row>
    <row r="49" spans="1:12" x14ac:dyDescent="0.15">
      <c r="A49" s="2">
        <v>3</v>
      </c>
      <c r="B49" s="3">
        <v>41733</v>
      </c>
      <c r="C49" s="2" t="s">
        <v>71</v>
      </c>
      <c r="D49" s="2">
        <v>1</v>
      </c>
      <c r="E49" s="2">
        <v>78</v>
      </c>
      <c r="F49" s="2">
        <f>D49*(E49*60)</f>
        <v>4680</v>
      </c>
      <c r="G49" s="2">
        <v>10</v>
      </c>
      <c r="H49" s="2">
        <v>2</v>
      </c>
      <c r="I49" s="2" t="s">
        <v>68</v>
      </c>
      <c r="K49" s="2">
        <v>3</v>
      </c>
    </row>
    <row r="50" spans="1:12" x14ac:dyDescent="0.15">
      <c r="A50" s="2">
        <v>3</v>
      </c>
      <c r="B50" s="3">
        <v>41733</v>
      </c>
      <c r="C50" s="2" t="s">
        <v>71</v>
      </c>
      <c r="D50" s="2">
        <v>1</v>
      </c>
      <c r="E50" s="2">
        <v>78</v>
      </c>
      <c r="F50" s="2">
        <f>D50*(E50*60)</f>
        <v>4680</v>
      </c>
      <c r="G50" s="2">
        <v>10</v>
      </c>
      <c r="H50" s="2">
        <v>2</v>
      </c>
      <c r="I50" s="2" t="s">
        <v>7</v>
      </c>
      <c r="K50" s="2">
        <v>9</v>
      </c>
    </row>
    <row r="51" spans="1:12" x14ac:dyDescent="0.15">
      <c r="A51" s="2">
        <v>3</v>
      </c>
      <c r="B51" s="3">
        <v>41733</v>
      </c>
      <c r="C51" s="2" t="s">
        <v>71</v>
      </c>
      <c r="D51" s="2">
        <v>1</v>
      </c>
      <c r="E51" s="2">
        <v>78</v>
      </c>
      <c r="F51" s="2">
        <f>D51*(E51*60)</f>
        <v>4680</v>
      </c>
      <c r="G51" s="2">
        <v>10</v>
      </c>
      <c r="H51" s="2">
        <v>2</v>
      </c>
      <c r="I51" s="2" t="s">
        <v>26</v>
      </c>
      <c r="K51" s="2">
        <v>19</v>
      </c>
    </row>
    <row r="52" spans="1:12" x14ac:dyDescent="0.15">
      <c r="A52" s="2">
        <v>3</v>
      </c>
      <c r="B52" s="3">
        <v>41733</v>
      </c>
      <c r="C52" s="2" t="s">
        <v>71</v>
      </c>
      <c r="D52" s="2">
        <v>1</v>
      </c>
      <c r="E52" s="2">
        <v>78</v>
      </c>
      <c r="F52" s="2">
        <f>D52*(E52*60)</f>
        <v>4680</v>
      </c>
      <c r="G52" s="2">
        <v>10</v>
      </c>
      <c r="H52" s="2">
        <v>2</v>
      </c>
      <c r="I52" s="2" t="s">
        <v>29</v>
      </c>
      <c r="J52" s="2" t="s">
        <v>33</v>
      </c>
      <c r="K52" s="2">
        <v>1</v>
      </c>
    </row>
    <row r="53" spans="1:12" x14ac:dyDescent="0.15">
      <c r="A53" s="2">
        <v>3</v>
      </c>
      <c r="B53" s="3">
        <v>41733</v>
      </c>
      <c r="C53" s="2" t="s">
        <v>71</v>
      </c>
      <c r="D53" s="2">
        <v>1</v>
      </c>
      <c r="E53" s="2">
        <v>78</v>
      </c>
      <c r="F53" s="2">
        <f>D53*(E53*60)</f>
        <v>4680</v>
      </c>
      <c r="G53" s="2">
        <v>10</v>
      </c>
      <c r="H53" s="2">
        <v>2</v>
      </c>
      <c r="I53" s="2" t="s">
        <v>47</v>
      </c>
      <c r="K53" s="2">
        <v>6</v>
      </c>
    </row>
    <row r="54" spans="1:12" x14ac:dyDescent="0.15">
      <c r="A54" s="2">
        <v>3</v>
      </c>
      <c r="B54" s="3">
        <v>41733</v>
      </c>
      <c r="C54" s="2" t="s">
        <v>71</v>
      </c>
      <c r="D54" s="2">
        <v>1</v>
      </c>
      <c r="E54" s="2">
        <v>78</v>
      </c>
      <c r="F54" s="2">
        <f>D54*(E54*60)</f>
        <v>4680</v>
      </c>
      <c r="G54" s="2">
        <v>10</v>
      </c>
      <c r="H54" s="2">
        <v>2</v>
      </c>
      <c r="I54" s="2" t="s">
        <v>72</v>
      </c>
      <c r="K54" s="2">
        <v>1</v>
      </c>
    </row>
    <row r="55" spans="1:12" x14ac:dyDescent="0.15">
      <c r="A55" s="2">
        <v>3</v>
      </c>
      <c r="B55" s="3">
        <v>41733</v>
      </c>
      <c r="C55" s="2" t="s">
        <v>71</v>
      </c>
      <c r="D55" s="2">
        <v>1</v>
      </c>
      <c r="E55" s="2">
        <v>78</v>
      </c>
      <c r="F55" s="2">
        <f>D55*(E55*60)</f>
        <v>4680</v>
      </c>
      <c r="G55" s="2">
        <v>10</v>
      </c>
      <c r="H55" s="2">
        <v>2</v>
      </c>
      <c r="I55" s="2" t="s">
        <v>73</v>
      </c>
      <c r="K55" s="2">
        <v>4</v>
      </c>
    </row>
    <row r="56" spans="1:12" x14ac:dyDescent="0.15">
      <c r="A56" s="2">
        <v>3</v>
      </c>
      <c r="B56" s="3">
        <v>41733</v>
      </c>
      <c r="C56" s="2" t="s">
        <v>71</v>
      </c>
      <c r="D56" s="2">
        <v>1</v>
      </c>
      <c r="E56" s="2">
        <v>78</v>
      </c>
      <c r="F56" s="2">
        <f>D56*(E56*60)</f>
        <v>4680</v>
      </c>
      <c r="G56" s="2">
        <v>10</v>
      </c>
      <c r="H56" s="2">
        <v>2</v>
      </c>
      <c r="I56" s="2" t="s">
        <v>50</v>
      </c>
      <c r="K56" s="2">
        <v>3</v>
      </c>
    </row>
    <row r="57" spans="1:12" x14ac:dyDescent="0.15">
      <c r="A57" s="2">
        <v>3</v>
      </c>
      <c r="B57" s="3">
        <v>41733</v>
      </c>
      <c r="C57" s="2" t="s">
        <v>71</v>
      </c>
      <c r="D57" s="2">
        <v>1</v>
      </c>
      <c r="E57" s="2">
        <v>78</v>
      </c>
      <c r="F57" s="2">
        <f>D57*(E57*60)</f>
        <v>4680</v>
      </c>
      <c r="G57" s="2">
        <v>10</v>
      </c>
      <c r="H57" s="2">
        <v>2</v>
      </c>
      <c r="I57" s="2" t="s">
        <v>36</v>
      </c>
      <c r="K57" s="2">
        <v>1</v>
      </c>
    </row>
    <row r="58" spans="1:12" x14ac:dyDescent="0.15">
      <c r="A58" s="2">
        <v>3</v>
      </c>
      <c r="B58" s="3">
        <v>41733</v>
      </c>
      <c r="C58" s="2" t="s">
        <v>71</v>
      </c>
      <c r="D58" s="2">
        <v>1</v>
      </c>
      <c r="E58" s="2">
        <v>78</v>
      </c>
      <c r="F58" s="2">
        <f>D58*(E58*60)</f>
        <v>4680</v>
      </c>
      <c r="G58" s="2">
        <v>10</v>
      </c>
      <c r="H58" s="2">
        <v>2</v>
      </c>
      <c r="I58" s="2" t="s">
        <v>42</v>
      </c>
      <c r="J58" s="2" t="s">
        <v>43</v>
      </c>
      <c r="K58" s="2">
        <v>1</v>
      </c>
    </row>
    <row r="59" spans="1:12" x14ac:dyDescent="0.15">
      <c r="A59" s="2">
        <v>3</v>
      </c>
      <c r="B59" s="3">
        <v>41733</v>
      </c>
      <c r="C59" s="2" t="s">
        <v>71</v>
      </c>
      <c r="D59" s="2">
        <v>1</v>
      </c>
      <c r="E59" s="2">
        <v>78</v>
      </c>
      <c r="F59" s="2">
        <f>D59*(E59*60)</f>
        <v>4680</v>
      </c>
      <c r="G59" s="2">
        <v>10</v>
      </c>
      <c r="H59" s="2">
        <v>2</v>
      </c>
      <c r="I59" s="2" t="s">
        <v>19</v>
      </c>
      <c r="K59" s="2">
        <v>1</v>
      </c>
    </row>
    <row r="60" spans="1:12" x14ac:dyDescent="0.15">
      <c r="A60" s="2">
        <v>3</v>
      </c>
      <c r="B60" s="3">
        <v>41733</v>
      </c>
      <c r="C60" s="2" t="s">
        <v>71</v>
      </c>
      <c r="D60" s="2">
        <v>1</v>
      </c>
      <c r="E60" s="2">
        <v>78</v>
      </c>
      <c r="F60" s="2">
        <f>D60*(E60*60)</f>
        <v>4680</v>
      </c>
      <c r="G60" s="2">
        <v>10</v>
      </c>
      <c r="H60" s="2">
        <v>2</v>
      </c>
      <c r="I60" s="2" t="s">
        <v>44</v>
      </c>
      <c r="K60" s="2">
        <v>1</v>
      </c>
    </row>
    <row r="61" spans="1:12" x14ac:dyDescent="0.15">
      <c r="A61" s="2">
        <v>3</v>
      </c>
      <c r="B61" s="3">
        <v>41733</v>
      </c>
      <c r="C61" s="2" t="s">
        <v>71</v>
      </c>
      <c r="D61" s="2">
        <v>1</v>
      </c>
      <c r="E61" s="2">
        <v>78</v>
      </c>
      <c r="F61" s="2">
        <f>D61*(E61*60)</f>
        <v>4680</v>
      </c>
      <c r="G61" s="2">
        <v>10</v>
      </c>
      <c r="H61" s="2">
        <v>2</v>
      </c>
      <c r="I61" s="2" t="s">
        <v>74</v>
      </c>
      <c r="K61" s="2">
        <v>1</v>
      </c>
    </row>
    <row r="62" spans="1:12" x14ac:dyDescent="0.15">
      <c r="A62" s="2">
        <v>3</v>
      </c>
      <c r="B62" s="3">
        <v>41733</v>
      </c>
      <c r="C62" s="2" t="s">
        <v>71</v>
      </c>
      <c r="D62" s="2">
        <v>1</v>
      </c>
      <c r="E62" s="2">
        <v>78</v>
      </c>
      <c r="F62" s="2">
        <f>D62*(E62*60)</f>
        <v>4680</v>
      </c>
      <c r="G62" s="2">
        <v>10</v>
      </c>
      <c r="H62" s="2">
        <v>2</v>
      </c>
      <c r="I62" s="2" t="s">
        <v>51</v>
      </c>
      <c r="K62" s="2">
        <v>11</v>
      </c>
    </row>
    <row r="63" spans="1:12" x14ac:dyDescent="0.15">
      <c r="A63" s="2">
        <v>33</v>
      </c>
      <c r="B63" s="3">
        <v>41738</v>
      </c>
      <c r="C63" s="2" t="s">
        <v>75</v>
      </c>
      <c r="D63" s="2">
        <v>1.47</v>
      </c>
      <c r="E63" s="2">
        <v>40</v>
      </c>
      <c r="F63" s="2">
        <f>D63*(E63*60)</f>
        <v>3528</v>
      </c>
      <c r="G63" s="2">
        <v>25</v>
      </c>
      <c r="H63" s="2">
        <v>3</v>
      </c>
      <c r="I63" s="2" t="s">
        <v>47</v>
      </c>
      <c r="J63" s="2" t="s">
        <v>48</v>
      </c>
      <c r="K63" s="2">
        <v>110</v>
      </c>
      <c r="L63" s="2">
        <f>D63*3600</f>
        <v>5292</v>
      </c>
    </row>
    <row r="64" spans="1:12" x14ac:dyDescent="0.15">
      <c r="A64" s="2">
        <v>33</v>
      </c>
      <c r="B64" s="3">
        <v>41738</v>
      </c>
      <c r="C64" s="2" t="s">
        <v>75</v>
      </c>
      <c r="D64" s="2">
        <v>1.47</v>
      </c>
      <c r="E64" s="2">
        <v>40</v>
      </c>
      <c r="F64" s="2">
        <f>D64*(E64*60)</f>
        <v>3528</v>
      </c>
      <c r="G64" s="2">
        <v>25</v>
      </c>
      <c r="H64" s="2">
        <v>3</v>
      </c>
      <c r="I64" s="2" t="s">
        <v>66</v>
      </c>
      <c r="K64" s="2">
        <v>3</v>
      </c>
    </row>
    <row r="65" spans="1:11" x14ac:dyDescent="0.15">
      <c r="A65" s="2">
        <v>33</v>
      </c>
      <c r="B65" s="3">
        <v>41738</v>
      </c>
      <c r="C65" s="2" t="s">
        <v>75</v>
      </c>
      <c r="D65" s="2">
        <v>1.47</v>
      </c>
      <c r="E65" s="2">
        <v>40</v>
      </c>
      <c r="F65" s="2">
        <f>D65*(E65*60)</f>
        <v>3528</v>
      </c>
      <c r="G65" s="2">
        <v>25</v>
      </c>
      <c r="H65" s="2">
        <v>3</v>
      </c>
      <c r="I65" s="2" t="s">
        <v>42</v>
      </c>
      <c r="J65" s="2" t="s">
        <v>43</v>
      </c>
      <c r="K65" s="2">
        <v>1</v>
      </c>
    </row>
    <row r="66" spans="1:11" x14ac:dyDescent="0.15">
      <c r="A66" s="2">
        <v>33</v>
      </c>
      <c r="B66" s="3">
        <v>41738</v>
      </c>
      <c r="C66" s="2" t="s">
        <v>75</v>
      </c>
      <c r="D66" s="2">
        <v>1.47</v>
      </c>
      <c r="E66" s="2">
        <v>40</v>
      </c>
      <c r="F66" s="2">
        <f>D66*(E66*60)</f>
        <v>3528</v>
      </c>
      <c r="G66" s="2">
        <v>25</v>
      </c>
      <c r="H66" s="2">
        <v>3</v>
      </c>
      <c r="I66" s="2" t="s">
        <v>22</v>
      </c>
      <c r="K66" s="2">
        <v>3</v>
      </c>
    </row>
    <row r="67" spans="1:11" x14ac:dyDescent="0.15">
      <c r="A67" s="2">
        <v>33</v>
      </c>
      <c r="B67" s="3">
        <v>41738</v>
      </c>
      <c r="C67" s="2" t="s">
        <v>75</v>
      </c>
      <c r="D67" s="2">
        <v>1.47</v>
      </c>
      <c r="E67" s="2">
        <v>40</v>
      </c>
      <c r="F67" s="2">
        <f>D67*(E67*60)</f>
        <v>3528</v>
      </c>
      <c r="G67" s="2">
        <v>25</v>
      </c>
      <c r="H67" s="2">
        <v>3</v>
      </c>
      <c r="I67" s="2" t="s">
        <v>36</v>
      </c>
      <c r="J67" s="2" t="s">
        <v>38</v>
      </c>
      <c r="K67" s="2">
        <v>1</v>
      </c>
    </row>
    <row r="68" spans="1:11" x14ac:dyDescent="0.15">
      <c r="A68" s="2">
        <v>33</v>
      </c>
      <c r="B68" s="3">
        <v>41738</v>
      </c>
      <c r="C68" s="2" t="s">
        <v>75</v>
      </c>
      <c r="D68" s="2">
        <v>1.47</v>
      </c>
      <c r="E68" s="2">
        <v>40</v>
      </c>
      <c r="F68" s="2">
        <f>D68*(E68*60)</f>
        <v>3528</v>
      </c>
      <c r="G68" s="2">
        <v>25</v>
      </c>
      <c r="H68" s="2">
        <v>3</v>
      </c>
      <c r="I68" s="2" t="s">
        <v>17</v>
      </c>
      <c r="J68" s="2" t="s">
        <v>18</v>
      </c>
      <c r="K68" s="2">
        <v>23</v>
      </c>
    </row>
    <row r="69" spans="1:11" x14ac:dyDescent="0.15">
      <c r="A69" s="2">
        <v>33</v>
      </c>
      <c r="B69" s="3">
        <v>41738</v>
      </c>
      <c r="C69" s="2" t="s">
        <v>75</v>
      </c>
      <c r="D69" s="2">
        <v>1.47</v>
      </c>
      <c r="E69" s="2">
        <v>40</v>
      </c>
      <c r="F69" s="2">
        <f>D69*(E69*60)</f>
        <v>3528</v>
      </c>
      <c r="G69" s="2">
        <v>25</v>
      </c>
      <c r="H69" s="2">
        <v>3</v>
      </c>
      <c r="I69" s="2" t="s">
        <v>76</v>
      </c>
      <c r="K69" s="2">
        <v>47</v>
      </c>
    </row>
    <row r="70" spans="1:11" x14ac:dyDescent="0.15">
      <c r="A70" s="2">
        <v>33</v>
      </c>
      <c r="B70" s="3">
        <v>41738</v>
      </c>
      <c r="C70" s="2" t="s">
        <v>75</v>
      </c>
      <c r="D70" s="2">
        <v>1.47</v>
      </c>
      <c r="E70" s="2">
        <v>40</v>
      </c>
      <c r="F70" s="2">
        <f>D70*(E70*60)</f>
        <v>3528</v>
      </c>
      <c r="G70" s="2">
        <v>25</v>
      </c>
      <c r="H70" s="2">
        <v>3</v>
      </c>
      <c r="I70" s="2" t="s">
        <v>44</v>
      </c>
      <c r="K70" s="2">
        <v>2</v>
      </c>
    </row>
    <row r="71" spans="1:11" x14ac:dyDescent="0.15">
      <c r="A71" s="2">
        <v>33</v>
      </c>
      <c r="B71" s="3">
        <v>41738</v>
      </c>
      <c r="C71" s="2" t="s">
        <v>75</v>
      </c>
      <c r="D71" s="2">
        <v>1.47</v>
      </c>
      <c r="E71" s="2">
        <v>40</v>
      </c>
      <c r="F71" s="2">
        <f>D71*(E71*60)</f>
        <v>3528</v>
      </c>
      <c r="G71" s="2">
        <v>25</v>
      </c>
      <c r="H71" s="2">
        <v>3</v>
      </c>
      <c r="I71" s="2" t="s">
        <v>26</v>
      </c>
      <c r="K71" s="2">
        <v>13</v>
      </c>
    </row>
    <row r="72" spans="1:11" x14ac:dyDescent="0.15">
      <c r="A72" s="2">
        <v>33</v>
      </c>
      <c r="B72" s="3">
        <v>41738</v>
      </c>
      <c r="C72" s="2" t="s">
        <v>75</v>
      </c>
      <c r="D72" s="2">
        <v>1.47</v>
      </c>
      <c r="E72" s="2">
        <v>40</v>
      </c>
      <c r="F72" s="2">
        <f>D72*(E72*60)</f>
        <v>3528</v>
      </c>
      <c r="G72" s="2">
        <v>25</v>
      </c>
      <c r="H72" s="2">
        <v>3</v>
      </c>
      <c r="I72" s="2" t="s">
        <v>47</v>
      </c>
      <c r="J72" s="2" t="s">
        <v>64</v>
      </c>
      <c r="K72" s="2">
        <v>2</v>
      </c>
    </row>
    <row r="73" spans="1:11" x14ac:dyDescent="0.15">
      <c r="A73" s="2">
        <v>33</v>
      </c>
      <c r="B73" s="3">
        <v>41738</v>
      </c>
      <c r="C73" s="2" t="s">
        <v>75</v>
      </c>
      <c r="D73" s="2">
        <v>1.47</v>
      </c>
      <c r="E73" s="2">
        <v>40</v>
      </c>
      <c r="F73" s="2">
        <f>D73*(E73*60)</f>
        <v>3528</v>
      </c>
      <c r="G73" s="2">
        <v>25</v>
      </c>
      <c r="H73" s="2">
        <v>3</v>
      </c>
      <c r="I73" s="2" t="s">
        <v>19</v>
      </c>
      <c r="K73" s="2">
        <v>4</v>
      </c>
    </row>
    <row r="74" spans="1:11" x14ac:dyDescent="0.15">
      <c r="A74" s="2">
        <v>33</v>
      </c>
      <c r="B74" s="3">
        <v>41738</v>
      </c>
      <c r="C74" s="2" t="s">
        <v>75</v>
      </c>
      <c r="D74" s="2">
        <v>1.47</v>
      </c>
      <c r="E74" s="2">
        <v>40</v>
      </c>
      <c r="F74" s="2">
        <f>D74*(E74*60)</f>
        <v>3528</v>
      </c>
      <c r="G74" s="2">
        <v>25</v>
      </c>
      <c r="H74" s="2">
        <v>3</v>
      </c>
      <c r="I74" s="2" t="s">
        <v>29</v>
      </c>
      <c r="J74" s="2" t="s">
        <v>31</v>
      </c>
      <c r="K74" s="2">
        <v>1</v>
      </c>
    </row>
    <row r="75" spans="1:11" x14ac:dyDescent="0.15">
      <c r="A75" s="2">
        <v>33</v>
      </c>
      <c r="B75" s="3">
        <v>41738</v>
      </c>
      <c r="C75" s="2" t="s">
        <v>75</v>
      </c>
      <c r="D75" s="2">
        <v>1.47</v>
      </c>
      <c r="E75" s="2">
        <v>40</v>
      </c>
      <c r="F75" s="2">
        <f>D75*(E75*60)</f>
        <v>3528</v>
      </c>
      <c r="G75" s="2">
        <v>25</v>
      </c>
      <c r="H75" s="2">
        <v>3</v>
      </c>
      <c r="I75" s="2" t="s">
        <v>68</v>
      </c>
      <c r="K75" s="2">
        <v>2</v>
      </c>
    </row>
    <row r="76" spans="1:11" x14ac:dyDescent="0.15">
      <c r="A76" s="2">
        <v>33</v>
      </c>
      <c r="B76" s="3">
        <v>41738</v>
      </c>
      <c r="C76" s="2" t="s">
        <v>75</v>
      </c>
      <c r="D76" s="2">
        <v>1.47</v>
      </c>
      <c r="E76" s="2">
        <v>40</v>
      </c>
      <c r="F76" s="2">
        <f>D76*(E76*60)</f>
        <v>3528</v>
      </c>
      <c r="G76" s="2">
        <v>25</v>
      </c>
      <c r="H76" s="2">
        <v>3</v>
      </c>
      <c r="I76" s="2" t="s">
        <v>13</v>
      </c>
      <c r="J76" s="2" t="s">
        <v>15</v>
      </c>
      <c r="K76" s="2">
        <v>3</v>
      </c>
    </row>
    <row r="77" spans="1:11" x14ac:dyDescent="0.15">
      <c r="A77" s="2">
        <v>33</v>
      </c>
      <c r="B77" s="3">
        <v>41738</v>
      </c>
      <c r="C77" s="2" t="s">
        <v>75</v>
      </c>
      <c r="D77" s="2">
        <v>1.47</v>
      </c>
      <c r="E77" s="2">
        <v>40</v>
      </c>
      <c r="F77" s="2">
        <f>D77*(E77*60)</f>
        <v>3528</v>
      </c>
      <c r="G77" s="2">
        <v>25</v>
      </c>
      <c r="H77" s="2">
        <v>3</v>
      </c>
      <c r="I77" s="2" t="s">
        <v>6</v>
      </c>
      <c r="K77" s="2">
        <v>1</v>
      </c>
    </row>
    <row r="78" spans="1:11" x14ac:dyDescent="0.15">
      <c r="A78" s="2">
        <v>33</v>
      </c>
      <c r="B78" s="3">
        <v>41738</v>
      </c>
      <c r="C78" s="2" t="s">
        <v>75</v>
      </c>
      <c r="D78" s="2">
        <v>1.47</v>
      </c>
      <c r="E78" s="2">
        <v>40</v>
      </c>
      <c r="F78" s="2">
        <f>D78*(E78*60)</f>
        <v>3528</v>
      </c>
      <c r="G78" s="2">
        <v>25</v>
      </c>
      <c r="H78" s="2">
        <v>3</v>
      </c>
      <c r="I78" s="2" t="s">
        <v>29</v>
      </c>
      <c r="J78" s="2" t="s">
        <v>67</v>
      </c>
      <c r="K78" s="2">
        <v>1</v>
      </c>
    </row>
    <row r="79" spans="1:11" x14ac:dyDescent="0.15">
      <c r="A79" s="2">
        <v>33</v>
      </c>
      <c r="B79" s="3">
        <v>41738</v>
      </c>
      <c r="C79" s="2" t="s">
        <v>75</v>
      </c>
      <c r="D79" s="2">
        <v>1.47</v>
      </c>
      <c r="E79" s="2">
        <v>40</v>
      </c>
      <c r="F79" s="2">
        <f>D79*(E79*60)</f>
        <v>3528</v>
      </c>
      <c r="G79" s="2">
        <v>25</v>
      </c>
      <c r="H79" s="2">
        <v>3</v>
      </c>
      <c r="I79" s="2" t="s">
        <v>65</v>
      </c>
      <c r="K79" s="2">
        <v>1</v>
      </c>
    </row>
    <row r="80" spans="1:11" x14ac:dyDescent="0.15">
      <c r="A80" s="2">
        <v>33</v>
      </c>
      <c r="B80" s="3">
        <v>41738</v>
      </c>
      <c r="C80" s="2" t="s">
        <v>75</v>
      </c>
      <c r="D80" s="2">
        <v>1.47</v>
      </c>
      <c r="E80" s="2">
        <v>40</v>
      </c>
      <c r="F80" s="2">
        <f>D80*(E80*60)</f>
        <v>3528</v>
      </c>
      <c r="G80" s="2">
        <v>25</v>
      </c>
      <c r="H80" s="2">
        <v>3</v>
      </c>
      <c r="I80" s="2" t="s">
        <v>28</v>
      </c>
      <c r="K80" s="2">
        <v>1</v>
      </c>
    </row>
    <row r="81" spans="1:11" x14ac:dyDescent="0.15">
      <c r="A81" s="2">
        <v>33</v>
      </c>
      <c r="B81" s="3">
        <v>41738</v>
      </c>
      <c r="C81" s="2" t="s">
        <v>75</v>
      </c>
      <c r="D81" s="2">
        <v>1.47</v>
      </c>
      <c r="E81" s="2">
        <v>40</v>
      </c>
      <c r="F81" s="2">
        <f>D81*(E81*60)</f>
        <v>3528</v>
      </c>
      <c r="G81" s="2">
        <v>25</v>
      </c>
      <c r="H81" s="2">
        <v>3</v>
      </c>
      <c r="I81" s="2" t="s">
        <v>51</v>
      </c>
      <c r="K81" s="2">
        <v>1</v>
      </c>
    </row>
    <row r="82" spans="1:11" x14ac:dyDescent="0.15">
      <c r="A82" s="2">
        <v>32</v>
      </c>
      <c r="B82" s="3">
        <v>41738</v>
      </c>
      <c r="C82" s="2" t="s">
        <v>71</v>
      </c>
      <c r="D82" s="2">
        <v>2.44</v>
      </c>
      <c r="E82" s="2">
        <v>45</v>
      </c>
      <c r="F82" s="2">
        <f>D82*(E82*60)</f>
        <v>6588</v>
      </c>
      <c r="G82" s="2">
        <v>25</v>
      </c>
      <c r="H82" s="2">
        <v>2</v>
      </c>
      <c r="I82" s="2" t="s">
        <v>47</v>
      </c>
      <c r="J82" s="2" t="s">
        <v>48</v>
      </c>
      <c r="K82" s="2">
        <v>87</v>
      </c>
    </row>
    <row r="83" spans="1:11" x14ac:dyDescent="0.15">
      <c r="A83" s="2">
        <v>32</v>
      </c>
      <c r="B83" s="3">
        <v>41738</v>
      </c>
      <c r="C83" s="2" t="s">
        <v>71</v>
      </c>
      <c r="D83" s="2">
        <v>2.44</v>
      </c>
      <c r="E83" s="2">
        <v>45</v>
      </c>
      <c r="F83" s="2">
        <f>D83*(E83*60)</f>
        <v>6588</v>
      </c>
      <c r="G83" s="2">
        <v>25</v>
      </c>
      <c r="H83" s="2">
        <v>2</v>
      </c>
      <c r="I83" s="2" t="s">
        <v>22</v>
      </c>
      <c r="K83" s="2">
        <v>7</v>
      </c>
    </row>
    <row r="84" spans="1:11" x14ac:dyDescent="0.15">
      <c r="A84" s="2">
        <v>32</v>
      </c>
      <c r="B84" s="3">
        <v>41738</v>
      </c>
      <c r="C84" s="2" t="s">
        <v>71</v>
      </c>
      <c r="D84" s="2">
        <v>2.44</v>
      </c>
      <c r="E84" s="2">
        <v>45</v>
      </c>
      <c r="F84" s="2">
        <f>D84*(E84*60)</f>
        <v>6588</v>
      </c>
      <c r="G84" s="2">
        <v>25</v>
      </c>
      <c r="H84" s="2">
        <v>2</v>
      </c>
      <c r="I84" s="2" t="s">
        <v>17</v>
      </c>
      <c r="J84" s="2" t="s">
        <v>18</v>
      </c>
      <c r="K84" s="2">
        <v>30</v>
      </c>
    </row>
    <row r="85" spans="1:11" x14ac:dyDescent="0.15">
      <c r="A85" s="2">
        <v>32</v>
      </c>
      <c r="B85" s="3">
        <v>41738</v>
      </c>
      <c r="C85" s="2" t="s">
        <v>71</v>
      </c>
      <c r="D85" s="2">
        <v>2.44</v>
      </c>
      <c r="E85" s="2">
        <v>45</v>
      </c>
      <c r="F85" s="2">
        <f>D85*(E85*60)</f>
        <v>6588</v>
      </c>
      <c r="G85" s="2">
        <v>25</v>
      </c>
      <c r="H85" s="2">
        <v>2</v>
      </c>
      <c r="I85" s="2" t="s">
        <v>26</v>
      </c>
      <c r="K85" s="2">
        <v>8</v>
      </c>
    </row>
    <row r="86" spans="1:11" x14ac:dyDescent="0.15">
      <c r="A86" s="2">
        <v>32</v>
      </c>
      <c r="B86" s="3">
        <v>41738</v>
      </c>
      <c r="C86" s="2" t="s">
        <v>71</v>
      </c>
      <c r="D86" s="2">
        <v>2.44</v>
      </c>
      <c r="E86" s="2">
        <v>45</v>
      </c>
      <c r="F86" s="2">
        <f>D86*(E86*60)</f>
        <v>6588</v>
      </c>
      <c r="G86" s="2">
        <v>25</v>
      </c>
      <c r="H86" s="2">
        <v>2</v>
      </c>
      <c r="I86" s="2" t="s">
        <v>13</v>
      </c>
      <c r="J86" s="2" t="s">
        <v>15</v>
      </c>
      <c r="K86" s="2">
        <v>14</v>
      </c>
    </row>
    <row r="87" spans="1:11" x14ac:dyDescent="0.15">
      <c r="A87" s="2">
        <v>32</v>
      </c>
      <c r="B87" s="3">
        <v>41738</v>
      </c>
      <c r="C87" s="2" t="s">
        <v>71</v>
      </c>
      <c r="D87" s="2">
        <v>2.44</v>
      </c>
      <c r="E87" s="2">
        <v>45</v>
      </c>
      <c r="F87" s="2">
        <f>D87*(E87*60)</f>
        <v>6588</v>
      </c>
      <c r="G87" s="2">
        <v>25</v>
      </c>
      <c r="H87" s="2">
        <v>2</v>
      </c>
      <c r="I87" s="2" t="s">
        <v>77</v>
      </c>
      <c r="K87" s="2">
        <v>1</v>
      </c>
    </row>
    <row r="88" spans="1:11" x14ac:dyDescent="0.15">
      <c r="A88" s="2">
        <v>32</v>
      </c>
      <c r="B88" s="3">
        <v>41738</v>
      </c>
      <c r="C88" s="2" t="s">
        <v>71</v>
      </c>
      <c r="D88" s="2">
        <v>2.44</v>
      </c>
      <c r="E88" s="2">
        <v>45</v>
      </c>
      <c r="F88" s="2">
        <f>D88*(E88*60)</f>
        <v>6588</v>
      </c>
      <c r="G88" s="2">
        <v>25</v>
      </c>
      <c r="H88" s="2">
        <v>2</v>
      </c>
      <c r="I88" s="2" t="s">
        <v>44</v>
      </c>
      <c r="K88" s="2">
        <v>4</v>
      </c>
    </row>
    <row r="89" spans="1:11" x14ac:dyDescent="0.15">
      <c r="A89" s="2">
        <v>32</v>
      </c>
      <c r="B89" s="3">
        <v>41738</v>
      </c>
      <c r="C89" s="2" t="s">
        <v>71</v>
      </c>
      <c r="D89" s="2">
        <v>2.44</v>
      </c>
      <c r="E89" s="2">
        <v>45</v>
      </c>
      <c r="F89" s="2">
        <f>D89*(E89*60)</f>
        <v>6588</v>
      </c>
      <c r="G89" s="2">
        <v>25</v>
      </c>
      <c r="H89" s="2">
        <v>2</v>
      </c>
      <c r="I89" s="2" t="s">
        <v>68</v>
      </c>
      <c r="K89" s="2">
        <v>2</v>
      </c>
    </row>
    <row r="90" spans="1:11" x14ac:dyDescent="0.15">
      <c r="A90" s="2">
        <v>32</v>
      </c>
      <c r="B90" s="3">
        <v>41738</v>
      </c>
      <c r="C90" s="2" t="s">
        <v>71</v>
      </c>
      <c r="D90" s="2">
        <v>2.44</v>
      </c>
      <c r="E90" s="2">
        <v>45</v>
      </c>
      <c r="F90" s="2">
        <f>D90*(E90*60)</f>
        <v>6588</v>
      </c>
      <c r="G90" s="2">
        <v>25</v>
      </c>
      <c r="H90" s="2">
        <v>2</v>
      </c>
      <c r="I90" s="2" t="s">
        <v>24</v>
      </c>
      <c r="K90" s="2">
        <v>35</v>
      </c>
    </row>
    <row r="91" spans="1:11" x14ac:dyDescent="0.15">
      <c r="A91" s="2">
        <v>32</v>
      </c>
      <c r="B91" s="3">
        <v>41738</v>
      </c>
      <c r="C91" s="2" t="s">
        <v>71</v>
      </c>
      <c r="D91" s="2">
        <v>2.44</v>
      </c>
      <c r="E91" s="2">
        <v>45</v>
      </c>
      <c r="F91" s="2">
        <f>D91*(E91*60)</f>
        <v>6588</v>
      </c>
      <c r="G91" s="2">
        <v>25</v>
      </c>
      <c r="H91" s="2">
        <v>2</v>
      </c>
      <c r="I91" s="2" t="s">
        <v>6</v>
      </c>
      <c r="K91" s="2">
        <v>2</v>
      </c>
    </row>
    <row r="92" spans="1:11" x14ac:dyDescent="0.15">
      <c r="A92" s="2">
        <v>32</v>
      </c>
      <c r="B92" s="3">
        <v>41738</v>
      </c>
      <c r="C92" s="2" t="s">
        <v>71</v>
      </c>
      <c r="D92" s="2">
        <v>2.44</v>
      </c>
      <c r="E92" s="2">
        <v>45</v>
      </c>
      <c r="F92" s="2">
        <f>D92*(E92*60)</f>
        <v>6588</v>
      </c>
      <c r="G92" s="2">
        <v>25</v>
      </c>
      <c r="H92" s="2">
        <v>2</v>
      </c>
      <c r="I92" s="2" t="s">
        <v>36</v>
      </c>
      <c r="J92" s="2" t="s">
        <v>39</v>
      </c>
      <c r="K92" s="2">
        <v>1</v>
      </c>
    </row>
    <row r="93" spans="1:11" x14ac:dyDescent="0.15">
      <c r="A93" s="2">
        <v>32</v>
      </c>
      <c r="B93" s="3">
        <v>41738</v>
      </c>
      <c r="C93" s="2" t="s">
        <v>71</v>
      </c>
      <c r="D93" s="2">
        <v>2.44</v>
      </c>
      <c r="E93" s="2">
        <v>45</v>
      </c>
      <c r="F93" s="2">
        <f>D93*(E93*60)</f>
        <v>6588</v>
      </c>
      <c r="G93" s="2">
        <v>25</v>
      </c>
      <c r="H93" s="2">
        <v>2</v>
      </c>
      <c r="I93" s="2" t="s">
        <v>42</v>
      </c>
      <c r="J93" s="2" t="s">
        <v>43</v>
      </c>
      <c r="K93" s="2">
        <v>1</v>
      </c>
    </row>
    <row r="94" spans="1:11" x14ac:dyDescent="0.15">
      <c r="A94" s="2">
        <v>32</v>
      </c>
      <c r="B94" s="3">
        <v>41738</v>
      </c>
      <c r="C94" s="2" t="s">
        <v>71</v>
      </c>
      <c r="D94" s="2">
        <v>2.44</v>
      </c>
      <c r="E94" s="2">
        <v>45</v>
      </c>
      <c r="F94" s="2">
        <f>D94*(E94*60)</f>
        <v>6588</v>
      </c>
      <c r="G94" s="2">
        <v>25</v>
      </c>
      <c r="H94" s="2">
        <v>2</v>
      </c>
      <c r="I94" s="2" t="s">
        <v>29</v>
      </c>
      <c r="J94" s="2" t="s">
        <v>33</v>
      </c>
      <c r="K94" s="2">
        <v>2</v>
      </c>
    </row>
    <row r="95" spans="1:11" x14ac:dyDescent="0.15">
      <c r="A95" s="2">
        <v>32</v>
      </c>
      <c r="B95" s="3">
        <v>41738</v>
      </c>
      <c r="C95" s="2" t="s">
        <v>71</v>
      </c>
      <c r="D95" s="2">
        <v>2.44</v>
      </c>
      <c r="E95" s="2">
        <v>45</v>
      </c>
      <c r="F95" s="2">
        <f>D95*(E95*60)</f>
        <v>6588</v>
      </c>
      <c r="G95" s="2">
        <v>25</v>
      </c>
      <c r="H95" s="2">
        <v>2</v>
      </c>
      <c r="I95" s="2" t="s">
        <v>47</v>
      </c>
      <c r="K95" s="2">
        <v>1</v>
      </c>
    </row>
    <row r="96" spans="1:11" x14ac:dyDescent="0.15">
      <c r="A96" s="2">
        <v>32</v>
      </c>
      <c r="B96" s="3">
        <v>41738</v>
      </c>
      <c r="C96" s="2" t="s">
        <v>71</v>
      </c>
      <c r="D96" s="2">
        <v>2.44</v>
      </c>
      <c r="E96" s="2">
        <v>45</v>
      </c>
      <c r="F96" s="2">
        <f>D96*(E96*60)</f>
        <v>6588</v>
      </c>
      <c r="G96" s="2">
        <v>25</v>
      </c>
      <c r="H96" s="2">
        <v>2</v>
      </c>
      <c r="I96" s="2" t="s">
        <v>66</v>
      </c>
      <c r="K96" s="2">
        <v>1</v>
      </c>
    </row>
    <row r="97" spans="1:11" x14ac:dyDescent="0.15">
      <c r="A97" s="2">
        <v>32</v>
      </c>
      <c r="B97" s="3">
        <v>41738</v>
      </c>
      <c r="C97" s="2" t="s">
        <v>71</v>
      </c>
      <c r="D97" s="2">
        <v>2.44</v>
      </c>
      <c r="E97" s="2">
        <v>45</v>
      </c>
      <c r="F97" s="2">
        <f>D97*(E97*60)</f>
        <v>6588</v>
      </c>
      <c r="G97" s="2">
        <v>25</v>
      </c>
      <c r="H97" s="2">
        <v>2</v>
      </c>
      <c r="I97" s="2" t="s">
        <v>19</v>
      </c>
      <c r="K97" s="2">
        <v>1</v>
      </c>
    </row>
    <row r="98" spans="1:11" x14ac:dyDescent="0.15">
      <c r="A98" s="2">
        <v>32</v>
      </c>
      <c r="B98" s="3">
        <v>41738</v>
      </c>
      <c r="C98" s="2" t="s">
        <v>71</v>
      </c>
      <c r="D98" s="2">
        <v>2.44</v>
      </c>
      <c r="E98" s="2">
        <v>45</v>
      </c>
      <c r="F98" s="2">
        <f>D98*(E98*60)</f>
        <v>6588</v>
      </c>
      <c r="G98" s="2">
        <v>25</v>
      </c>
      <c r="H98" s="2">
        <v>2</v>
      </c>
      <c r="I98" s="2" t="s">
        <v>65</v>
      </c>
      <c r="K98" s="2">
        <v>1</v>
      </c>
    </row>
    <row r="99" spans="1:11" x14ac:dyDescent="0.15">
      <c r="A99" s="2">
        <v>32</v>
      </c>
      <c r="B99" s="3">
        <v>41738</v>
      </c>
      <c r="C99" s="2" t="s">
        <v>71</v>
      </c>
      <c r="D99" s="2">
        <v>2.44</v>
      </c>
      <c r="E99" s="2">
        <v>45</v>
      </c>
      <c r="F99" s="2">
        <f>D99*(E99*60)</f>
        <v>6588</v>
      </c>
      <c r="G99" s="2">
        <v>25</v>
      </c>
      <c r="H99" s="2">
        <v>2</v>
      </c>
      <c r="I99" s="2" t="s">
        <v>20</v>
      </c>
      <c r="J99" s="2" t="s">
        <v>78</v>
      </c>
      <c r="K99" s="2">
        <v>1</v>
      </c>
    </row>
    <row r="100" spans="1:11" x14ac:dyDescent="0.15">
      <c r="A100" s="2">
        <v>32</v>
      </c>
      <c r="B100" s="3">
        <v>41738</v>
      </c>
      <c r="C100" s="2" t="s">
        <v>71</v>
      </c>
      <c r="D100" s="2">
        <v>2.44</v>
      </c>
      <c r="E100" s="2">
        <v>45</v>
      </c>
      <c r="F100" s="2">
        <f>D100*(E100*60)</f>
        <v>6588</v>
      </c>
      <c r="G100" s="2">
        <v>25</v>
      </c>
      <c r="H100" s="2">
        <v>2</v>
      </c>
      <c r="I100" s="2" t="s">
        <v>51</v>
      </c>
      <c r="K100" s="2">
        <v>2</v>
      </c>
    </row>
    <row r="101" spans="1:11" x14ac:dyDescent="0.15">
      <c r="A101" s="2">
        <v>20</v>
      </c>
      <c r="B101" s="3">
        <v>41743</v>
      </c>
      <c r="C101" s="2" t="s">
        <v>63</v>
      </c>
      <c r="D101" s="2">
        <v>1.7549999999999999</v>
      </c>
      <c r="E101" s="2">
        <v>65</v>
      </c>
      <c r="F101" s="2">
        <f>D101*(E101*60)</f>
        <v>6844.5</v>
      </c>
      <c r="G101" s="2">
        <v>25</v>
      </c>
      <c r="H101" s="2">
        <v>2</v>
      </c>
      <c r="I101" s="2" t="s">
        <v>76</v>
      </c>
      <c r="K101" s="2">
        <v>49</v>
      </c>
    </row>
    <row r="102" spans="1:11" x14ac:dyDescent="0.15">
      <c r="A102" s="2">
        <v>20</v>
      </c>
      <c r="B102" s="3">
        <v>41743</v>
      </c>
      <c r="C102" s="2" t="s">
        <v>63</v>
      </c>
      <c r="D102" s="2">
        <v>1.7549999999999999</v>
      </c>
      <c r="E102" s="2">
        <v>65</v>
      </c>
      <c r="F102" s="2">
        <f>D102*(E102*60)</f>
        <v>6844.5</v>
      </c>
      <c r="G102" s="2">
        <v>25</v>
      </c>
      <c r="H102" s="2">
        <v>2</v>
      </c>
      <c r="I102" s="2" t="s">
        <v>17</v>
      </c>
      <c r="J102" s="2" t="s">
        <v>18</v>
      </c>
      <c r="K102" s="2">
        <v>55</v>
      </c>
    </row>
    <row r="103" spans="1:11" x14ac:dyDescent="0.15">
      <c r="A103" s="2">
        <v>20</v>
      </c>
      <c r="B103" s="3">
        <v>41743</v>
      </c>
      <c r="C103" s="2" t="s">
        <v>63</v>
      </c>
      <c r="D103" s="2">
        <v>1.7549999999999999</v>
      </c>
      <c r="E103" s="2">
        <v>65</v>
      </c>
      <c r="F103" s="2">
        <f>D103*(E103*60)</f>
        <v>6844.5</v>
      </c>
      <c r="G103" s="2">
        <v>25</v>
      </c>
      <c r="H103" s="2">
        <v>2</v>
      </c>
      <c r="I103" s="2" t="s">
        <v>22</v>
      </c>
      <c r="K103" s="2">
        <v>2</v>
      </c>
    </row>
    <row r="104" spans="1:11" x14ac:dyDescent="0.15">
      <c r="A104" s="2">
        <v>20</v>
      </c>
      <c r="B104" s="3">
        <v>41743</v>
      </c>
      <c r="C104" s="2" t="s">
        <v>63</v>
      </c>
      <c r="D104" s="2">
        <v>1.7549999999999999</v>
      </c>
      <c r="E104" s="2">
        <v>65</v>
      </c>
      <c r="F104" s="2">
        <f>D104*(E104*60)</f>
        <v>6844.5</v>
      </c>
      <c r="G104" s="2">
        <v>25</v>
      </c>
      <c r="H104" s="2">
        <v>2</v>
      </c>
      <c r="I104" s="2" t="s">
        <v>19</v>
      </c>
      <c r="K104" s="2">
        <v>5</v>
      </c>
    </row>
    <row r="105" spans="1:11" x14ac:dyDescent="0.15">
      <c r="A105" s="2">
        <v>20</v>
      </c>
      <c r="B105" s="3">
        <v>41743</v>
      </c>
      <c r="C105" s="2" t="s">
        <v>63</v>
      </c>
      <c r="D105" s="2">
        <v>1.7549999999999999</v>
      </c>
      <c r="E105" s="2">
        <v>65</v>
      </c>
      <c r="F105" s="2">
        <f>D105*(E105*60)</f>
        <v>6844.5</v>
      </c>
      <c r="G105" s="2">
        <v>25</v>
      </c>
      <c r="H105" s="2">
        <v>2</v>
      </c>
      <c r="I105" s="2" t="s">
        <v>13</v>
      </c>
      <c r="J105" s="2" t="s">
        <v>15</v>
      </c>
      <c r="K105" s="2">
        <v>17</v>
      </c>
    </row>
    <row r="106" spans="1:11" x14ac:dyDescent="0.15">
      <c r="A106" s="2">
        <v>20</v>
      </c>
      <c r="B106" s="3">
        <v>41743</v>
      </c>
      <c r="C106" s="2" t="s">
        <v>63</v>
      </c>
      <c r="D106" s="2">
        <v>1.7549999999999999</v>
      </c>
      <c r="E106" s="2">
        <v>65</v>
      </c>
      <c r="F106" s="2">
        <f>D106*(E106*60)</f>
        <v>6844.5</v>
      </c>
      <c r="G106" s="2">
        <v>25</v>
      </c>
      <c r="H106" s="2">
        <v>2</v>
      </c>
      <c r="I106" s="2" t="s">
        <v>16</v>
      </c>
      <c r="K106" s="2">
        <v>3</v>
      </c>
    </row>
    <row r="107" spans="1:11" x14ac:dyDescent="0.15">
      <c r="A107" s="2">
        <v>20</v>
      </c>
      <c r="B107" s="3">
        <v>41743</v>
      </c>
      <c r="C107" s="2" t="s">
        <v>63</v>
      </c>
      <c r="D107" s="2">
        <v>1.7549999999999999</v>
      </c>
      <c r="E107" s="2">
        <v>65</v>
      </c>
      <c r="F107" s="2">
        <f>D107*(E107*60)</f>
        <v>6844.5</v>
      </c>
      <c r="G107" s="2">
        <v>25</v>
      </c>
      <c r="H107" s="2">
        <v>2</v>
      </c>
      <c r="I107" s="2" t="s">
        <v>47</v>
      </c>
      <c r="J107" s="2" t="s">
        <v>48</v>
      </c>
      <c r="K107" s="2">
        <v>55</v>
      </c>
    </row>
    <row r="108" spans="1:11" x14ac:dyDescent="0.15">
      <c r="A108" s="2">
        <v>20</v>
      </c>
      <c r="B108" s="3">
        <v>41743</v>
      </c>
      <c r="C108" s="2" t="s">
        <v>63</v>
      </c>
      <c r="D108" s="2">
        <v>1.7549999999999999</v>
      </c>
      <c r="E108" s="2">
        <v>65</v>
      </c>
      <c r="F108" s="2">
        <f>D108*(E108*60)</f>
        <v>6844.5</v>
      </c>
      <c r="G108" s="2">
        <v>25</v>
      </c>
      <c r="H108" s="2">
        <v>2</v>
      </c>
      <c r="I108" s="2" t="s">
        <v>47</v>
      </c>
      <c r="K108" s="2">
        <v>3</v>
      </c>
    </row>
    <row r="109" spans="1:11" x14ac:dyDescent="0.15">
      <c r="A109" s="2">
        <v>20</v>
      </c>
      <c r="B109" s="3">
        <v>41743</v>
      </c>
      <c r="C109" s="2" t="s">
        <v>63</v>
      </c>
      <c r="D109" s="2">
        <v>1.7549999999999999</v>
      </c>
      <c r="E109" s="2">
        <v>65</v>
      </c>
      <c r="F109" s="2">
        <f>D109*(E109*60)</f>
        <v>6844.5</v>
      </c>
      <c r="G109" s="2">
        <v>25</v>
      </c>
      <c r="H109" s="2">
        <v>2</v>
      </c>
      <c r="I109" s="2" t="s">
        <v>29</v>
      </c>
      <c r="J109" s="2" t="s">
        <v>33</v>
      </c>
      <c r="K109" s="2">
        <v>4</v>
      </c>
    </row>
    <row r="110" spans="1:11" x14ac:dyDescent="0.15">
      <c r="A110" s="2">
        <v>20</v>
      </c>
      <c r="B110" s="3">
        <v>41743</v>
      </c>
      <c r="C110" s="2" t="s">
        <v>63</v>
      </c>
      <c r="D110" s="2">
        <v>1.7549999999999999</v>
      </c>
      <c r="E110" s="2">
        <v>65</v>
      </c>
      <c r="F110" s="2">
        <f>D110*(E110*60)</f>
        <v>6844.5</v>
      </c>
      <c r="G110" s="2">
        <v>25</v>
      </c>
      <c r="H110" s="2">
        <v>2</v>
      </c>
      <c r="I110" s="2" t="s">
        <v>26</v>
      </c>
      <c r="K110" s="2">
        <v>2</v>
      </c>
    </row>
    <row r="111" spans="1:11" x14ac:dyDescent="0.15">
      <c r="A111" s="2">
        <v>20</v>
      </c>
      <c r="B111" s="3">
        <v>41743</v>
      </c>
      <c r="C111" s="2" t="s">
        <v>63</v>
      </c>
      <c r="D111" s="2">
        <v>1.7549999999999999</v>
      </c>
      <c r="E111" s="2">
        <v>65</v>
      </c>
      <c r="F111" s="2">
        <f>D111*(E111*60)</f>
        <v>6844.5</v>
      </c>
      <c r="G111" s="2">
        <v>25</v>
      </c>
      <c r="H111" s="2">
        <v>2</v>
      </c>
      <c r="I111" s="2" t="s">
        <v>50</v>
      </c>
      <c r="K111" s="2">
        <v>1</v>
      </c>
    </row>
    <row r="112" spans="1:11" x14ac:dyDescent="0.15">
      <c r="A112" s="2">
        <v>20</v>
      </c>
      <c r="B112" s="3">
        <v>41743</v>
      </c>
      <c r="C112" s="2" t="s">
        <v>63</v>
      </c>
      <c r="D112" s="2">
        <v>1.7549999999999999</v>
      </c>
      <c r="E112" s="2">
        <v>65</v>
      </c>
      <c r="F112" s="2">
        <f>D112*(E112*60)</f>
        <v>6844.5</v>
      </c>
      <c r="G112" s="2">
        <v>25</v>
      </c>
      <c r="H112" s="2">
        <v>2</v>
      </c>
      <c r="I112" s="2" t="s">
        <v>44</v>
      </c>
      <c r="K112" s="2">
        <v>3</v>
      </c>
    </row>
    <row r="113" spans="1:11" x14ac:dyDescent="0.15">
      <c r="A113" s="2">
        <v>20</v>
      </c>
      <c r="B113" s="3">
        <v>41743</v>
      </c>
      <c r="C113" s="2" t="s">
        <v>63</v>
      </c>
      <c r="D113" s="2">
        <v>1.7549999999999999</v>
      </c>
      <c r="E113" s="2">
        <v>65</v>
      </c>
      <c r="F113" s="2">
        <f>D113*(E113*60)</f>
        <v>6844.5</v>
      </c>
      <c r="G113" s="2">
        <v>25</v>
      </c>
      <c r="H113" s="2">
        <v>2</v>
      </c>
      <c r="I113" s="2" t="s">
        <v>36</v>
      </c>
      <c r="K113" s="2">
        <v>1</v>
      </c>
    </row>
    <row r="114" spans="1:11" x14ac:dyDescent="0.15">
      <c r="A114" s="2">
        <v>20</v>
      </c>
      <c r="B114" s="3">
        <v>41743</v>
      </c>
      <c r="C114" s="2" t="s">
        <v>63</v>
      </c>
      <c r="D114" s="2">
        <v>1.7549999999999999</v>
      </c>
      <c r="E114" s="2">
        <v>65</v>
      </c>
      <c r="F114" s="2">
        <f>D114*(E114*60)</f>
        <v>6844.5</v>
      </c>
      <c r="G114" s="2">
        <v>25</v>
      </c>
      <c r="H114" s="2">
        <v>2</v>
      </c>
      <c r="I114" s="2" t="s">
        <v>51</v>
      </c>
      <c r="K114" s="2">
        <v>3</v>
      </c>
    </row>
    <row r="115" spans="1:11" x14ac:dyDescent="0.15">
      <c r="A115" s="2">
        <v>5</v>
      </c>
      <c r="B115" s="3">
        <v>41743</v>
      </c>
      <c r="C115" s="2" t="s">
        <v>70</v>
      </c>
      <c r="D115" s="2">
        <v>2.27</v>
      </c>
      <c r="E115" s="2">
        <v>53</v>
      </c>
      <c r="F115" s="2">
        <f>D115*(E115*60)</f>
        <v>7218.6</v>
      </c>
      <c r="G115" s="2">
        <v>35</v>
      </c>
      <c r="H115" s="2">
        <v>5</v>
      </c>
      <c r="I115" s="2" t="s">
        <v>11</v>
      </c>
      <c r="K115" s="2">
        <v>5</v>
      </c>
    </row>
    <row r="116" spans="1:11" x14ac:dyDescent="0.15">
      <c r="A116" s="2">
        <v>5</v>
      </c>
      <c r="B116" s="3">
        <v>41743</v>
      </c>
      <c r="C116" s="2" t="s">
        <v>70</v>
      </c>
      <c r="D116" s="2">
        <v>2.27</v>
      </c>
      <c r="E116" s="2">
        <v>53</v>
      </c>
      <c r="F116" s="2">
        <f>D116*(E116*60)</f>
        <v>7218.6</v>
      </c>
      <c r="G116" s="2">
        <v>35</v>
      </c>
      <c r="H116" s="2">
        <v>5</v>
      </c>
      <c r="I116" s="2" t="s">
        <v>7</v>
      </c>
      <c r="K116" s="2">
        <v>15</v>
      </c>
    </row>
    <row r="117" spans="1:11" x14ac:dyDescent="0.15">
      <c r="A117" s="2">
        <v>5</v>
      </c>
      <c r="B117" s="3">
        <v>41743</v>
      </c>
      <c r="C117" s="2" t="s">
        <v>70</v>
      </c>
      <c r="D117" s="2">
        <v>2.27</v>
      </c>
      <c r="E117" s="2">
        <v>53</v>
      </c>
      <c r="F117" s="2">
        <f>D117*(E117*60)</f>
        <v>7218.6</v>
      </c>
      <c r="G117" s="2">
        <v>35</v>
      </c>
      <c r="H117" s="2">
        <v>5</v>
      </c>
      <c r="I117" s="2" t="s">
        <v>26</v>
      </c>
      <c r="K117" s="2">
        <v>25</v>
      </c>
    </row>
    <row r="118" spans="1:11" x14ac:dyDescent="0.15">
      <c r="A118" s="2">
        <v>5</v>
      </c>
      <c r="B118" s="3">
        <v>41743</v>
      </c>
      <c r="C118" s="2" t="s">
        <v>70</v>
      </c>
      <c r="D118" s="2">
        <v>2.27</v>
      </c>
      <c r="E118" s="2">
        <v>53</v>
      </c>
      <c r="F118" s="2">
        <f>D118*(E118*60)</f>
        <v>7218.6</v>
      </c>
      <c r="G118" s="2">
        <v>35</v>
      </c>
      <c r="H118" s="2">
        <v>5</v>
      </c>
      <c r="I118" s="2" t="s">
        <v>29</v>
      </c>
      <c r="K118" s="2">
        <v>1</v>
      </c>
    </row>
    <row r="119" spans="1:11" x14ac:dyDescent="0.15">
      <c r="A119" s="2">
        <v>5</v>
      </c>
      <c r="B119" s="3">
        <v>41743</v>
      </c>
      <c r="C119" s="2" t="s">
        <v>70</v>
      </c>
      <c r="D119" s="2">
        <v>2.27</v>
      </c>
      <c r="E119" s="2">
        <v>53</v>
      </c>
      <c r="F119" s="2">
        <f>D119*(E119*60)</f>
        <v>7218.6</v>
      </c>
      <c r="G119" s="2">
        <v>35</v>
      </c>
      <c r="H119" s="2">
        <v>5</v>
      </c>
      <c r="I119" s="2" t="s">
        <v>24</v>
      </c>
      <c r="K119" s="2">
        <v>26</v>
      </c>
    </row>
    <row r="120" spans="1:11" x14ac:dyDescent="0.15">
      <c r="A120" s="2">
        <v>5</v>
      </c>
      <c r="B120" s="3">
        <v>41743</v>
      </c>
      <c r="C120" s="2" t="s">
        <v>70</v>
      </c>
      <c r="D120" s="2">
        <v>2.27</v>
      </c>
      <c r="E120" s="2">
        <v>53</v>
      </c>
      <c r="F120" s="2">
        <f>D120*(E120*60)</f>
        <v>7218.6</v>
      </c>
      <c r="G120" s="2">
        <v>35</v>
      </c>
      <c r="H120" s="2">
        <v>5</v>
      </c>
      <c r="I120" s="2" t="s">
        <v>47</v>
      </c>
      <c r="J120" s="2" t="s">
        <v>48</v>
      </c>
      <c r="K120" s="2">
        <v>41</v>
      </c>
    </row>
    <row r="121" spans="1:11" x14ac:dyDescent="0.15">
      <c r="A121" s="2">
        <v>5</v>
      </c>
      <c r="B121" s="3">
        <v>41743</v>
      </c>
      <c r="C121" s="2" t="s">
        <v>70</v>
      </c>
      <c r="D121" s="2">
        <v>2.27</v>
      </c>
      <c r="E121" s="2">
        <v>53</v>
      </c>
      <c r="F121" s="2">
        <f>D121*(E121*60)</f>
        <v>7218.6</v>
      </c>
      <c r="G121" s="2">
        <v>35</v>
      </c>
      <c r="H121" s="2">
        <v>5</v>
      </c>
      <c r="I121" s="2" t="s">
        <v>69</v>
      </c>
      <c r="K121" s="2">
        <v>2</v>
      </c>
    </row>
    <row r="122" spans="1:11" x14ac:dyDescent="0.15">
      <c r="A122" s="2">
        <v>5</v>
      </c>
      <c r="B122" s="3">
        <v>41743</v>
      </c>
      <c r="C122" s="2" t="s">
        <v>70</v>
      </c>
      <c r="D122" s="2">
        <v>2.27</v>
      </c>
      <c r="E122" s="2">
        <v>53</v>
      </c>
      <c r="F122" s="2">
        <f>D122*(E122*60)</f>
        <v>7218.6</v>
      </c>
      <c r="G122" s="2">
        <v>35</v>
      </c>
      <c r="H122" s="2">
        <v>5</v>
      </c>
      <c r="I122" s="2" t="s">
        <v>17</v>
      </c>
      <c r="J122" s="2" t="s">
        <v>18</v>
      </c>
      <c r="K122" s="2">
        <v>58</v>
      </c>
    </row>
    <row r="123" spans="1:11" x14ac:dyDescent="0.15">
      <c r="A123" s="2">
        <v>5</v>
      </c>
      <c r="B123" s="3">
        <v>41743</v>
      </c>
      <c r="C123" s="2" t="s">
        <v>70</v>
      </c>
      <c r="D123" s="2">
        <v>2.27</v>
      </c>
      <c r="E123" s="2">
        <v>53</v>
      </c>
      <c r="F123" s="2">
        <f>D123*(E123*60)</f>
        <v>7218.6</v>
      </c>
      <c r="G123" s="2">
        <v>35</v>
      </c>
      <c r="H123" s="2">
        <v>5</v>
      </c>
      <c r="I123" s="2" t="s">
        <v>74</v>
      </c>
      <c r="K123" s="2">
        <v>4</v>
      </c>
    </row>
    <row r="124" spans="1:11" x14ac:dyDescent="0.15">
      <c r="A124" s="2">
        <v>5</v>
      </c>
      <c r="B124" s="3">
        <v>41743</v>
      </c>
      <c r="C124" s="2" t="s">
        <v>70</v>
      </c>
      <c r="D124" s="2">
        <v>2.27</v>
      </c>
      <c r="E124" s="2">
        <v>53</v>
      </c>
      <c r="F124" s="2">
        <f>D124*(E124*60)</f>
        <v>7218.6</v>
      </c>
      <c r="G124" s="2">
        <v>35</v>
      </c>
      <c r="H124" s="2">
        <v>5</v>
      </c>
      <c r="I124" s="2" t="s">
        <v>19</v>
      </c>
      <c r="K124" s="2">
        <v>6</v>
      </c>
    </row>
    <row r="125" spans="1:11" x14ac:dyDescent="0.15">
      <c r="A125" s="2">
        <v>5</v>
      </c>
      <c r="B125" s="3">
        <v>41743</v>
      </c>
      <c r="C125" s="2" t="s">
        <v>70</v>
      </c>
      <c r="D125" s="2">
        <v>2.27</v>
      </c>
      <c r="E125" s="2">
        <v>53</v>
      </c>
      <c r="F125" s="2">
        <f>D125*(E125*60)</f>
        <v>7218.6</v>
      </c>
      <c r="G125" s="2">
        <v>35</v>
      </c>
      <c r="H125" s="2">
        <v>5</v>
      </c>
      <c r="I125" s="2" t="s">
        <v>36</v>
      </c>
      <c r="K125" s="2">
        <v>1</v>
      </c>
    </row>
    <row r="126" spans="1:11" x14ac:dyDescent="0.15">
      <c r="A126" s="2">
        <v>5</v>
      </c>
      <c r="B126" s="3">
        <v>41743</v>
      </c>
      <c r="C126" s="2" t="s">
        <v>70</v>
      </c>
      <c r="D126" s="2">
        <v>2.27</v>
      </c>
      <c r="E126" s="2">
        <v>53</v>
      </c>
      <c r="F126" s="2">
        <f>D126*(E126*60)</f>
        <v>7218.6</v>
      </c>
      <c r="G126" s="2">
        <v>35</v>
      </c>
      <c r="H126" s="2">
        <v>5</v>
      </c>
      <c r="I126" s="2" t="s">
        <v>16</v>
      </c>
      <c r="K126" s="2">
        <v>6</v>
      </c>
    </row>
    <row r="127" spans="1:11" x14ac:dyDescent="0.15">
      <c r="A127" s="2">
        <v>5</v>
      </c>
      <c r="B127" s="3">
        <v>41743</v>
      </c>
      <c r="C127" s="2" t="s">
        <v>70</v>
      </c>
      <c r="D127" s="2">
        <v>2.27</v>
      </c>
      <c r="E127" s="2">
        <v>53</v>
      </c>
      <c r="F127" s="2">
        <f>D127*(E127*60)</f>
        <v>7218.6</v>
      </c>
      <c r="G127" s="2">
        <v>35</v>
      </c>
      <c r="H127" s="2">
        <v>5</v>
      </c>
      <c r="I127" s="2" t="s">
        <v>47</v>
      </c>
      <c r="J127" s="2" t="s">
        <v>64</v>
      </c>
      <c r="K127" s="2">
        <v>1</v>
      </c>
    </row>
    <row r="128" spans="1:11" x14ac:dyDescent="0.15">
      <c r="A128" s="2">
        <v>5</v>
      </c>
      <c r="B128" s="3">
        <v>41743</v>
      </c>
      <c r="C128" s="2" t="s">
        <v>70</v>
      </c>
      <c r="D128" s="2">
        <v>2.27</v>
      </c>
      <c r="E128" s="2">
        <v>53</v>
      </c>
      <c r="F128" s="2">
        <f>D128*(E128*60)</f>
        <v>7218.6</v>
      </c>
      <c r="G128" s="2">
        <v>35</v>
      </c>
      <c r="H128" s="2">
        <v>5</v>
      </c>
      <c r="I128" s="2" t="s">
        <v>13</v>
      </c>
      <c r="J128" s="2" t="s">
        <v>79</v>
      </c>
      <c r="K128" s="2">
        <v>2</v>
      </c>
    </row>
    <row r="129" spans="1:11" x14ac:dyDescent="0.15">
      <c r="A129" s="2">
        <v>5</v>
      </c>
      <c r="B129" s="3">
        <v>41743</v>
      </c>
      <c r="C129" s="2" t="s">
        <v>70</v>
      </c>
      <c r="D129" s="2">
        <v>2.27</v>
      </c>
      <c r="E129" s="2">
        <v>53</v>
      </c>
      <c r="F129" s="2">
        <f>D129*(E129*60)</f>
        <v>7218.6</v>
      </c>
      <c r="G129" s="2">
        <v>35</v>
      </c>
      <c r="H129" s="2">
        <v>5</v>
      </c>
      <c r="I129" s="2" t="s">
        <v>68</v>
      </c>
      <c r="K129" s="2">
        <v>3</v>
      </c>
    </row>
    <row r="130" spans="1:11" x14ac:dyDescent="0.15">
      <c r="A130" s="2">
        <v>5</v>
      </c>
      <c r="B130" s="3">
        <v>41743</v>
      </c>
      <c r="C130" s="2" t="s">
        <v>70</v>
      </c>
      <c r="D130" s="2">
        <v>2.27</v>
      </c>
      <c r="E130" s="2">
        <v>53</v>
      </c>
      <c r="F130" s="2">
        <f>D130*(E130*60)</f>
        <v>7218.6</v>
      </c>
      <c r="G130" s="2">
        <v>35</v>
      </c>
      <c r="H130" s="2">
        <v>5</v>
      </c>
      <c r="I130" s="2" t="s">
        <v>47</v>
      </c>
      <c r="K130" s="2">
        <v>2</v>
      </c>
    </row>
    <row r="131" spans="1:11" x14ac:dyDescent="0.15">
      <c r="A131" s="2">
        <v>5</v>
      </c>
      <c r="B131" s="3">
        <v>41743</v>
      </c>
      <c r="C131" s="2" t="s">
        <v>70</v>
      </c>
      <c r="D131" s="2">
        <v>2.27</v>
      </c>
      <c r="E131" s="2">
        <v>53</v>
      </c>
      <c r="F131" s="2">
        <f>D131*(E131*60)</f>
        <v>7218.6</v>
      </c>
      <c r="G131" s="2">
        <v>35</v>
      </c>
      <c r="H131" s="2">
        <v>5</v>
      </c>
      <c r="I131" s="2" t="s">
        <v>6</v>
      </c>
      <c r="K131" s="2">
        <v>2</v>
      </c>
    </row>
    <row r="132" spans="1:11" x14ac:dyDescent="0.15">
      <c r="A132" s="2">
        <v>5</v>
      </c>
      <c r="B132" s="3">
        <v>41743</v>
      </c>
      <c r="C132" s="2" t="s">
        <v>70</v>
      </c>
      <c r="D132" s="2">
        <v>2.27</v>
      </c>
      <c r="E132" s="2">
        <v>53</v>
      </c>
      <c r="F132" s="2">
        <f>D132*(E132*60)</f>
        <v>7218.6</v>
      </c>
      <c r="G132" s="2">
        <v>35</v>
      </c>
      <c r="H132" s="2">
        <v>5</v>
      </c>
      <c r="I132" s="2" t="s">
        <v>66</v>
      </c>
      <c r="K132" s="2">
        <v>2</v>
      </c>
    </row>
    <row r="133" spans="1:11" x14ac:dyDescent="0.15">
      <c r="A133" s="2">
        <v>5</v>
      </c>
      <c r="B133" s="3">
        <v>41743</v>
      </c>
      <c r="C133" s="2" t="s">
        <v>70</v>
      </c>
      <c r="D133" s="2">
        <v>2.27</v>
      </c>
      <c r="E133" s="2">
        <v>53</v>
      </c>
      <c r="F133" s="2">
        <f>D133*(E133*60)</f>
        <v>7218.6</v>
      </c>
      <c r="G133" s="2">
        <v>35</v>
      </c>
      <c r="H133" s="2">
        <v>5</v>
      </c>
      <c r="I133" s="2" t="s">
        <v>13</v>
      </c>
      <c r="J133" s="2" t="s">
        <v>15</v>
      </c>
      <c r="K133" s="2">
        <v>2</v>
      </c>
    </row>
    <row r="134" spans="1:11" x14ac:dyDescent="0.15">
      <c r="A134" s="2">
        <v>5</v>
      </c>
      <c r="B134" s="3">
        <v>41743</v>
      </c>
      <c r="C134" s="2" t="s">
        <v>70</v>
      </c>
      <c r="D134" s="2">
        <v>2.27</v>
      </c>
      <c r="E134" s="2">
        <v>53</v>
      </c>
      <c r="F134" s="2">
        <f>D134*(E134*60)</f>
        <v>7218.6</v>
      </c>
      <c r="G134" s="2">
        <v>35</v>
      </c>
      <c r="H134" s="2">
        <v>5</v>
      </c>
      <c r="I134" s="2" t="s">
        <v>44</v>
      </c>
      <c r="K134" s="2">
        <v>2</v>
      </c>
    </row>
    <row r="135" spans="1:11" x14ac:dyDescent="0.15">
      <c r="A135" s="2">
        <v>6</v>
      </c>
      <c r="B135" s="3">
        <v>41743</v>
      </c>
      <c r="C135" s="2" t="s">
        <v>70</v>
      </c>
      <c r="D135" s="2">
        <v>2.27</v>
      </c>
      <c r="E135" s="2">
        <v>53</v>
      </c>
      <c r="F135" s="2">
        <f>D135*(E135*60)</f>
        <v>7218.6</v>
      </c>
      <c r="G135" s="2">
        <v>35</v>
      </c>
      <c r="H135" s="2">
        <v>5</v>
      </c>
      <c r="I135" s="2" t="s">
        <v>47</v>
      </c>
      <c r="J135" s="2" t="s">
        <v>48</v>
      </c>
      <c r="K135" s="2">
        <v>31</v>
      </c>
    </row>
    <row r="136" spans="1:11" x14ac:dyDescent="0.15">
      <c r="A136" s="2">
        <v>6</v>
      </c>
      <c r="B136" s="3">
        <v>41743</v>
      </c>
      <c r="C136" s="2" t="s">
        <v>70</v>
      </c>
      <c r="D136" s="2">
        <v>2.27</v>
      </c>
      <c r="E136" s="2">
        <v>53</v>
      </c>
      <c r="F136" s="2">
        <f>D136*(E136*60)</f>
        <v>7218.6</v>
      </c>
      <c r="G136" s="2">
        <v>35</v>
      </c>
      <c r="H136" s="2">
        <v>5</v>
      </c>
      <c r="I136" s="2" t="s">
        <v>26</v>
      </c>
      <c r="K136" s="2">
        <v>11</v>
      </c>
    </row>
    <row r="137" spans="1:11" x14ac:dyDescent="0.15">
      <c r="A137" s="2">
        <v>6</v>
      </c>
      <c r="B137" s="3">
        <v>41743</v>
      </c>
      <c r="C137" s="2" t="s">
        <v>70</v>
      </c>
      <c r="D137" s="2">
        <v>2.27</v>
      </c>
      <c r="E137" s="2">
        <v>53</v>
      </c>
      <c r="F137" s="2">
        <f>D137*(E137*60)</f>
        <v>7218.6</v>
      </c>
      <c r="G137" s="2">
        <v>35</v>
      </c>
      <c r="H137" s="2">
        <v>5</v>
      </c>
      <c r="I137" s="2" t="s">
        <v>17</v>
      </c>
      <c r="J137" s="2" t="s">
        <v>18</v>
      </c>
      <c r="K137" s="2">
        <v>91</v>
      </c>
    </row>
    <row r="138" spans="1:11" x14ac:dyDescent="0.15">
      <c r="A138" s="2">
        <v>6</v>
      </c>
      <c r="B138" s="3">
        <v>41743</v>
      </c>
      <c r="C138" s="2" t="s">
        <v>70</v>
      </c>
      <c r="D138" s="2">
        <v>2.27</v>
      </c>
      <c r="E138" s="2">
        <v>53</v>
      </c>
      <c r="F138" s="2">
        <f>D138*(E138*60)</f>
        <v>7218.6</v>
      </c>
      <c r="G138" s="2">
        <v>35</v>
      </c>
      <c r="H138" s="2">
        <v>5</v>
      </c>
      <c r="I138" s="2" t="s">
        <v>19</v>
      </c>
      <c r="K138" s="2">
        <v>14</v>
      </c>
    </row>
    <row r="139" spans="1:11" x14ac:dyDescent="0.15">
      <c r="A139" s="2">
        <v>6</v>
      </c>
      <c r="B139" s="3">
        <v>41743</v>
      </c>
      <c r="C139" s="2" t="s">
        <v>70</v>
      </c>
      <c r="D139" s="2">
        <v>2.27</v>
      </c>
      <c r="E139" s="2">
        <v>53</v>
      </c>
      <c r="F139" s="2">
        <f>D139*(E139*60)</f>
        <v>7218.6</v>
      </c>
      <c r="G139" s="2">
        <v>35</v>
      </c>
      <c r="H139" s="2">
        <v>5</v>
      </c>
      <c r="I139" s="2" t="s">
        <v>24</v>
      </c>
      <c r="K139" s="2">
        <v>18</v>
      </c>
    </row>
    <row r="140" spans="1:11" x14ac:dyDescent="0.15">
      <c r="A140" s="2">
        <v>6</v>
      </c>
      <c r="B140" s="3">
        <v>41743</v>
      </c>
      <c r="C140" s="2" t="s">
        <v>70</v>
      </c>
      <c r="D140" s="2">
        <v>2.27</v>
      </c>
      <c r="E140" s="2">
        <v>53</v>
      </c>
      <c r="F140" s="2">
        <f>D140*(E140*60)</f>
        <v>7218.6</v>
      </c>
      <c r="G140" s="2">
        <v>35</v>
      </c>
      <c r="H140" s="2">
        <v>5</v>
      </c>
      <c r="I140" s="2" t="s">
        <v>69</v>
      </c>
      <c r="K140" s="2">
        <v>5</v>
      </c>
    </row>
    <row r="141" spans="1:11" x14ac:dyDescent="0.15">
      <c r="A141" s="2">
        <v>6</v>
      </c>
      <c r="B141" s="3">
        <v>41743</v>
      </c>
      <c r="C141" s="2" t="s">
        <v>70</v>
      </c>
      <c r="D141" s="2">
        <v>2.27</v>
      </c>
      <c r="E141" s="2">
        <v>53</v>
      </c>
      <c r="F141" s="2">
        <f>D141*(E141*60)</f>
        <v>7218.6</v>
      </c>
      <c r="G141" s="2">
        <v>35</v>
      </c>
      <c r="H141" s="2">
        <v>5</v>
      </c>
      <c r="I141" s="2" t="s">
        <v>28</v>
      </c>
      <c r="K141" s="2">
        <v>5</v>
      </c>
    </row>
    <row r="142" spans="1:11" x14ac:dyDescent="0.15">
      <c r="A142" s="2">
        <v>6</v>
      </c>
      <c r="B142" s="3">
        <v>41743</v>
      </c>
      <c r="C142" s="2" t="s">
        <v>70</v>
      </c>
      <c r="D142" s="2">
        <v>2.27</v>
      </c>
      <c r="E142" s="2">
        <v>53</v>
      </c>
      <c r="F142" s="2">
        <f>D142*(E142*60)</f>
        <v>7218.6</v>
      </c>
      <c r="G142" s="2">
        <v>35</v>
      </c>
      <c r="H142" s="2">
        <v>5</v>
      </c>
      <c r="I142" s="2" t="s">
        <v>16</v>
      </c>
      <c r="K142" s="2">
        <v>7</v>
      </c>
    </row>
    <row r="143" spans="1:11" x14ac:dyDescent="0.15">
      <c r="A143" s="2">
        <v>6</v>
      </c>
      <c r="B143" s="3">
        <v>41743</v>
      </c>
      <c r="C143" s="2" t="s">
        <v>70</v>
      </c>
      <c r="D143" s="2">
        <v>2.27</v>
      </c>
      <c r="E143" s="2">
        <v>53</v>
      </c>
      <c r="F143" s="2">
        <f>D143*(E143*60)</f>
        <v>7218.6</v>
      </c>
      <c r="G143" s="2">
        <v>35</v>
      </c>
      <c r="H143" s="2">
        <v>5</v>
      </c>
      <c r="I143" s="2" t="s">
        <v>47</v>
      </c>
      <c r="K143" s="2">
        <v>1</v>
      </c>
    </row>
    <row r="144" spans="1:11" x14ac:dyDescent="0.15">
      <c r="A144" s="2">
        <v>6</v>
      </c>
      <c r="B144" s="3">
        <v>41743</v>
      </c>
      <c r="C144" s="2" t="s">
        <v>70</v>
      </c>
      <c r="D144" s="2">
        <v>2.27</v>
      </c>
      <c r="E144" s="2">
        <v>53</v>
      </c>
      <c r="F144" s="2">
        <f>D144*(E144*60)</f>
        <v>7218.6</v>
      </c>
      <c r="G144" s="2">
        <v>35</v>
      </c>
      <c r="H144" s="2">
        <v>5</v>
      </c>
      <c r="I144" s="2" t="s">
        <v>29</v>
      </c>
      <c r="K144" s="2">
        <v>3</v>
      </c>
    </row>
    <row r="145" spans="1:11" x14ac:dyDescent="0.15">
      <c r="A145" s="2">
        <v>6</v>
      </c>
      <c r="B145" s="3">
        <v>41743</v>
      </c>
      <c r="C145" s="2" t="s">
        <v>70</v>
      </c>
      <c r="D145" s="2">
        <v>2.27</v>
      </c>
      <c r="E145" s="2">
        <v>53</v>
      </c>
      <c r="F145" s="2">
        <f>D145*(E145*60)</f>
        <v>7218.6</v>
      </c>
      <c r="G145" s="2">
        <v>35</v>
      </c>
      <c r="H145" s="2">
        <v>5</v>
      </c>
      <c r="I145" s="2" t="s">
        <v>74</v>
      </c>
      <c r="K145" s="2">
        <v>1</v>
      </c>
    </row>
    <row r="146" spans="1:11" x14ac:dyDescent="0.15">
      <c r="A146" s="2">
        <v>6</v>
      </c>
      <c r="B146" s="3">
        <v>41743</v>
      </c>
      <c r="C146" s="2" t="s">
        <v>70</v>
      </c>
      <c r="D146" s="2">
        <v>2.27</v>
      </c>
      <c r="E146" s="2">
        <v>53</v>
      </c>
      <c r="F146" s="2">
        <f>D146*(E146*60)</f>
        <v>7218.6</v>
      </c>
      <c r="G146" s="2">
        <v>35</v>
      </c>
      <c r="H146" s="2">
        <v>5</v>
      </c>
      <c r="I146" s="2" t="s">
        <v>13</v>
      </c>
      <c r="J146" s="2" t="s">
        <v>15</v>
      </c>
      <c r="K146" s="2">
        <v>6</v>
      </c>
    </row>
    <row r="147" spans="1:11" x14ac:dyDescent="0.15">
      <c r="A147" s="2">
        <v>6</v>
      </c>
      <c r="B147" s="3">
        <v>41743</v>
      </c>
      <c r="C147" s="2" t="s">
        <v>70</v>
      </c>
      <c r="D147" s="2">
        <v>2.27</v>
      </c>
      <c r="E147" s="2">
        <v>53</v>
      </c>
      <c r="F147" s="2">
        <f>D147*(E147*60)</f>
        <v>7218.6</v>
      </c>
      <c r="G147" s="2">
        <v>35</v>
      </c>
      <c r="H147" s="2">
        <v>5</v>
      </c>
      <c r="I147" s="2" t="s">
        <v>42</v>
      </c>
      <c r="J147" s="2" t="s">
        <v>43</v>
      </c>
      <c r="K147" s="2">
        <v>1</v>
      </c>
    </row>
    <row r="148" spans="1:11" x14ac:dyDescent="0.15">
      <c r="A148" s="2">
        <v>6</v>
      </c>
      <c r="B148" s="3">
        <v>41743</v>
      </c>
      <c r="C148" s="2" t="s">
        <v>70</v>
      </c>
      <c r="D148" s="2">
        <v>2.27</v>
      </c>
      <c r="E148" s="2">
        <v>53</v>
      </c>
      <c r="F148" s="2">
        <f>D148*(E148*60)</f>
        <v>7218.6</v>
      </c>
      <c r="G148" s="2">
        <v>35</v>
      </c>
      <c r="H148" s="2">
        <v>5</v>
      </c>
      <c r="I148" s="2" t="s">
        <v>29</v>
      </c>
      <c r="J148" s="2" t="s">
        <v>33</v>
      </c>
      <c r="K148" s="2">
        <v>1</v>
      </c>
    </row>
    <row r="149" spans="1:11" x14ac:dyDescent="0.15">
      <c r="A149" s="2">
        <v>6</v>
      </c>
      <c r="B149" s="3">
        <v>41743</v>
      </c>
      <c r="C149" s="2" t="s">
        <v>70</v>
      </c>
      <c r="D149" s="2">
        <v>2.27</v>
      </c>
      <c r="E149" s="2">
        <v>53</v>
      </c>
      <c r="F149" s="2">
        <f>D149*(E149*60)</f>
        <v>7218.6</v>
      </c>
      <c r="G149" s="2">
        <v>35</v>
      </c>
      <c r="H149" s="2">
        <v>5</v>
      </c>
      <c r="I149" s="2" t="s">
        <v>44</v>
      </c>
      <c r="J149" s="2" t="s">
        <v>45</v>
      </c>
      <c r="K149" s="2">
        <v>2</v>
      </c>
    </row>
    <row r="150" spans="1:11" x14ac:dyDescent="0.15">
      <c r="A150" s="2">
        <v>6</v>
      </c>
      <c r="B150" s="3">
        <v>41743</v>
      </c>
      <c r="C150" s="2" t="s">
        <v>70</v>
      </c>
      <c r="D150" s="2">
        <v>2.27</v>
      </c>
      <c r="E150" s="2">
        <v>53</v>
      </c>
      <c r="F150" s="2">
        <f>D150*(E150*60)</f>
        <v>7218.6</v>
      </c>
      <c r="G150" s="2">
        <v>35</v>
      </c>
      <c r="H150" s="2">
        <v>5</v>
      </c>
      <c r="I150" s="2" t="s">
        <v>29</v>
      </c>
      <c r="K150" s="2">
        <v>1</v>
      </c>
    </row>
    <row r="151" spans="1:11" x14ac:dyDescent="0.15">
      <c r="A151" s="2">
        <v>6</v>
      </c>
      <c r="B151" s="3">
        <v>41743</v>
      </c>
      <c r="C151" s="2" t="s">
        <v>70</v>
      </c>
      <c r="D151" s="2">
        <v>2.27</v>
      </c>
      <c r="E151" s="2">
        <v>53</v>
      </c>
      <c r="F151" s="2">
        <f>D151*(E151*60)</f>
        <v>7218.6</v>
      </c>
      <c r="G151" s="2">
        <v>35</v>
      </c>
      <c r="H151" s="2">
        <v>5</v>
      </c>
      <c r="I151" s="2" t="s">
        <v>7</v>
      </c>
      <c r="K151" s="2">
        <v>1</v>
      </c>
    </row>
    <row r="152" spans="1:11" x14ac:dyDescent="0.15">
      <c r="A152" s="2">
        <v>6</v>
      </c>
      <c r="B152" s="3">
        <v>41743</v>
      </c>
      <c r="C152" s="2" t="s">
        <v>70</v>
      </c>
      <c r="D152" s="2">
        <v>2.27</v>
      </c>
      <c r="E152" s="2">
        <v>53</v>
      </c>
      <c r="F152" s="2">
        <f>D152*(E152*60)</f>
        <v>7218.6</v>
      </c>
      <c r="G152" s="2">
        <v>35</v>
      </c>
      <c r="H152" s="2">
        <v>5</v>
      </c>
      <c r="I152" s="2" t="s">
        <v>6</v>
      </c>
      <c r="K152" s="2">
        <v>2</v>
      </c>
    </row>
    <row r="153" spans="1:11" x14ac:dyDescent="0.15">
      <c r="A153" s="2">
        <v>6</v>
      </c>
      <c r="B153" s="3">
        <v>41743</v>
      </c>
      <c r="C153" s="2" t="s">
        <v>70</v>
      </c>
      <c r="D153" s="2">
        <v>2.27</v>
      </c>
      <c r="E153" s="2">
        <v>53</v>
      </c>
      <c r="F153" s="2">
        <f>D153*(E153*60)</f>
        <v>7218.6</v>
      </c>
      <c r="G153" s="2">
        <v>35</v>
      </c>
      <c r="H153" s="2">
        <v>5</v>
      </c>
      <c r="I153" s="2" t="s">
        <v>36</v>
      </c>
      <c r="K153" s="2">
        <v>1</v>
      </c>
    </row>
    <row r="154" spans="1:11" x14ac:dyDescent="0.15">
      <c r="A154" s="2">
        <v>6</v>
      </c>
      <c r="B154" s="3">
        <v>41743</v>
      </c>
      <c r="C154" s="2" t="s">
        <v>70</v>
      </c>
      <c r="D154" s="2">
        <v>2.27</v>
      </c>
      <c r="E154" s="2">
        <v>53</v>
      </c>
      <c r="F154" s="2">
        <f>D154*(E154*60)</f>
        <v>7218.6</v>
      </c>
      <c r="G154" s="2">
        <v>35</v>
      </c>
      <c r="H154" s="2">
        <v>5</v>
      </c>
      <c r="I154" s="2" t="s">
        <v>42</v>
      </c>
      <c r="K154" s="2">
        <v>1</v>
      </c>
    </row>
    <row r="155" spans="1:11" x14ac:dyDescent="0.15">
      <c r="A155" s="2">
        <v>12</v>
      </c>
      <c r="B155" s="3">
        <v>41743</v>
      </c>
      <c r="C155" s="2" t="s">
        <v>71</v>
      </c>
      <c r="D155" s="2">
        <v>3.48</v>
      </c>
      <c r="E155" s="2">
        <v>70</v>
      </c>
      <c r="F155" s="2">
        <f>D155*(E155*60)</f>
        <v>14616</v>
      </c>
      <c r="G155" s="2">
        <v>20</v>
      </c>
      <c r="H155" s="2">
        <v>5</v>
      </c>
      <c r="I155" s="2" t="s">
        <v>29</v>
      </c>
      <c r="K155" s="2">
        <v>4</v>
      </c>
    </row>
    <row r="156" spans="1:11" x14ac:dyDescent="0.15">
      <c r="A156" s="2">
        <v>12</v>
      </c>
      <c r="B156" s="3">
        <v>41743</v>
      </c>
      <c r="C156" s="2" t="s">
        <v>71</v>
      </c>
      <c r="D156" s="2">
        <v>3.48</v>
      </c>
      <c r="E156" s="2">
        <v>70</v>
      </c>
      <c r="F156" s="2">
        <f>D156*(E156*60)</f>
        <v>14616</v>
      </c>
      <c r="G156" s="2">
        <v>20</v>
      </c>
      <c r="H156" s="2">
        <v>5</v>
      </c>
      <c r="I156" s="2" t="s">
        <v>44</v>
      </c>
      <c r="K156" s="2">
        <v>1</v>
      </c>
    </row>
    <row r="157" spans="1:11" x14ac:dyDescent="0.15">
      <c r="A157" s="2">
        <v>12</v>
      </c>
      <c r="B157" s="3">
        <v>41743</v>
      </c>
      <c r="C157" s="2" t="s">
        <v>71</v>
      </c>
      <c r="D157" s="2">
        <v>3.48</v>
      </c>
      <c r="E157" s="2">
        <v>70</v>
      </c>
      <c r="F157" s="2">
        <f>D157*(E157*60)</f>
        <v>14616</v>
      </c>
      <c r="G157" s="2">
        <v>20</v>
      </c>
      <c r="H157" s="2">
        <v>5</v>
      </c>
      <c r="I157" s="2" t="s">
        <v>50</v>
      </c>
      <c r="K157" s="2">
        <v>1</v>
      </c>
    </row>
    <row r="158" spans="1:11" x14ac:dyDescent="0.15">
      <c r="A158" s="2">
        <v>12</v>
      </c>
      <c r="B158" s="3">
        <v>41743</v>
      </c>
      <c r="C158" s="2" t="s">
        <v>71</v>
      </c>
      <c r="D158" s="2">
        <v>3.48</v>
      </c>
      <c r="E158" s="2">
        <v>70</v>
      </c>
      <c r="F158" s="2">
        <f>D158*(E158*60)</f>
        <v>14616</v>
      </c>
      <c r="G158" s="2">
        <v>20</v>
      </c>
      <c r="H158" s="2">
        <v>5</v>
      </c>
      <c r="I158" s="2" t="s">
        <v>76</v>
      </c>
      <c r="K158" s="2">
        <v>37</v>
      </c>
    </row>
    <row r="159" spans="1:11" x14ac:dyDescent="0.15">
      <c r="A159" s="2">
        <v>12</v>
      </c>
      <c r="B159" s="3">
        <v>41743</v>
      </c>
      <c r="C159" s="2" t="s">
        <v>71</v>
      </c>
      <c r="D159" s="2">
        <v>3.48</v>
      </c>
      <c r="E159" s="2">
        <v>70</v>
      </c>
      <c r="F159" s="2">
        <f>D159*(E159*60)</f>
        <v>14616</v>
      </c>
      <c r="G159" s="2">
        <v>20</v>
      </c>
      <c r="H159" s="2">
        <v>5</v>
      </c>
      <c r="I159" s="2" t="s">
        <v>13</v>
      </c>
      <c r="J159" s="2" t="s">
        <v>15</v>
      </c>
      <c r="K159" s="2">
        <v>15</v>
      </c>
    </row>
    <row r="160" spans="1:11" x14ac:dyDescent="0.15">
      <c r="A160" s="2">
        <v>12</v>
      </c>
      <c r="B160" s="3">
        <v>41743</v>
      </c>
      <c r="C160" s="2" t="s">
        <v>71</v>
      </c>
      <c r="D160" s="2">
        <v>3.48</v>
      </c>
      <c r="E160" s="2">
        <v>70</v>
      </c>
      <c r="F160" s="2">
        <f>D160*(E160*60)</f>
        <v>14616</v>
      </c>
      <c r="G160" s="2">
        <v>20</v>
      </c>
      <c r="H160" s="2">
        <v>5</v>
      </c>
      <c r="I160" s="2" t="s">
        <v>17</v>
      </c>
      <c r="J160" s="2" t="s">
        <v>18</v>
      </c>
      <c r="K160" s="2">
        <v>110</v>
      </c>
    </row>
    <row r="161" spans="1:11" x14ac:dyDescent="0.15">
      <c r="A161" s="2">
        <v>12</v>
      </c>
      <c r="B161" s="3">
        <v>41743</v>
      </c>
      <c r="C161" s="2" t="s">
        <v>71</v>
      </c>
      <c r="D161" s="2">
        <v>3.48</v>
      </c>
      <c r="E161" s="2">
        <v>70</v>
      </c>
      <c r="F161" s="2">
        <f>D161*(E161*60)</f>
        <v>14616</v>
      </c>
      <c r="G161" s="2">
        <v>20</v>
      </c>
      <c r="H161" s="2">
        <v>5</v>
      </c>
      <c r="I161" s="2" t="s">
        <v>22</v>
      </c>
      <c r="K161" s="2">
        <v>11</v>
      </c>
    </row>
    <row r="162" spans="1:11" x14ac:dyDescent="0.15">
      <c r="A162" s="2">
        <v>12</v>
      </c>
      <c r="B162" s="3">
        <v>41743</v>
      </c>
      <c r="C162" s="2" t="s">
        <v>71</v>
      </c>
      <c r="D162" s="2">
        <v>3.48</v>
      </c>
      <c r="E162" s="2">
        <v>70</v>
      </c>
      <c r="F162" s="2">
        <f>D162*(E162*60)</f>
        <v>14616</v>
      </c>
      <c r="G162" s="2">
        <v>20</v>
      </c>
      <c r="H162" s="2">
        <v>5</v>
      </c>
      <c r="I162" s="2" t="s">
        <v>69</v>
      </c>
      <c r="K162" s="2">
        <v>13</v>
      </c>
    </row>
    <row r="163" spans="1:11" x14ac:dyDescent="0.15">
      <c r="A163" s="2">
        <v>12</v>
      </c>
      <c r="B163" s="3">
        <v>41743</v>
      </c>
      <c r="C163" s="2" t="s">
        <v>71</v>
      </c>
      <c r="D163" s="2">
        <v>3.48</v>
      </c>
      <c r="E163" s="2">
        <v>70</v>
      </c>
      <c r="F163" s="2">
        <f>D163*(E163*60)</f>
        <v>14616</v>
      </c>
      <c r="G163" s="2">
        <v>20</v>
      </c>
      <c r="H163" s="2">
        <v>5</v>
      </c>
      <c r="I163" s="2" t="s">
        <v>47</v>
      </c>
      <c r="J163" s="2" t="s">
        <v>48</v>
      </c>
      <c r="K163" s="2">
        <v>30</v>
      </c>
    </row>
    <row r="164" spans="1:11" x14ac:dyDescent="0.15">
      <c r="A164" s="2">
        <v>12</v>
      </c>
      <c r="B164" s="3">
        <v>41743</v>
      </c>
      <c r="C164" s="2" t="s">
        <v>71</v>
      </c>
      <c r="D164" s="2">
        <v>3.48</v>
      </c>
      <c r="E164" s="2">
        <v>70</v>
      </c>
      <c r="F164" s="2">
        <f>D164*(E164*60)</f>
        <v>14616</v>
      </c>
      <c r="G164" s="2">
        <v>20</v>
      </c>
      <c r="H164" s="2">
        <v>5</v>
      </c>
      <c r="I164" s="2" t="s">
        <v>47</v>
      </c>
      <c r="K164" s="2">
        <v>1</v>
      </c>
    </row>
    <row r="165" spans="1:11" x14ac:dyDescent="0.15">
      <c r="A165" s="2">
        <v>12</v>
      </c>
      <c r="B165" s="3">
        <v>41743</v>
      </c>
      <c r="C165" s="2" t="s">
        <v>71</v>
      </c>
      <c r="D165" s="2">
        <v>3.48</v>
      </c>
      <c r="E165" s="2">
        <v>70</v>
      </c>
      <c r="F165" s="2">
        <f>D165*(E165*60)</f>
        <v>14616</v>
      </c>
      <c r="G165" s="2">
        <v>20</v>
      </c>
      <c r="H165" s="2">
        <v>5</v>
      </c>
      <c r="I165" s="2" t="s">
        <v>26</v>
      </c>
      <c r="K165" s="2">
        <v>4</v>
      </c>
    </row>
    <row r="166" spans="1:11" x14ac:dyDescent="0.15">
      <c r="A166" s="2">
        <v>22</v>
      </c>
      <c r="B166" s="3">
        <v>41743</v>
      </c>
      <c r="C166" s="2" t="s">
        <v>71</v>
      </c>
      <c r="D166" s="2">
        <v>3.48</v>
      </c>
      <c r="E166" s="2">
        <v>70</v>
      </c>
      <c r="F166" s="2">
        <f>D166*(E166*60)</f>
        <v>14616</v>
      </c>
      <c r="G166" s="2">
        <v>20</v>
      </c>
      <c r="H166" s="2">
        <v>5</v>
      </c>
      <c r="I166" s="2" t="s">
        <v>19</v>
      </c>
      <c r="K166" s="2">
        <v>10</v>
      </c>
    </row>
    <row r="167" spans="1:11" x14ac:dyDescent="0.15">
      <c r="A167" s="2">
        <v>22</v>
      </c>
      <c r="B167" s="3">
        <v>41743</v>
      </c>
      <c r="C167" s="2" t="s">
        <v>71</v>
      </c>
      <c r="D167" s="2">
        <v>3.48</v>
      </c>
      <c r="E167" s="2">
        <v>70</v>
      </c>
      <c r="F167" s="2">
        <f>D167*(E167*60)</f>
        <v>14616</v>
      </c>
      <c r="G167" s="2">
        <v>20</v>
      </c>
      <c r="H167" s="2">
        <v>5</v>
      </c>
      <c r="I167" s="2" t="s">
        <v>13</v>
      </c>
      <c r="J167" s="2" t="s">
        <v>15</v>
      </c>
      <c r="K167" s="2">
        <v>40</v>
      </c>
    </row>
    <row r="168" spans="1:11" x14ac:dyDescent="0.15">
      <c r="A168" s="2">
        <v>22</v>
      </c>
      <c r="B168" s="3">
        <v>41743</v>
      </c>
      <c r="C168" s="2" t="s">
        <v>71</v>
      </c>
      <c r="D168" s="2">
        <v>3.48</v>
      </c>
      <c r="E168" s="2">
        <v>70</v>
      </c>
      <c r="F168" s="2">
        <f>D168*(E168*60)</f>
        <v>14616</v>
      </c>
      <c r="G168" s="2">
        <v>20</v>
      </c>
      <c r="H168" s="2">
        <v>5</v>
      </c>
      <c r="I168" s="2" t="s">
        <v>76</v>
      </c>
      <c r="K168" s="2">
        <v>25</v>
      </c>
    </row>
    <row r="169" spans="1:11" x14ac:dyDescent="0.15">
      <c r="A169" s="2">
        <v>22</v>
      </c>
      <c r="B169" s="3">
        <v>41743</v>
      </c>
      <c r="C169" s="2" t="s">
        <v>71</v>
      </c>
      <c r="D169" s="2">
        <v>3.48</v>
      </c>
      <c r="E169" s="2">
        <v>70</v>
      </c>
      <c r="F169" s="2">
        <f>D169*(E169*60)</f>
        <v>14616</v>
      </c>
      <c r="G169" s="2">
        <v>20</v>
      </c>
      <c r="H169" s="2">
        <v>5</v>
      </c>
      <c r="I169" s="2" t="s">
        <v>47</v>
      </c>
      <c r="J169" s="2" t="s">
        <v>48</v>
      </c>
      <c r="K169" s="2">
        <v>35</v>
      </c>
    </row>
    <row r="170" spans="1:11" x14ac:dyDescent="0.15">
      <c r="A170" s="2">
        <v>22</v>
      </c>
      <c r="B170" s="3">
        <v>41743</v>
      </c>
      <c r="C170" s="2" t="s">
        <v>71</v>
      </c>
      <c r="D170" s="2">
        <v>3.48</v>
      </c>
      <c r="E170" s="2">
        <v>70</v>
      </c>
      <c r="F170" s="2">
        <f>D170*(E170*60)</f>
        <v>14616</v>
      </c>
      <c r="G170" s="2">
        <v>20</v>
      </c>
      <c r="H170" s="2">
        <v>5</v>
      </c>
      <c r="I170" s="2" t="s">
        <v>47</v>
      </c>
      <c r="J170" s="2" t="s">
        <v>64</v>
      </c>
      <c r="K170" s="2">
        <v>1</v>
      </c>
    </row>
    <row r="171" spans="1:11" x14ac:dyDescent="0.15">
      <c r="A171" s="2">
        <v>22</v>
      </c>
      <c r="B171" s="3">
        <v>41743</v>
      </c>
      <c r="C171" s="2" t="s">
        <v>71</v>
      </c>
      <c r="D171" s="2">
        <v>3.48</v>
      </c>
      <c r="E171" s="2">
        <v>70</v>
      </c>
      <c r="F171" s="2">
        <f>D171*(E171*60)</f>
        <v>14616</v>
      </c>
      <c r="G171" s="2">
        <v>20</v>
      </c>
      <c r="H171" s="2">
        <v>5</v>
      </c>
      <c r="I171" s="2" t="s">
        <v>26</v>
      </c>
      <c r="K171" s="2">
        <v>5</v>
      </c>
    </row>
    <row r="172" spans="1:11" x14ac:dyDescent="0.15">
      <c r="A172" s="2">
        <v>22</v>
      </c>
      <c r="B172" s="3">
        <v>41743</v>
      </c>
      <c r="C172" s="2" t="s">
        <v>71</v>
      </c>
      <c r="D172" s="2">
        <v>3.48</v>
      </c>
      <c r="E172" s="2">
        <v>70</v>
      </c>
      <c r="F172" s="2">
        <f>D172*(E172*60)</f>
        <v>14616</v>
      </c>
      <c r="G172" s="2">
        <v>20</v>
      </c>
      <c r="H172" s="2">
        <v>5</v>
      </c>
      <c r="I172" s="2" t="s">
        <v>29</v>
      </c>
      <c r="J172" s="2" t="s">
        <v>67</v>
      </c>
      <c r="K172" s="2">
        <v>1</v>
      </c>
    </row>
    <row r="173" spans="1:11" x14ac:dyDescent="0.15">
      <c r="A173" s="2">
        <v>22</v>
      </c>
      <c r="B173" s="3">
        <v>41743</v>
      </c>
      <c r="C173" s="2" t="s">
        <v>71</v>
      </c>
      <c r="D173" s="2">
        <v>3.48</v>
      </c>
      <c r="E173" s="2">
        <v>70</v>
      </c>
      <c r="F173" s="2">
        <f>D173*(E173*60)</f>
        <v>14616</v>
      </c>
      <c r="G173" s="2">
        <v>20</v>
      </c>
      <c r="H173" s="2">
        <v>5</v>
      </c>
      <c r="I173" s="2" t="s">
        <v>29</v>
      </c>
      <c r="J173" s="2" t="s">
        <v>32</v>
      </c>
      <c r="K173" s="2">
        <v>1</v>
      </c>
    </row>
    <row r="174" spans="1:11" x14ac:dyDescent="0.15">
      <c r="A174" s="2">
        <v>22</v>
      </c>
      <c r="B174" s="3">
        <v>41743</v>
      </c>
      <c r="C174" s="2" t="s">
        <v>71</v>
      </c>
      <c r="D174" s="2">
        <v>3.48</v>
      </c>
      <c r="E174" s="2">
        <v>70</v>
      </c>
      <c r="F174" s="2">
        <f>D174*(E174*60)</f>
        <v>14616</v>
      </c>
      <c r="G174" s="2">
        <v>20</v>
      </c>
      <c r="H174" s="2">
        <v>5</v>
      </c>
      <c r="I174" s="2" t="s">
        <v>50</v>
      </c>
      <c r="K174" s="2">
        <v>1</v>
      </c>
    </row>
    <row r="175" spans="1:11" x14ac:dyDescent="0.15">
      <c r="A175" s="2">
        <v>22</v>
      </c>
      <c r="B175" s="3">
        <v>41743</v>
      </c>
      <c r="C175" s="2" t="s">
        <v>71</v>
      </c>
      <c r="D175" s="2">
        <v>3.48</v>
      </c>
      <c r="E175" s="2">
        <v>70</v>
      </c>
      <c r="F175" s="2">
        <f>D175*(E175*60)</f>
        <v>14616</v>
      </c>
      <c r="G175" s="2">
        <v>20</v>
      </c>
      <c r="H175" s="2">
        <v>5</v>
      </c>
      <c r="I175" s="2" t="s">
        <v>28</v>
      </c>
      <c r="K175" s="2">
        <v>2</v>
      </c>
    </row>
    <row r="176" spans="1:11" x14ac:dyDescent="0.15">
      <c r="A176" s="2">
        <v>22</v>
      </c>
      <c r="B176" s="3">
        <v>41743</v>
      </c>
      <c r="C176" s="2" t="s">
        <v>71</v>
      </c>
      <c r="D176" s="2">
        <v>3.48</v>
      </c>
      <c r="E176" s="2">
        <v>70</v>
      </c>
      <c r="F176" s="2">
        <f>D176*(E176*60)</f>
        <v>14616</v>
      </c>
      <c r="G176" s="2">
        <v>20</v>
      </c>
      <c r="H176" s="2">
        <v>5</v>
      </c>
      <c r="I176" s="2" t="s">
        <v>44</v>
      </c>
      <c r="K176" s="2">
        <v>1</v>
      </c>
    </row>
    <row r="177" spans="1:11" x14ac:dyDescent="0.15">
      <c r="A177" s="2">
        <v>22</v>
      </c>
      <c r="B177" s="3">
        <v>41743</v>
      </c>
      <c r="C177" s="2" t="s">
        <v>71</v>
      </c>
      <c r="D177" s="2">
        <v>3.48</v>
      </c>
      <c r="E177" s="2">
        <v>70</v>
      </c>
      <c r="F177" s="2">
        <f>D177*(E177*60)</f>
        <v>14616</v>
      </c>
      <c r="G177" s="2">
        <v>20</v>
      </c>
      <c r="H177" s="2">
        <v>5</v>
      </c>
      <c r="I177" s="2" t="s">
        <v>17</v>
      </c>
      <c r="J177" s="2" t="s">
        <v>18</v>
      </c>
      <c r="K177" s="2">
        <v>85</v>
      </c>
    </row>
    <row r="178" spans="1:11" x14ac:dyDescent="0.15">
      <c r="A178" s="2">
        <v>22</v>
      </c>
      <c r="B178" s="3">
        <v>41743</v>
      </c>
      <c r="C178" s="2" t="s">
        <v>71</v>
      </c>
      <c r="D178" s="2">
        <v>3.48</v>
      </c>
      <c r="E178" s="2">
        <v>70</v>
      </c>
      <c r="F178" s="2">
        <f>D178*(E178*60)</f>
        <v>14616</v>
      </c>
      <c r="G178" s="2">
        <v>20</v>
      </c>
      <c r="H178" s="2">
        <v>5</v>
      </c>
      <c r="I178" s="2" t="s">
        <v>22</v>
      </c>
      <c r="K178" s="2">
        <v>15</v>
      </c>
    </row>
    <row r="179" spans="1:11" x14ac:dyDescent="0.15">
      <c r="A179" s="2">
        <v>2</v>
      </c>
      <c r="B179" s="3">
        <v>41743</v>
      </c>
      <c r="C179" s="2" t="s">
        <v>63</v>
      </c>
      <c r="D179" s="2">
        <v>1.75</v>
      </c>
      <c r="E179" s="2">
        <v>65</v>
      </c>
      <c r="F179" s="2">
        <f>D179*(E179*60)</f>
        <v>6825</v>
      </c>
      <c r="G179" s="2">
        <v>25</v>
      </c>
      <c r="H179" s="2">
        <v>1</v>
      </c>
      <c r="I179" s="2" t="s">
        <v>24</v>
      </c>
      <c r="K179" s="2">
        <v>28</v>
      </c>
    </row>
    <row r="180" spans="1:11" x14ac:dyDescent="0.15">
      <c r="A180" s="2">
        <v>2</v>
      </c>
      <c r="B180" s="3">
        <v>41743</v>
      </c>
      <c r="C180" s="2" t="s">
        <v>63</v>
      </c>
      <c r="D180" s="2">
        <v>1.75</v>
      </c>
      <c r="F180" s="2">
        <f>D180*(E180*60)</f>
        <v>0</v>
      </c>
      <c r="G180" s="2">
        <v>25</v>
      </c>
      <c r="H180" s="2">
        <v>1</v>
      </c>
      <c r="I180" s="2" t="s">
        <v>47</v>
      </c>
      <c r="J180" s="2" t="s">
        <v>48</v>
      </c>
      <c r="K180" s="2">
        <v>70</v>
      </c>
    </row>
    <row r="181" spans="1:11" x14ac:dyDescent="0.15">
      <c r="A181" s="2">
        <v>2</v>
      </c>
      <c r="B181" s="3">
        <v>41743</v>
      </c>
      <c r="C181" s="2" t="s">
        <v>63</v>
      </c>
      <c r="D181" s="2">
        <v>1.75</v>
      </c>
      <c r="E181" s="2">
        <v>65</v>
      </c>
      <c r="F181" s="2">
        <f>D181*(E181*60)</f>
        <v>6825</v>
      </c>
      <c r="G181" s="2">
        <v>25</v>
      </c>
      <c r="H181" s="2">
        <v>1</v>
      </c>
      <c r="I181" s="2" t="s">
        <v>7</v>
      </c>
      <c r="K181" s="2">
        <v>3</v>
      </c>
    </row>
    <row r="182" spans="1:11" x14ac:dyDescent="0.15">
      <c r="A182" s="2">
        <v>2</v>
      </c>
      <c r="B182" s="3">
        <v>41743</v>
      </c>
      <c r="C182" s="2" t="s">
        <v>63</v>
      </c>
      <c r="D182" s="2">
        <v>1.75</v>
      </c>
      <c r="E182" s="2">
        <v>65</v>
      </c>
      <c r="F182" s="2">
        <f>D182*(E182*60)</f>
        <v>6825</v>
      </c>
      <c r="G182" s="2">
        <v>25</v>
      </c>
      <c r="H182" s="2">
        <v>1</v>
      </c>
      <c r="I182" s="2" t="s">
        <v>47</v>
      </c>
      <c r="K182" s="2">
        <v>10</v>
      </c>
    </row>
    <row r="183" spans="1:11" x14ac:dyDescent="0.15">
      <c r="A183" s="2">
        <v>2</v>
      </c>
      <c r="B183" s="3">
        <v>41743</v>
      </c>
      <c r="C183" s="2" t="s">
        <v>63</v>
      </c>
      <c r="D183" s="2">
        <v>1.75</v>
      </c>
      <c r="E183" s="2">
        <v>65</v>
      </c>
      <c r="F183" s="2">
        <f>D183*(E183*60)</f>
        <v>6825</v>
      </c>
      <c r="G183" s="2">
        <v>25</v>
      </c>
      <c r="H183" s="2">
        <v>1</v>
      </c>
      <c r="I183" s="2" t="s">
        <v>17</v>
      </c>
      <c r="J183" s="2" t="s">
        <v>18</v>
      </c>
      <c r="K183" s="2">
        <v>50</v>
      </c>
    </row>
    <row r="184" spans="1:11" x14ac:dyDescent="0.15">
      <c r="A184" s="2">
        <v>2</v>
      </c>
      <c r="B184" s="3">
        <v>41743</v>
      </c>
      <c r="C184" s="2" t="s">
        <v>63</v>
      </c>
      <c r="D184" s="2">
        <v>1.75</v>
      </c>
      <c r="E184" s="2">
        <v>65</v>
      </c>
      <c r="F184" s="2">
        <f>D184*(E184*60)</f>
        <v>6825</v>
      </c>
      <c r="G184" s="2">
        <v>25</v>
      </c>
      <c r="H184" s="2">
        <v>1</v>
      </c>
      <c r="I184" s="2" t="s">
        <v>19</v>
      </c>
      <c r="K184" s="2">
        <v>13</v>
      </c>
    </row>
    <row r="185" spans="1:11" x14ac:dyDescent="0.15">
      <c r="A185" s="2">
        <v>2</v>
      </c>
      <c r="B185" s="3">
        <v>41743</v>
      </c>
      <c r="C185" s="2" t="s">
        <v>63</v>
      </c>
      <c r="D185" s="2">
        <v>1.75</v>
      </c>
      <c r="E185" s="2">
        <v>65</v>
      </c>
      <c r="F185" s="2">
        <f>D185*(E185*60)</f>
        <v>6825</v>
      </c>
      <c r="G185" s="2">
        <v>25</v>
      </c>
      <c r="H185" s="2">
        <v>1</v>
      </c>
      <c r="I185" s="2" t="s">
        <v>74</v>
      </c>
      <c r="K185" s="2">
        <v>1</v>
      </c>
    </row>
    <row r="186" spans="1:11" x14ac:dyDescent="0.15">
      <c r="A186" s="2">
        <v>2</v>
      </c>
      <c r="B186" s="3">
        <v>41743</v>
      </c>
      <c r="C186" s="2" t="s">
        <v>63</v>
      </c>
      <c r="D186" s="2">
        <v>1.75</v>
      </c>
      <c r="E186" s="2">
        <v>65</v>
      </c>
      <c r="F186" s="2">
        <f>D186*(E186*60)</f>
        <v>6825</v>
      </c>
      <c r="G186" s="2">
        <v>25</v>
      </c>
      <c r="H186" s="2">
        <v>1</v>
      </c>
      <c r="I186" s="2" t="s">
        <v>69</v>
      </c>
      <c r="K186" s="2">
        <v>4</v>
      </c>
    </row>
    <row r="187" spans="1:11" x14ac:dyDescent="0.15">
      <c r="A187" s="2">
        <v>2</v>
      </c>
      <c r="B187" s="3">
        <v>41743</v>
      </c>
      <c r="C187" s="2" t="s">
        <v>63</v>
      </c>
      <c r="D187" s="2">
        <v>1.75</v>
      </c>
      <c r="E187" s="2">
        <v>65</v>
      </c>
      <c r="F187" s="2">
        <f>D187*(E187*60)</f>
        <v>6825</v>
      </c>
      <c r="G187" s="2">
        <v>25</v>
      </c>
      <c r="H187" s="2">
        <v>1</v>
      </c>
      <c r="I187" s="2" t="s">
        <v>66</v>
      </c>
      <c r="K187" s="2">
        <v>4</v>
      </c>
    </row>
    <row r="188" spans="1:11" x14ac:dyDescent="0.15">
      <c r="A188" s="2">
        <v>2</v>
      </c>
      <c r="B188" s="3">
        <v>41743</v>
      </c>
      <c r="C188" s="2" t="s">
        <v>63</v>
      </c>
      <c r="D188" s="2">
        <v>1.75</v>
      </c>
      <c r="E188" s="2">
        <v>65</v>
      </c>
      <c r="F188" s="2">
        <f>D188*(E188*60)</f>
        <v>6825</v>
      </c>
      <c r="G188" s="2">
        <v>25</v>
      </c>
      <c r="H188" s="2">
        <v>1</v>
      </c>
      <c r="I188" s="2" t="s">
        <v>13</v>
      </c>
      <c r="J188" s="2" t="s">
        <v>15</v>
      </c>
      <c r="K188" s="2">
        <v>15</v>
      </c>
    </row>
    <row r="189" spans="1:11" x14ac:dyDescent="0.15">
      <c r="A189" s="2">
        <v>2</v>
      </c>
      <c r="B189" s="3">
        <v>41743</v>
      </c>
      <c r="C189" s="2" t="s">
        <v>63</v>
      </c>
      <c r="D189" s="2">
        <v>1.75</v>
      </c>
      <c r="E189" s="2">
        <v>65</v>
      </c>
      <c r="F189" s="2">
        <f>D189*(E189*60)</f>
        <v>6825</v>
      </c>
      <c r="G189" s="2">
        <v>25</v>
      </c>
      <c r="H189" s="2">
        <v>1</v>
      </c>
      <c r="I189" s="2" t="s">
        <v>26</v>
      </c>
      <c r="K189" s="2">
        <v>1</v>
      </c>
    </row>
    <row r="190" spans="1:11" x14ac:dyDescent="0.15">
      <c r="A190" s="2">
        <v>2</v>
      </c>
      <c r="B190" s="3">
        <v>41743</v>
      </c>
      <c r="C190" s="2" t="s">
        <v>63</v>
      </c>
      <c r="D190" s="2">
        <v>1.75</v>
      </c>
      <c r="E190" s="2">
        <v>65</v>
      </c>
      <c r="F190" s="2">
        <f>D190*(E190*60)</f>
        <v>6825</v>
      </c>
      <c r="G190" s="2">
        <v>25</v>
      </c>
      <c r="H190" s="2">
        <v>1</v>
      </c>
      <c r="I190" s="2" t="s">
        <v>29</v>
      </c>
      <c r="J190" s="2" t="s">
        <v>32</v>
      </c>
      <c r="K190" s="2">
        <v>1</v>
      </c>
    </row>
    <row r="191" spans="1:11" x14ac:dyDescent="0.15">
      <c r="A191" s="2">
        <v>2</v>
      </c>
      <c r="B191" s="3">
        <v>41743</v>
      </c>
      <c r="C191" s="2" t="s">
        <v>63</v>
      </c>
      <c r="D191" s="2">
        <v>1.75</v>
      </c>
      <c r="E191" s="2">
        <v>65</v>
      </c>
      <c r="F191" s="2">
        <f>D191*(E191*60)</f>
        <v>6825</v>
      </c>
      <c r="G191" s="2">
        <v>25</v>
      </c>
      <c r="H191" s="2">
        <v>1</v>
      </c>
      <c r="I191" s="2" t="s">
        <v>28</v>
      </c>
      <c r="K191" s="2">
        <v>1</v>
      </c>
    </row>
    <row r="192" spans="1:11" x14ac:dyDescent="0.15">
      <c r="A192" s="2">
        <v>2</v>
      </c>
      <c r="B192" s="3">
        <v>41743</v>
      </c>
      <c r="C192" s="2" t="s">
        <v>63</v>
      </c>
      <c r="D192" s="2">
        <v>1.75</v>
      </c>
      <c r="E192" s="2">
        <v>65</v>
      </c>
      <c r="F192" s="2">
        <f>D192*(E192*60)</f>
        <v>6825</v>
      </c>
      <c r="G192" s="2">
        <v>25</v>
      </c>
      <c r="H192" s="2">
        <v>1</v>
      </c>
      <c r="I192" s="2" t="s">
        <v>51</v>
      </c>
      <c r="K192" s="2">
        <v>1</v>
      </c>
    </row>
    <row r="193" spans="1:11" x14ac:dyDescent="0.15">
      <c r="A193" s="2">
        <v>14</v>
      </c>
      <c r="B193" s="3">
        <v>41750</v>
      </c>
      <c r="C193" s="2" t="s">
        <v>80</v>
      </c>
      <c r="D193" s="2" t="s">
        <v>81</v>
      </c>
      <c r="E193" s="2">
        <v>60</v>
      </c>
      <c r="F193" s="2" t="e">
        <f>D193*(E193*60)</f>
        <v>#VALUE!</v>
      </c>
      <c r="G193" s="2">
        <v>10</v>
      </c>
      <c r="H193" s="2">
        <v>1</v>
      </c>
      <c r="I193" s="2" t="s">
        <v>24</v>
      </c>
      <c r="K193" s="2">
        <v>2</v>
      </c>
    </row>
    <row r="194" spans="1:11" x14ac:dyDescent="0.15">
      <c r="A194" s="2">
        <v>14</v>
      </c>
      <c r="B194" s="3">
        <v>41750</v>
      </c>
      <c r="C194" s="2" t="s">
        <v>80</v>
      </c>
      <c r="D194" s="2" t="s">
        <v>81</v>
      </c>
      <c r="E194" s="2">
        <v>60</v>
      </c>
      <c r="F194" s="2" t="e">
        <f>D194*(E194*60)</f>
        <v>#VALUE!</v>
      </c>
      <c r="G194" s="2">
        <v>10</v>
      </c>
      <c r="H194" s="2">
        <v>1</v>
      </c>
      <c r="I194" s="2" t="s">
        <v>13</v>
      </c>
      <c r="J194" s="2" t="s">
        <v>15</v>
      </c>
      <c r="K194" s="2">
        <v>7</v>
      </c>
    </row>
    <row r="195" spans="1:11" x14ac:dyDescent="0.15">
      <c r="A195" s="2">
        <v>14</v>
      </c>
      <c r="B195" s="3">
        <v>41750</v>
      </c>
      <c r="C195" s="2" t="s">
        <v>80</v>
      </c>
      <c r="D195" s="2" t="s">
        <v>81</v>
      </c>
      <c r="E195" s="2">
        <v>60</v>
      </c>
      <c r="F195" s="2" t="e">
        <f>D195*(E195*60)</f>
        <v>#VALUE!</v>
      </c>
      <c r="G195" s="2">
        <v>10</v>
      </c>
      <c r="H195" s="2">
        <v>1</v>
      </c>
      <c r="I195" s="2" t="s">
        <v>17</v>
      </c>
      <c r="J195" s="2" t="s">
        <v>18</v>
      </c>
      <c r="K195" s="2">
        <v>60</v>
      </c>
    </row>
    <row r="196" spans="1:11" x14ac:dyDescent="0.15">
      <c r="A196" s="2">
        <v>14</v>
      </c>
      <c r="B196" s="3">
        <v>41750</v>
      </c>
      <c r="C196" s="2" t="s">
        <v>80</v>
      </c>
      <c r="D196" s="2" t="s">
        <v>81</v>
      </c>
      <c r="E196" s="2">
        <v>60</v>
      </c>
      <c r="F196" s="2" t="e">
        <f>D196*(E196*60)</f>
        <v>#VALUE!</v>
      </c>
      <c r="G196" s="2">
        <v>10</v>
      </c>
      <c r="H196" s="2">
        <v>1</v>
      </c>
      <c r="I196" s="2" t="s">
        <v>69</v>
      </c>
      <c r="K196" s="2">
        <v>130</v>
      </c>
    </row>
    <row r="197" spans="1:11" x14ac:dyDescent="0.15">
      <c r="A197" s="2">
        <v>14</v>
      </c>
      <c r="B197" s="3">
        <v>41750</v>
      </c>
      <c r="C197" s="2" t="s">
        <v>80</v>
      </c>
      <c r="D197" s="2" t="s">
        <v>81</v>
      </c>
      <c r="E197" s="2">
        <v>60</v>
      </c>
      <c r="F197" s="2" t="e">
        <f>D197*(E197*60)</f>
        <v>#VALUE!</v>
      </c>
      <c r="G197" s="2">
        <v>10</v>
      </c>
      <c r="H197" s="2">
        <v>1</v>
      </c>
      <c r="I197" s="2" t="s">
        <v>47</v>
      </c>
      <c r="J197" s="2" t="s">
        <v>48</v>
      </c>
      <c r="K197" s="2">
        <v>3</v>
      </c>
    </row>
    <row r="198" spans="1:11" x14ac:dyDescent="0.15">
      <c r="A198" s="2">
        <v>14</v>
      </c>
      <c r="B198" s="3">
        <v>41750</v>
      </c>
      <c r="C198" s="2" t="s">
        <v>80</v>
      </c>
      <c r="D198" s="2" t="s">
        <v>81</v>
      </c>
      <c r="E198" s="2">
        <v>60</v>
      </c>
      <c r="F198" s="2" t="e">
        <f>D198*(E198*60)</f>
        <v>#VALUE!</v>
      </c>
      <c r="G198" s="2">
        <v>10</v>
      </c>
      <c r="H198" s="2">
        <v>1</v>
      </c>
      <c r="I198" s="2" t="s">
        <v>47</v>
      </c>
      <c r="K198" s="2">
        <v>1</v>
      </c>
    </row>
    <row r="199" spans="1:11" x14ac:dyDescent="0.15">
      <c r="A199" s="2">
        <v>14</v>
      </c>
      <c r="B199" s="3">
        <v>41750</v>
      </c>
      <c r="C199" s="2" t="s">
        <v>80</v>
      </c>
      <c r="D199" s="2" t="s">
        <v>81</v>
      </c>
      <c r="E199" s="2">
        <v>60</v>
      </c>
      <c r="F199" s="2" t="e">
        <f>D199*(E199*60)</f>
        <v>#VALUE!</v>
      </c>
      <c r="G199" s="2">
        <v>10</v>
      </c>
      <c r="H199" s="2">
        <v>1</v>
      </c>
      <c r="I199" s="2" t="s">
        <v>36</v>
      </c>
      <c r="K199" s="2">
        <v>1</v>
      </c>
    </row>
    <row r="200" spans="1:11" x14ac:dyDescent="0.15">
      <c r="A200" s="2">
        <v>14</v>
      </c>
      <c r="B200" s="3">
        <v>41750</v>
      </c>
      <c r="C200" s="2" t="s">
        <v>80</v>
      </c>
      <c r="D200" s="2" t="s">
        <v>81</v>
      </c>
      <c r="E200" s="2">
        <v>60</v>
      </c>
      <c r="F200" s="2" t="e">
        <f>D200*(E200*60)</f>
        <v>#VALUE!</v>
      </c>
      <c r="G200" s="2">
        <v>10</v>
      </c>
      <c r="H200" s="2">
        <v>1</v>
      </c>
      <c r="I200" s="2" t="s">
        <v>7</v>
      </c>
      <c r="K200" s="2">
        <v>2</v>
      </c>
    </row>
    <row r="201" spans="1:11" x14ac:dyDescent="0.15">
      <c r="A201" s="2">
        <v>14</v>
      </c>
      <c r="B201" s="3">
        <v>41750</v>
      </c>
      <c r="C201" s="2" t="s">
        <v>80</v>
      </c>
      <c r="D201" s="2" t="s">
        <v>81</v>
      </c>
      <c r="E201" s="2">
        <v>60</v>
      </c>
      <c r="F201" s="2" t="e">
        <f>D201*(E201*60)</f>
        <v>#VALUE!</v>
      </c>
      <c r="G201" s="2">
        <v>10</v>
      </c>
      <c r="H201" s="2">
        <v>1</v>
      </c>
      <c r="I201" s="2" t="s">
        <v>51</v>
      </c>
      <c r="K201" s="2">
        <v>5</v>
      </c>
    </row>
    <row r="202" spans="1:11" x14ac:dyDescent="0.15">
      <c r="A202" s="2">
        <v>21</v>
      </c>
      <c r="B202" s="3">
        <v>41750</v>
      </c>
      <c r="C202" s="2" t="s">
        <v>71</v>
      </c>
      <c r="D202" s="2" t="s">
        <v>81</v>
      </c>
      <c r="E202" s="2">
        <v>90</v>
      </c>
      <c r="F202" s="2" t="e">
        <f>D202*(E202*60)</f>
        <v>#VALUE!</v>
      </c>
      <c r="G202" s="2">
        <v>10</v>
      </c>
      <c r="H202" s="2">
        <v>1</v>
      </c>
      <c r="I202" s="2" t="s">
        <v>19</v>
      </c>
      <c r="K202" s="2">
        <v>140</v>
      </c>
    </row>
    <row r="203" spans="1:11" x14ac:dyDescent="0.15">
      <c r="A203" s="2">
        <v>21</v>
      </c>
      <c r="B203" s="3">
        <v>41750</v>
      </c>
      <c r="C203" s="2" t="s">
        <v>71</v>
      </c>
      <c r="D203" s="2" t="s">
        <v>81</v>
      </c>
      <c r="E203" s="2">
        <v>90</v>
      </c>
      <c r="F203" s="2" t="e">
        <f>D203*(E203*60)</f>
        <v>#VALUE!</v>
      </c>
      <c r="G203" s="2">
        <v>10</v>
      </c>
      <c r="H203" s="2">
        <v>1</v>
      </c>
      <c r="I203" s="2" t="s">
        <v>17</v>
      </c>
      <c r="J203" s="2" t="s">
        <v>18</v>
      </c>
      <c r="K203" s="2">
        <v>92</v>
      </c>
    </row>
    <row r="204" spans="1:11" x14ac:dyDescent="0.15">
      <c r="A204" s="2">
        <v>21</v>
      </c>
      <c r="B204" s="3">
        <v>41750</v>
      </c>
      <c r="C204" s="2" t="s">
        <v>71</v>
      </c>
      <c r="D204" s="2" t="s">
        <v>81</v>
      </c>
      <c r="E204" s="2">
        <v>90</v>
      </c>
      <c r="F204" s="2" t="e">
        <f>D204*(E204*60)</f>
        <v>#VALUE!</v>
      </c>
      <c r="G204" s="2">
        <v>10</v>
      </c>
      <c r="H204" s="2">
        <v>1</v>
      </c>
      <c r="I204" s="2" t="s">
        <v>76</v>
      </c>
      <c r="K204" s="2">
        <v>3</v>
      </c>
    </row>
    <row r="205" spans="1:11" x14ac:dyDescent="0.15">
      <c r="A205" s="2">
        <v>21</v>
      </c>
      <c r="B205" s="3">
        <v>41750</v>
      </c>
      <c r="C205" s="2" t="s">
        <v>71</v>
      </c>
      <c r="D205" s="2" t="s">
        <v>81</v>
      </c>
      <c r="E205" s="2">
        <v>90</v>
      </c>
      <c r="F205" s="2" t="e">
        <f>D205*(E205*60)</f>
        <v>#VALUE!</v>
      </c>
      <c r="G205" s="2">
        <v>10</v>
      </c>
      <c r="H205" s="2">
        <v>1</v>
      </c>
      <c r="I205" s="2" t="s">
        <v>68</v>
      </c>
      <c r="K205" s="2">
        <v>1</v>
      </c>
    </row>
    <row r="206" spans="1:11" x14ac:dyDescent="0.15">
      <c r="A206" s="2">
        <v>21</v>
      </c>
      <c r="B206" s="3">
        <v>41750</v>
      </c>
      <c r="C206" s="2" t="s">
        <v>71</v>
      </c>
      <c r="D206" s="2" t="s">
        <v>81</v>
      </c>
      <c r="E206" s="2">
        <v>90</v>
      </c>
      <c r="F206" s="2" t="e">
        <f>D206*(E206*60)</f>
        <v>#VALUE!</v>
      </c>
      <c r="G206" s="2">
        <v>10</v>
      </c>
      <c r="H206" s="2">
        <v>1</v>
      </c>
      <c r="I206" s="2" t="s">
        <v>22</v>
      </c>
      <c r="K206" s="2">
        <v>1</v>
      </c>
    </row>
    <row r="207" spans="1:11" x14ac:dyDescent="0.15">
      <c r="A207" s="2">
        <v>21</v>
      </c>
      <c r="B207" s="3">
        <v>41750</v>
      </c>
      <c r="C207" s="2" t="s">
        <v>71</v>
      </c>
      <c r="D207" s="2" t="s">
        <v>81</v>
      </c>
      <c r="E207" s="2">
        <v>90</v>
      </c>
      <c r="F207" s="2" t="e">
        <f>D207*(E207*60)</f>
        <v>#VALUE!</v>
      </c>
      <c r="G207" s="2">
        <v>10</v>
      </c>
      <c r="H207" s="2">
        <v>1</v>
      </c>
      <c r="I207" s="2" t="s">
        <v>13</v>
      </c>
      <c r="J207" s="2" t="s">
        <v>15</v>
      </c>
      <c r="K207" s="2">
        <v>9</v>
      </c>
    </row>
    <row r="208" spans="1:11" x14ac:dyDescent="0.15">
      <c r="A208" s="2">
        <v>21</v>
      </c>
      <c r="B208" s="3">
        <v>41750</v>
      </c>
      <c r="C208" s="2" t="s">
        <v>71</v>
      </c>
      <c r="D208" s="2" t="s">
        <v>81</v>
      </c>
      <c r="E208" s="2">
        <v>90</v>
      </c>
      <c r="F208" s="2" t="e">
        <f>D208*(E208*60)</f>
        <v>#VALUE!</v>
      </c>
      <c r="G208" s="2">
        <v>10</v>
      </c>
      <c r="H208" s="2">
        <v>1</v>
      </c>
      <c r="I208" s="2" t="s">
        <v>47</v>
      </c>
      <c r="J208" s="2" t="s">
        <v>48</v>
      </c>
      <c r="K208" s="2">
        <v>6</v>
      </c>
    </row>
    <row r="209" spans="1:11" x14ac:dyDescent="0.15">
      <c r="A209" s="2">
        <v>21</v>
      </c>
      <c r="B209" s="3">
        <v>41750</v>
      </c>
      <c r="C209" s="2" t="s">
        <v>71</v>
      </c>
      <c r="D209" s="2" t="s">
        <v>81</v>
      </c>
      <c r="E209" s="2">
        <v>90</v>
      </c>
      <c r="F209" s="2" t="e">
        <f>D209*(E209*60)</f>
        <v>#VALUE!</v>
      </c>
      <c r="G209" s="2">
        <v>10</v>
      </c>
      <c r="H209" s="2">
        <v>1</v>
      </c>
      <c r="I209" s="2" t="s">
        <v>44</v>
      </c>
      <c r="K209" s="2">
        <v>2</v>
      </c>
    </row>
    <row r="210" spans="1:11" x14ac:dyDescent="0.15">
      <c r="A210" s="2">
        <v>21</v>
      </c>
      <c r="B210" s="3">
        <v>41750</v>
      </c>
      <c r="C210" s="2" t="s">
        <v>71</v>
      </c>
      <c r="D210" s="2" t="s">
        <v>81</v>
      </c>
      <c r="E210" s="2">
        <v>90</v>
      </c>
      <c r="F210" s="2" t="e">
        <f>D210*(E210*60)</f>
        <v>#VALUE!</v>
      </c>
      <c r="G210" s="2">
        <v>10</v>
      </c>
      <c r="H210" s="2">
        <v>1</v>
      </c>
      <c r="I210" s="2" t="s">
        <v>26</v>
      </c>
      <c r="K210" s="2">
        <v>1</v>
      </c>
    </row>
    <row r="211" spans="1:11" x14ac:dyDescent="0.15">
      <c r="A211" s="2">
        <v>21</v>
      </c>
      <c r="B211" s="3">
        <v>41750</v>
      </c>
      <c r="C211" s="2" t="s">
        <v>71</v>
      </c>
      <c r="D211" s="2" t="s">
        <v>81</v>
      </c>
      <c r="E211" s="2">
        <v>90</v>
      </c>
      <c r="F211" s="2" t="e">
        <f>D211*(E211*60)</f>
        <v>#VALUE!</v>
      </c>
      <c r="G211" s="2">
        <v>10</v>
      </c>
      <c r="H211" s="2">
        <v>1</v>
      </c>
      <c r="I211" s="2" t="s">
        <v>50</v>
      </c>
      <c r="K211" s="2">
        <v>1</v>
      </c>
    </row>
    <row r="212" spans="1:11" x14ac:dyDescent="0.15">
      <c r="A212" s="2">
        <v>21</v>
      </c>
      <c r="B212" s="3">
        <v>41750</v>
      </c>
      <c r="C212" s="2" t="s">
        <v>71</v>
      </c>
      <c r="D212" s="2" t="s">
        <v>81</v>
      </c>
      <c r="E212" s="2">
        <v>90</v>
      </c>
      <c r="F212" s="2" t="e">
        <f>D212*(E212*60)</f>
        <v>#VALUE!</v>
      </c>
      <c r="G212" s="2">
        <v>10</v>
      </c>
      <c r="H212" s="2">
        <v>1</v>
      </c>
      <c r="I212" s="2" t="s">
        <v>29</v>
      </c>
      <c r="J212" s="2" t="s">
        <v>67</v>
      </c>
      <c r="K212" s="2">
        <v>1</v>
      </c>
    </row>
    <row r="213" spans="1:11" x14ac:dyDescent="0.15">
      <c r="A213" s="2">
        <v>21</v>
      </c>
      <c r="B213" s="3">
        <v>41750</v>
      </c>
      <c r="C213" s="2" t="s">
        <v>71</v>
      </c>
      <c r="D213" s="2" t="s">
        <v>81</v>
      </c>
      <c r="E213" s="2">
        <v>90</v>
      </c>
      <c r="F213" s="2" t="e">
        <f>D213*(E213*60)</f>
        <v>#VALUE!</v>
      </c>
      <c r="G213" s="2">
        <v>10</v>
      </c>
      <c r="H213" s="2">
        <v>1</v>
      </c>
      <c r="I213" s="2" t="s">
        <v>28</v>
      </c>
      <c r="K213" s="2">
        <v>1</v>
      </c>
    </row>
    <row r="214" spans="1:11" x14ac:dyDescent="0.15">
      <c r="A214" s="2">
        <v>27</v>
      </c>
      <c r="B214" s="3">
        <v>41760</v>
      </c>
      <c r="C214" s="2" t="s">
        <v>82</v>
      </c>
      <c r="D214" s="2">
        <v>2.29</v>
      </c>
      <c r="E214" s="2">
        <v>60</v>
      </c>
      <c r="F214" s="2">
        <f>D214*(E214*60)</f>
        <v>8244</v>
      </c>
      <c r="G214" s="2">
        <v>10</v>
      </c>
      <c r="H214" s="2">
        <v>2</v>
      </c>
      <c r="I214" s="2" t="s">
        <v>76</v>
      </c>
      <c r="K214" s="2">
        <v>4</v>
      </c>
    </row>
    <row r="215" spans="1:11" x14ac:dyDescent="0.15">
      <c r="A215" s="2">
        <v>27</v>
      </c>
      <c r="B215" s="3">
        <v>41760</v>
      </c>
      <c r="C215" s="2" t="s">
        <v>82</v>
      </c>
      <c r="D215" s="2">
        <v>2.29</v>
      </c>
      <c r="E215" s="2">
        <v>60</v>
      </c>
      <c r="F215" s="2">
        <f>D215*(E215*60)</f>
        <v>8244</v>
      </c>
      <c r="G215" s="2">
        <v>10</v>
      </c>
      <c r="H215" s="2">
        <v>2</v>
      </c>
      <c r="I215" s="2" t="s">
        <v>13</v>
      </c>
      <c r="J215" s="2" t="s">
        <v>15</v>
      </c>
      <c r="K215" s="2">
        <v>19</v>
      </c>
    </row>
    <row r="216" spans="1:11" x14ac:dyDescent="0.15">
      <c r="A216" s="2">
        <v>27</v>
      </c>
      <c r="B216" s="3">
        <v>41760</v>
      </c>
      <c r="C216" s="2" t="s">
        <v>82</v>
      </c>
      <c r="D216" s="2">
        <v>2.29</v>
      </c>
      <c r="E216" s="2">
        <v>60</v>
      </c>
      <c r="F216" s="2">
        <f>D216*(E216*60)</f>
        <v>8244</v>
      </c>
      <c r="G216" s="2">
        <v>10</v>
      </c>
      <c r="H216" s="2">
        <v>2</v>
      </c>
      <c r="I216" s="2" t="s">
        <v>83</v>
      </c>
      <c r="K216" s="2">
        <v>1</v>
      </c>
    </row>
    <row r="217" spans="1:11" x14ac:dyDescent="0.15">
      <c r="A217" s="2">
        <v>27</v>
      </c>
      <c r="B217" s="3">
        <v>41760</v>
      </c>
      <c r="C217" s="2" t="s">
        <v>82</v>
      </c>
      <c r="D217" s="2">
        <v>2.29</v>
      </c>
      <c r="E217" s="2">
        <v>60</v>
      </c>
      <c r="F217" s="2">
        <f>D217*(E217*60)</f>
        <v>8244</v>
      </c>
      <c r="G217" s="2">
        <v>10</v>
      </c>
      <c r="H217" s="2">
        <v>2</v>
      </c>
      <c r="I217" s="2" t="s">
        <v>19</v>
      </c>
      <c r="K217" s="2">
        <v>84</v>
      </c>
    </row>
    <row r="218" spans="1:11" x14ac:dyDescent="0.15">
      <c r="A218" s="2">
        <v>27</v>
      </c>
      <c r="B218" s="3">
        <v>41760</v>
      </c>
      <c r="C218" s="2" t="s">
        <v>82</v>
      </c>
      <c r="D218" s="2">
        <v>2.29</v>
      </c>
      <c r="E218" s="2">
        <v>60</v>
      </c>
      <c r="F218" s="2">
        <f>D218*(E218*60)</f>
        <v>8244</v>
      </c>
      <c r="G218" s="2">
        <v>10</v>
      </c>
      <c r="H218" s="2">
        <v>2</v>
      </c>
      <c r="I218" s="2" t="s">
        <v>17</v>
      </c>
      <c r="J218" s="2" t="s">
        <v>18</v>
      </c>
      <c r="K218" s="2">
        <v>36</v>
      </c>
    </row>
    <row r="219" spans="1:11" x14ac:dyDescent="0.15">
      <c r="A219" s="2">
        <v>27</v>
      </c>
      <c r="B219" s="3">
        <v>41760</v>
      </c>
      <c r="C219" s="2" t="s">
        <v>82</v>
      </c>
      <c r="D219" s="2">
        <v>2.29</v>
      </c>
      <c r="E219" s="2">
        <v>60</v>
      </c>
      <c r="F219" s="2">
        <f>D219*(E219*60)</f>
        <v>8244</v>
      </c>
      <c r="G219" s="2">
        <v>10</v>
      </c>
      <c r="H219" s="2">
        <v>2</v>
      </c>
      <c r="I219" s="2" t="s">
        <v>22</v>
      </c>
      <c r="K219" s="2">
        <v>3</v>
      </c>
    </row>
    <row r="220" spans="1:11" x14ac:dyDescent="0.15">
      <c r="A220" s="2">
        <v>27</v>
      </c>
      <c r="B220" s="3">
        <v>41760</v>
      </c>
      <c r="C220" s="2" t="s">
        <v>82</v>
      </c>
      <c r="D220" s="2">
        <v>2.29</v>
      </c>
      <c r="E220" s="2">
        <v>60</v>
      </c>
      <c r="F220" s="2">
        <f>D220*(E220*60)</f>
        <v>8244</v>
      </c>
      <c r="G220" s="2">
        <v>10</v>
      </c>
      <c r="H220" s="2">
        <v>2</v>
      </c>
      <c r="I220" s="2" t="s">
        <v>47</v>
      </c>
      <c r="J220" s="2" t="s">
        <v>48</v>
      </c>
      <c r="K220" s="2">
        <v>37</v>
      </c>
    </row>
    <row r="221" spans="1:11" x14ac:dyDescent="0.15">
      <c r="A221" s="2">
        <v>27</v>
      </c>
      <c r="B221" s="3">
        <v>41760</v>
      </c>
      <c r="C221" s="2" t="s">
        <v>82</v>
      </c>
      <c r="D221" s="2">
        <v>2.29</v>
      </c>
      <c r="E221" s="2">
        <v>60</v>
      </c>
      <c r="F221" s="2">
        <f>D221*(E221*60)</f>
        <v>8244</v>
      </c>
      <c r="G221" s="2">
        <v>10</v>
      </c>
      <c r="H221" s="2">
        <v>2</v>
      </c>
      <c r="I221" s="2" t="s">
        <v>47</v>
      </c>
      <c r="J221" s="2" t="s">
        <v>64</v>
      </c>
      <c r="K221" s="2">
        <v>2</v>
      </c>
    </row>
    <row r="222" spans="1:11" x14ac:dyDescent="0.15">
      <c r="A222" s="2">
        <v>27</v>
      </c>
      <c r="B222" s="3">
        <v>41760</v>
      </c>
      <c r="C222" s="2" t="s">
        <v>82</v>
      </c>
      <c r="D222" s="2">
        <v>2.29</v>
      </c>
      <c r="E222" s="2">
        <v>60</v>
      </c>
      <c r="F222" s="2">
        <f>D222*(E222*60)</f>
        <v>8244</v>
      </c>
      <c r="G222" s="2">
        <v>10</v>
      </c>
      <c r="H222" s="2">
        <v>2</v>
      </c>
      <c r="I222" s="2" t="s">
        <v>47</v>
      </c>
      <c r="K222" s="2">
        <v>8</v>
      </c>
    </row>
    <row r="223" spans="1:11" x14ac:dyDescent="0.15">
      <c r="A223" s="2">
        <v>27</v>
      </c>
      <c r="B223" s="3">
        <v>41760</v>
      </c>
      <c r="C223" s="2" t="s">
        <v>82</v>
      </c>
      <c r="D223" s="2">
        <v>2.29</v>
      </c>
      <c r="E223" s="2">
        <v>60</v>
      </c>
      <c r="F223" s="2">
        <f>D223*(E223*60)</f>
        <v>8244</v>
      </c>
      <c r="G223" s="2">
        <v>10</v>
      </c>
      <c r="H223" s="2">
        <v>2</v>
      </c>
      <c r="I223" s="2" t="s">
        <v>26</v>
      </c>
      <c r="K223" s="2">
        <v>12</v>
      </c>
    </row>
    <row r="224" spans="1:11" x14ac:dyDescent="0.15">
      <c r="A224" s="2">
        <v>27</v>
      </c>
      <c r="B224" s="3">
        <v>41760</v>
      </c>
      <c r="C224" s="2" t="s">
        <v>82</v>
      </c>
      <c r="D224" s="2">
        <v>2.29</v>
      </c>
      <c r="E224" s="2">
        <v>60</v>
      </c>
      <c r="F224" s="2">
        <f>D224*(E224*60)</f>
        <v>8244</v>
      </c>
      <c r="G224" s="2">
        <v>10</v>
      </c>
      <c r="H224" s="2">
        <v>2</v>
      </c>
      <c r="I224" s="2" t="s">
        <v>50</v>
      </c>
      <c r="K224" s="2">
        <v>5</v>
      </c>
    </row>
    <row r="225" spans="1:11" x14ac:dyDescent="0.15">
      <c r="A225" s="2">
        <v>27</v>
      </c>
      <c r="B225" s="3">
        <v>41760</v>
      </c>
      <c r="C225" s="2" t="s">
        <v>82</v>
      </c>
      <c r="D225" s="2">
        <v>2.29</v>
      </c>
      <c r="E225" s="2">
        <v>60</v>
      </c>
      <c r="F225" s="2">
        <f>D225*(E225*60)</f>
        <v>8244</v>
      </c>
      <c r="G225" s="2">
        <v>10</v>
      </c>
      <c r="H225" s="2">
        <v>2</v>
      </c>
      <c r="I225" s="2" t="s">
        <v>41</v>
      </c>
      <c r="K225" s="2">
        <v>1</v>
      </c>
    </row>
    <row r="226" spans="1:11" x14ac:dyDescent="0.15">
      <c r="A226" s="2">
        <v>27</v>
      </c>
      <c r="B226" s="3">
        <v>41760</v>
      </c>
      <c r="C226" s="2" t="s">
        <v>82</v>
      </c>
      <c r="D226" s="2">
        <v>2.29</v>
      </c>
      <c r="E226" s="2">
        <v>60</v>
      </c>
      <c r="F226" s="2">
        <f>D226*(E226*60)</f>
        <v>8244</v>
      </c>
      <c r="G226" s="2">
        <v>10</v>
      </c>
      <c r="H226" s="2">
        <v>2</v>
      </c>
      <c r="I226" s="2" t="s">
        <v>29</v>
      </c>
      <c r="J226" s="2" t="s">
        <v>34</v>
      </c>
      <c r="K226" s="2">
        <v>1</v>
      </c>
    </row>
    <row r="227" spans="1:11" x14ac:dyDescent="0.15">
      <c r="A227" s="2">
        <v>27</v>
      </c>
      <c r="B227" s="3">
        <v>41760</v>
      </c>
      <c r="C227" s="2" t="s">
        <v>82</v>
      </c>
      <c r="D227" s="2">
        <v>2.29</v>
      </c>
      <c r="E227" s="2">
        <v>60</v>
      </c>
      <c r="F227" s="2">
        <f>D227*(E227*60)</f>
        <v>8244</v>
      </c>
      <c r="G227" s="2">
        <v>10</v>
      </c>
      <c r="H227" s="2">
        <v>2</v>
      </c>
      <c r="I227" s="2" t="s">
        <v>66</v>
      </c>
      <c r="K227" s="2">
        <v>1</v>
      </c>
    </row>
    <row r="228" spans="1:11" x14ac:dyDescent="0.15">
      <c r="A228" s="2">
        <v>27</v>
      </c>
      <c r="B228" s="3">
        <v>41760</v>
      </c>
      <c r="C228" s="2" t="s">
        <v>82</v>
      </c>
      <c r="D228" s="2">
        <v>2.29</v>
      </c>
      <c r="E228" s="2">
        <v>60</v>
      </c>
      <c r="F228" s="2">
        <f>D228*(E228*60)</f>
        <v>8244</v>
      </c>
      <c r="G228" s="2">
        <v>10</v>
      </c>
      <c r="H228" s="2">
        <v>2</v>
      </c>
      <c r="I228" s="2" t="s">
        <v>42</v>
      </c>
      <c r="J228" s="2" t="s">
        <v>43</v>
      </c>
      <c r="K228" s="2">
        <v>1</v>
      </c>
    </row>
    <row r="229" spans="1:11" x14ac:dyDescent="0.15">
      <c r="A229" s="2">
        <v>27</v>
      </c>
      <c r="B229" s="3">
        <v>41760</v>
      </c>
      <c r="C229" s="2" t="s">
        <v>82</v>
      </c>
      <c r="D229" s="2">
        <v>2.29</v>
      </c>
      <c r="E229" s="2">
        <v>60</v>
      </c>
      <c r="F229" s="2">
        <f>D229*(E229*60)</f>
        <v>8244</v>
      </c>
      <c r="G229" s="2">
        <v>10</v>
      </c>
      <c r="H229" s="2">
        <v>2</v>
      </c>
      <c r="I229" s="2" t="s">
        <v>44</v>
      </c>
      <c r="K229" s="2">
        <v>1</v>
      </c>
    </row>
    <row r="230" spans="1:11" x14ac:dyDescent="0.15">
      <c r="A230" s="2">
        <v>27</v>
      </c>
      <c r="B230" s="3">
        <v>41760</v>
      </c>
      <c r="C230" s="2" t="s">
        <v>82</v>
      </c>
      <c r="D230" s="2">
        <v>2.29</v>
      </c>
      <c r="E230" s="2">
        <v>60</v>
      </c>
      <c r="F230" s="2">
        <f>D230*(E230*60)</f>
        <v>8244</v>
      </c>
      <c r="G230" s="2">
        <v>10</v>
      </c>
      <c r="H230" s="2">
        <v>2</v>
      </c>
      <c r="I230" s="2" t="s">
        <v>51</v>
      </c>
      <c r="K230" s="2">
        <v>11</v>
      </c>
    </row>
    <row r="231" spans="1:11" x14ac:dyDescent="0.15">
      <c r="A231" s="2">
        <v>10</v>
      </c>
      <c r="B231" s="3">
        <v>41760</v>
      </c>
      <c r="C231" s="2" t="s">
        <v>84</v>
      </c>
      <c r="D231" s="2">
        <v>1.73</v>
      </c>
      <c r="E231" s="2">
        <v>45</v>
      </c>
      <c r="F231" s="2">
        <f>D231*(E231*60)</f>
        <v>4671</v>
      </c>
      <c r="G231" s="2">
        <v>25</v>
      </c>
      <c r="H231" s="2">
        <v>1</v>
      </c>
      <c r="I231" s="2" t="s">
        <v>85</v>
      </c>
      <c r="K231" s="2">
        <v>95</v>
      </c>
    </row>
    <row r="232" spans="1:11" x14ac:dyDescent="0.15">
      <c r="A232" s="2">
        <v>10</v>
      </c>
      <c r="B232" s="3">
        <v>41760</v>
      </c>
      <c r="C232" s="2" t="s">
        <v>84</v>
      </c>
      <c r="D232" s="2">
        <v>1.73</v>
      </c>
      <c r="E232" s="2">
        <v>45</v>
      </c>
      <c r="F232" s="2">
        <f>D232*(E232*60)</f>
        <v>4671</v>
      </c>
      <c r="G232" s="2">
        <v>25</v>
      </c>
      <c r="H232" s="2">
        <v>1</v>
      </c>
      <c r="I232" s="2" t="s">
        <v>17</v>
      </c>
      <c r="J232" s="2" t="s">
        <v>18</v>
      </c>
      <c r="K232" s="2">
        <v>58</v>
      </c>
    </row>
    <row r="233" spans="1:11" x14ac:dyDescent="0.15">
      <c r="A233" s="2">
        <v>10</v>
      </c>
      <c r="B233" s="3">
        <v>41760</v>
      </c>
      <c r="C233" s="2" t="s">
        <v>84</v>
      </c>
      <c r="D233" s="2">
        <v>1.73</v>
      </c>
      <c r="E233" s="2">
        <v>45</v>
      </c>
      <c r="F233" s="2">
        <f>D233*(E233*60)</f>
        <v>4671</v>
      </c>
      <c r="G233" s="2">
        <v>25</v>
      </c>
      <c r="H233" s="2">
        <v>1</v>
      </c>
      <c r="I233" s="2" t="s">
        <v>22</v>
      </c>
      <c r="K233" s="2">
        <v>10</v>
      </c>
    </row>
    <row r="234" spans="1:11" x14ac:dyDescent="0.15">
      <c r="A234" s="2">
        <v>10</v>
      </c>
      <c r="B234" s="3">
        <v>41760</v>
      </c>
      <c r="C234" s="2" t="s">
        <v>84</v>
      </c>
      <c r="D234" s="2">
        <v>1.73</v>
      </c>
      <c r="E234" s="2">
        <v>45</v>
      </c>
      <c r="F234" s="2">
        <f>D234*(E234*60)</f>
        <v>4671</v>
      </c>
      <c r="G234" s="2">
        <v>25</v>
      </c>
      <c r="H234" s="2">
        <v>1</v>
      </c>
      <c r="I234" s="2" t="s">
        <v>47</v>
      </c>
      <c r="J234" s="2" t="s">
        <v>48</v>
      </c>
      <c r="K234" s="2">
        <v>10</v>
      </c>
    </row>
    <row r="235" spans="1:11" x14ac:dyDescent="0.15">
      <c r="A235" s="2">
        <v>10</v>
      </c>
      <c r="B235" s="3">
        <v>41760</v>
      </c>
      <c r="C235" s="2" t="s">
        <v>84</v>
      </c>
      <c r="D235" s="2">
        <v>1.73</v>
      </c>
      <c r="E235" s="2">
        <v>45</v>
      </c>
      <c r="F235" s="2">
        <f>D235*(E235*60)</f>
        <v>4671</v>
      </c>
      <c r="G235" s="2">
        <v>25</v>
      </c>
      <c r="H235" s="2">
        <v>1</v>
      </c>
      <c r="I235" s="2" t="s">
        <v>47</v>
      </c>
      <c r="K235" s="2">
        <v>1</v>
      </c>
    </row>
    <row r="236" spans="1:11" x14ac:dyDescent="0.15">
      <c r="A236" s="2">
        <v>10</v>
      </c>
      <c r="B236" s="3">
        <v>41760</v>
      </c>
      <c r="C236" s="2" t="s">
        <v>84</v>
      </c>
      <c r="D236" s="2">
        <v>1.73</v>
      </c>
      <c r="E236" s="2">
        <v>45</v>
      </c>
      <c r="F236" s="2">
        <f>D236*(E236*60)</f>
        <v>4671</v>
      </c>
      <c r="G236" s="2">
        <v>25</v>
      </c>
      <c r="H236" s="2">
        <v>1</v>
      </c>
      <c r="I236" s="2" t="s">
        <v>24</v>
      </c>
      <c r="K236" s="2">
        <v>9</v>
      </c>
    </row>
    <row r="237" spans="1:11" x14ac:dyDescent="0.15">
      <c r="A237" s="2">
        <v>10</v>
      </c>
      <c r="B237" s="3">
        <v>41760</v>
      </c>
      <c r="C237" s="2" t="s">
        <v>84</v>
      </c>
      <c r="D237" s="2">
        <v>1.73</v>
      </c>
      <c r="E237" s="2">
        <v>45</v>
      </c>
      <c r="F237" s="2">
        <f>D237*(E237*60)</f>
        <v>4671</v>
      </c>
      <c r="G237" s="2">
        <v>25</v>
      </c>
      <c r="H237" s="2">
        <v>1</v>
      </c>
      <c r="I237" s="2" t="s">
        <v>26</v>
      </c>
      <c r="K237" s="2">
        <v>5</v>
      </c>
    </row>
    <row r="238" spans="1:11" x14ac:dyDescent="0.15">
      <c r="A238" s="2">
        <v>10</v>
      </c>
      <c r="B238" s="3">
        <v>41760</v>
      </c>
      <c r="C238" s="2" t="s">
        <v>84</v>
      </c>
      <c r="D238" s="2">
        <v>1.73</v>
      </c>
      <c r="E238" s="2">
        <v>45</v>
      </c>
      <c r="F238" s="2">
        <f>D238*(E238*60)</f>
        <v>4671</v>
      </c>
      <c r="G238" s="2">
        <v>25</v>
      </c>
      <c r="H238" s="2">
        <v>1</v>
      </c>
      <c r="I238" s="2" t="s">
        <v>13</v>
      </c>
      <c r="K238" s="2">
        <v>14</v>
      </c>
    </row>
    <row r="239" spans="1:11" x14ac:dyDescent="0.15">
      <c r="A239" s="2">
        <v>10</v>
      </c>
      <c r="B239" s="3">
        <v>41760</v>
      </c>
      <c r="C239" s="2" t="s">
        <v>84</v>
      </c>
      <c r="D239" s="2">
        <v>1.73</v>
      </c>
      <c r="E239" s="2">
        <v>45</v>
      </c>
      <c r="F239" s="2">
        <f>D239*(E239*60)</f>
        <v>4671</v>
      </c>
      <c r="G239" s="2">
        <v>25</v>
      </c>
      <c r="H239" s="2">
        <v>1</v>
      </c>
      <c r="I239" s="2" t="s">
        <v>6</v>
      </c>
      <c r="K239" s="2">
        <v>1</v>
      </c>
    </row>
    <row r="240" spans="1:11" x14ac:dyDescent="0.15">
      <c r="A240" s="2">
        <v>10</v>
      </c>
      <c r="B240" s="3">
        <v>41760</v>
      </c>
      <c r="C240" s="2" t="s">
        <v>84</v>
      </c>
      <c r="D240" s="2">
        <v>1.73</v>
      </c>
      <c r="E240" s="2">
        <v>45</v>
      </c>
      <c r="F240" s="2">
        <f>D240*(E240*60)</f>
        <v>4671</v>
      </c>
      <c r="G240" s="2">
        <v>25</v>
      </c>
      <c r="H240" s="2">
        <v>1</v>
      </c>
      <c r="I240" s="2" t="s">
        <v>50</v>
      </c>
      <c r="K240" s="2">
        <v>1</v>
      </c>
    </row>
    <row r="241" spans="1:11" x14ac:dyDescent="0.15">
      <c r="A241" s="2">
        <v>34</v>
      </c>
      <c r="B241" s="3">
        <v>41760</v>
      </c>
      <c r="C241" s="2" t="s">
        <v>86</v>
      </c>
      <c r="D241" s="2">
        <v>2.9449999999999998</v>
      </c>
      <c r="E241" s="2">
        <v>60</v>
      </c>
      <c r="F241" s="2">
        <f>D241*(E241*60)</f>
        <v>10602</v>
      </c>
      <c r="G241" s="2">
        <v>10</v>
      </c>
      <c r="H241" s="2">
        <v>2</v>
      </c>
      <c r="I241" s="2" t="s">
        <v>22</v>
      </c>
      <c r="K241" s="2">
        <v>5</v>
      </c>
    </row>
    <row r="242" spans="1:11" x14ac:dyDescent="0.15">
      <c r="A242" s="2">
        <v>34</v>
      </c>
      <c r="B242" s="3">
        <v>41760</v>
      </c>
      <c r="C242" s="2" t="s">
        <v>86</v>
      </c>
      <c r="D242" s="2">
        <v>2.9449999999999998</v>
      </c>
      <c r="E242" s="2">
        <v>60</v>
      </c>
      <c r="F242" s="2">
        <f>D242*(E242*60)</f>
        <v>10602</v>
      </c>
      <c r="G242" s="2">
        <v>10</v>
      </c>
      <c r="H242" s="2">
        <v>2</v>
      </c>
      <c r="I242" s="2" t="s">
        <v>19</v>
      </c>
      <c r="K242" s="2">
        <v>73</v>
      </c>
    </row>
    <row r="243" spans="1:11" x14ac:dyDescent="0.15">
      <c r="A243" s="2">
        <v>34</v>
      </c>
      <c r="B243" s="3">
        <v>41760</v>
      </c>
      <c r="C243" s="2" t="s">
        <v>86</v>
      </c>
      <c r="D243" s="2">
        <v>2.9449999999999998</v>
      </c>
      <c r="E243" s="2">
        <v>60</v>
      </c>
      <c r="F243" s="2">
        <f>D243*(E243*60)</f>
        <v>10602</v>
      </c>
      <c r="G243" s="2">
        <v>10</v>
      </c>
      <c r="H243" s="2">
        <v>2</v>
      </c>
      <c r="I243" s="2" t="s">
        <v>17</v>
      </c>
      <c r="J243" s="2" t="s">
        <v>18</v>
      </c>
      <c r="K243" s="2">
        <v>51</v>
      </c>
    </row>
    <row r="244" spans="1:11" x14ac:dyDescent="0.15">
      <c r="A244" s="2">
        <v>34</v>
      </c>
      <c r="B244" s="3">
        <v>41760</v>
      </c>
      <c r="C244" s="2" t="s">
        <v>86</v>
      </c>
      <c r="D244" s="2">
        <v>2.9449999999999998</v>
      </c>
      <c r="E244" s="2">
        <v>60</v>
      </c>
      <c r="F244" s="2">
        <f>D244*(E244*60)</f>
        <v>10602</v>
      </c>
      <c r="G244" s="2">
        <v>10</v>
      </c>
      <c r="H244" s="2">
        <v>2</v>
      </c>
      <c r="I244" s="2" t="s">
        <v>47</v>
      </c>
      <c r="J244" s="2" t="s">
        <v>48</v>
      </c>
      <c r="K244" s="2">
        <v>33</v>
      </c>
    </row>
    <row r="245" spans="1:11" x14ac:dyDescent="0.15">
      <c r="A245" s="2">
        <v>34</v>
      </c>
      <c r="B245" s="3">
        <v>41760</v>
      </c>
      <c r="C245" s="2" t="s">
        <v>86</v>
      </c>
      <c r="D245" s="2">
        <v>2.9449999999999998</v>
      </c>
      <c r="E245" s="2">
        <v>60</v>
      </c>
      <c r="F245" s="2">
        <f>D245*(E245*60)</f>
        <v>10602</v>
      </c>
      <c r="G245" s="2">
        <v>10</v>
      </c>
      <c r="H245" s="2">
        <v>2</v>
      </c>
      <c r="I245" s="2" t="s">
        <v>44</v>
      </c>
      <c r="K245" s="2">
        <v>2</v>
      </c>
    </row>
    <row r="246" spans="1:11" x14ac:dyDescent="0.15">
      <c r="A246" s="2">
        <v>34</v>
      </c>
      <c r="B246" s="3">
        <v>41760</v>
      </c>
      <c r="C246" s="2" t="s">
        <v>86</v>
      </c>
      <c r="D246" s="2">
        <v>2.9449999999999998</v>
      </c>
      <c r="E246" s="2">
        <v>60</v>
      </c>
      <c r="F246" s="2">
        <f>D246*(E246*60)</f>
        <v>10602</v>
      </c>
      <c r="G246" s="2">
        <v>10</v>
      </c>
      <c r="H246" s="2">
        <v>2</v>
      </c>
      <c r="I246" s="2" t="s">
        <v>26</v>
      </c>
      <c r="K246" s="2">
        <v>12</v>
      </c>
    </row>
    <row r="247" spans="1:11" x14ac:dyDescent="0.15">
      <c r="A247" s="2">
        <v>34</v>
      </c>
      <c r="B247" s="3">
        <v>41760</v>
      </c>
      <c r="C247" s="2" t="s">
        <v>86</v>
      </c>
      <c r="D247" s="2">
        <v>2.9449999999999998</v>
      </c>
      <c r="E247" s="2">
        <v>60</v>
      </c>
      <c r="F247" s="2">
        <f>D247*(E247*60)</f>
        <v>10602</v>
      </c>
      <c r="G247" s="2">
        <v>10</v>
      </c>
      <c r="H247" s="2">
        <v>2</v>
      </c>
      <c r="I247" s="2" t="s">
        <v>13</v>
      </c>
      <c r="J247" s="2" t="s">
        <v>15</v>
      </c>
      <c r="K247" s="2">
        <v>21</v>
      </c>
    </row>
    <row r="248" spans="1:11" x14ac:dyDescent="0.15">
      <c r="A248" s="2">
        <v>34</v>
      </c>
      <c r="B248" s="3">
        <v>41760</v>
      </c>
      <c r="C248" s="2" t="s">
        <v>86</v>
      </c>
      <c r="D248" s="2">
        <v>2.9449999999999998</v>
      </c>
      <c r="E248" s="2">
        <v>60</v>
      </c>
      <c r="F248" s="2">
        <f>D248*(E248*60)</f>
        <v>10602</v>
      </c>
      <c r="G248" s="2">
        <v>10</v>
      </c>
      <c r="H248" s="2">
        <v>2</v>
      </c>
      <c r="I248" s="2" t="s">
        <v>47</v>
      </c>
      <c r="K248" s="2">
        <v>5</v>
      </c>
    </row>
    <row r="249" spans="1:11" x14ac:dyDescent="0.15">
      <c r="A249" s="2">
        <v>34</v>
      </c>
      <c r="B249" s="3">
        <v>41760</v>
      </c>
      <c r="C249" s="2" t="s">
        <v>86</v>
      </c>
      <c r="D249" s="2">
        <v>2.9449999999999998</v>
      </c>
      <c r="E249" s="2">
        <v>60</v>
      </c>
      <c r="F249" s="2">
        <f>D249*(E249*60)</f>
        <v>10602</v>
      </c>
      <c r="G249" s="2">
        <v>10</v>
      </c>
      <c r="H249" s="2">
        <v>2</v>
      </c>
      <c r="I249" s="2" t="s">
        <v>16</v>
      </c>
      <c r="K249" s="2">
        <v>1</v>
      </c>
    </row>
    <row r="250" spans="1:11" x14ac:dyDescent="0.15">
      <c r="A250" s="2">
        <v>34</v>
      </c>
      <c r="B250" s="3">
        <v>41760</v>
      </c>
      <c r="C250" s="2" t="s">
        <v>86</v>
      </c>
      <c r="D250" s="2">
        <v>2.9449999999999998</v>
      </c>
      <c r="E250" s="2">
        <v>60</v>
      </c>
      <c r="F250" s="2">
        <f>D250*(E250*60)</f>
        <v>10602</v>
      </c>
      <c r="G250" s="2">
        <v>10</v>
      </c>
      <c r="H250" s="2">
        <v>2</v>
      </c>
      <c r="I250" s="2" t="s">
        <v>29</v>
      </c>
      <c r="J250" s="2" t="s">
        <v>67</v>
      </c>
      <c r="K250" s="2">
        <v>2</v>
      </c>
    </row>
    <row r="251" spans="1:11" x14ac:dyDescent="0.15">
      <c r="A251" s="2">
        <v>34</v>
      </c>
      <c r="B251" s="3">
        <v>41760</v>
      </c>
      <c r="C251" s="2" t="s">
        <v>86</v>
      </c>
      <c r="D251" s="2">
        <v>2.9449999999999998</v>
      </c>
      <c r="E251" s="2">
        <v>60</v>
      </c>
      <c r="F251" s="2">
        <f>D251*(E251*60)</f>
        <v>10602</v>
      </c>
      <c r="G251" s="2">
        <v>10</v>
      </c>
      <c r="H251" s="2">
        <v>2</v>
      </c>
      <c r="I251" s="2" t="s">
        <v>42</v>
      </c>
      <c r="J251" s="2" t="s">
        <v>43</v>
      </c>
      <c r="K251" s="2">
        <v>3</v>
      </c>
    </row>
    <row r="252" spans="1:11" x14ac:dyDescent="0.15">
      <c r="A252" s="2">
        <v>34</v>
      </c>
      <c r="B252" s="3">
        <v>41760</v>
      </c>
      <c r="C252" s="2" t="s">
        <v>86</v>
      </c>
      <c r="D252" s="2">
        <v>2.9449999999999998</v>
      </c>
      <c r="E252" s="2">
        <v>60</v>
      </c>
      <c r="F252" s="2">
        <f>D252*(E252*60)</f>
        <v>10602</v>
      </c>
      <c r="G252" s="2">
        <v>10</v>
      </c>
      <c r="H252" s="2">
        <v>2</v>
      </c>
      <c r="I252" s="2" t="s">
        <v>50</v>
      </c>
      <c r="K252" s="2">
        <v>2</v>
      </c>
    </row>
    <row r="253" spans="1:11" x14ac:dyDescent="0.15">
      <c r="A253" s="2">
        <v>34</v>
      </c>
      <c r="B253" s="3">
        <v>41760</v>
      </c>
      <c r="C253" s="2" t="s">
        <v>86</v>
      </c>
      <c r="D253" s="2">
        <v>2.9449999999999998</v>
      </c>
      <c r="E253" s="2">
        <v>60</v>
      </c>
      <c r="F253" s="2">
        <f>D253*(E253*60)</f>
        <v>10602</v>
      </c>
      <c r="G253" s="2">
        <v>10</v>
      </c>
      <c r="H253" s="2">
        <v>2</v>
      </c>
      <c r="I253" s="2" t="s">
        <v>29</v>
      </c>
      <c r="J253" s="2" t="s">
        <v>33</v>
      </c>
      <c r="K253" s="2">
        <v>2</v>
      </c>
    </row>
    <row r="254" spans="1:11" x14ac:dyDescent="0.15">
      <c r="A254" s="2">
        <v>34</v>
      </c>
      <c r="B254" s="3">
        <v>41760</v>
      </c>
      <c r="C254" s="2" t="s">
        <v>86</v>
      </c>
      <c r="D254" s="2">
        <v>2.9449999999999998</v>
      </c>
      <c r="E254" s="2">
        <v>60</v>
      </c>
      <c r="F254" s="2">
        <f>D254*(E254*60)</f>
        <v>10602</v>
      </c>
      <c r="G254" s="2">
        <v>10</v>
      </c>
      <c r="H254" s="2">
        <v>2</v>
      </c>
      <c r="I254" s="2" t="s">
        <v>76</v>
      </c>
      <c r="K254" s="2">
        <v>1</v>
      </c>
    </row>
    <row r="255" spans="1:11" x14ac:dyDescent="0.15">
      <c r="A255" s="2">
        <v>34</v>
      </c>
      <c r="B255" s="3">
        <v>41760</v>
      </c>
      <c r="C255" s="2" t="s">
        <v>86</v>
      </c>
      <c r="D255" s="2">
        <v>2.9449999999999998</v>
      </c>
      <c r="E255" s="2">
        <v>60</v>
      </c>
      <c r="F255" s="2">
        <f>D255*(E255*60)</f>
        <v>10602</v>
      </c>
      <c r="G255" s="2">
        <v>10</v>
      </c>
      <c r="H255" s="2">
        <v>2</v>
      </c>
      <c r="I255" s="2" t="s">
        <v>36</v>
      </c>
      <c r="J255" s="2" t="s">
        <v>39</v>
      </c>
      <c r="K255" s="2">
        <v>2</v>
      </c>
    </row>
    <row r="256" spans="1:11" x14ac:dyDescent="0.15">
      <c r="A256" s="2">
        <v>34</v>
      </c>
      <c r="B256" s="3">
        <v>41760</v>
      </c>
      <c r="C256" s="2" t="s">
        <v>86</v>
      </c>
      <c r="D256" s="2">
        <v>2.9449999999999998</v>
      </c>
      <c r="E256" s="2">
        <v>60</v>
      </c>
      <c r="F256" s="2">
        <f>D256*(E256*60)</f>
        <v>10602</v>
      </c>
      <c r="G256" s="2">
        <v>10</v>
      </c>
      <c r="H256" s="2">
        <v>2</v>
      </c>
      <c r="I256" s="2" t="s">
        <v>36</v>
      </c>
      <c r="J256" s="2" t="s">
        <v>38</v>
      </c>
      <c r="K256" s="2">
        <v>1</v>
      </c>
    </row>
    <row r="257" spans="1:11" x14ac:dyDescent="0.15">
      <c r="A257" s="2">
        <v>34</v>
      </c>
      <c r="B257" s="3">
        <v>41760</v>
      </c>
      <c r="C257" s="2" t="s">
        <v>86</v>
      </c>
      <c r="D257" s="2">
        <v>2.9449999999999998</v>
      </c>
      <c r="E257" s="2">
        <v>60</v>
      </c>
      <c r="F257" s="2">
        <f>D257*(E257*60)</f>
        <v>10602</v>
      </c>
      <c r="G257" s="2">
        <v>10</v>
      </c>
      <c r="H257" s="2">
        <v>2</v>
      </c>
      <c r="I257" s="2" t="s">
        <v>51</v>
      </c>
      <c r="K257" s="2">
        <v>8</v>
      </c>
    </row>
    <row r="258" spans="1:11" x14ac:dyDescent="0.15">
      <c r="A258" s="2">
        <v>26</v>
      </c>
      <c r="B258" s="3">
        <v>41768</v>
      </c>
      <c r="C258" s="2" t="s">
        <v>82</v>
      </c>
      <c r="D258" s="2">
        <v>1.85</v>
      </c>
      <c r="E258" s="2">
        <v>60</v>
      </c>
      <c r="F258" s="2">
        <f>D258*(E258*60)</f>
        <v>6660</v>
      </c>
      <c r="G258" s="2">
        <v>10</v>
      </c>
      <c r="H258" s="2">
        <v>3</v>
      </c>
      <c r="I258" s="2" t="s">
        <v>76</v>
      </c>
      <c r="K258" s="2">
        <v>12</v>
      </c>
    </row>
    <row r="259" spans="1:11" x14ac:dyDescent="0.15">
      <c r="A259" s="2">
        <v>26</v>
      </c>
      <c r="B259" s="3">
        <v>41768</v>
      </c>
      <c r="C259" s="2" t="s">
        <v>82</v>
      </c>
      <c r="D259" s="2">
        <v>1.85</v>
      </c>
      <c r="E259" s="2">
        <v>60</v>
      </c>
      <c r="F259" s="2">
        <f>D259*(E259*60)</f>
        <v>6660</v>
      </c>
      <c r="G259" s="2">
        <v>10</v>
      </c>
      <c r="H259" s="2">
        <v>3</v>
      </c>
      <c r="I259" s="2" t="s">
        <v>74</v>
      </c>
      <c r="K259" s="2">
        <v>1</v>
      </c>
    </row>
    <row r="260" spans="1:11" x14ac:dyDescent="0.15">
      <c r="A260" s="2">
        <v>26</v>
      </c>
      <c r="B260" s="3">
        <v>41768</v>
      </c>
      <c r="C260" s="2" t="s">
        <v>82</v>
      </c>
      <c r="D260" s="2">
        <v>1.85</v>
      </c>
      <c r="E260" s="2">
        <v>60</v>
      </c>
      <c r="F260" s="2">
        <f>D260*(E260*60)</f>
        <v>6660</v>
      </c>
      <c r="G260" s="2">
        <v>10</v>
      </c>
      <c r="H260" s="2">
        <v>3</v>
      </c>
      <c r="I260" s="2" t="s">
        <v>17</v>
      </c>
      <c r="J260" s="2" t="s">
        <v>18</v>
      </c>
      <c r="K260" s="2">
        <v>25</v>
      </c>
    </row>
    <row r="261" spans="1:11" x14ac:dyDescent="0.15">
      <c r="A261" s="2">
        <v>26</v>
      </c>
      <c r="B261" s="3">
        <v>41768</v>
      </c>
      <c r="C261" s="2" t="s">
        <v>82</v>
      </c>
      <c r="D261" s="2">
        <v>1.85</v>
      </c>
      <c r="E261" s="2">
        <v>60</v>
      </c>
      <c r="F261" s="2">
        <f>D261*(E261*60)</f>
        <v>6660</v>
      </c>
      <c r="G261" s="2">
        <v>10</v>
      </c>
      <c r="H261" s="2">
        <v>3</v>
      </c>
      <c r="I261" s="2" t="s">
        <v>19</v>
      </c>
      <c r="K261" s="2">
        <v>21</v>
      </c>
    </row>
    <row r="262" spans="1:11" x14ac:dyDescent="0.15">
      <c r="A262" s="2">
        <v>26</v>
      </c>
      <c r="B262" s="3">
        <v>41768</v>
      </c>
      <c r="C262" s="2" t="s">
        <v>82</v>
      </c>
      <c r="D262" s="2">
        <v>1.85</v>
      </c>
      <c r="E262" s="2">
        <v>60</v>
      </c>
      <c r="F262" s="2">
        <f>D262*(E262*60)</f>
        <v>6660</v>
      </c>
      <c r="G262" s="2">
        <v>10</v>
      </c>
      <c r="H262" s="2">
        <v>3</v>
      </c>
      <c r="I262" s="2" t="s">
        <v>22</v>
      </c>
      <c r="K262" s="2">
        <v>1</v>
      </c>
    </row>
    <row r="263" spans="1:11" x14ac:dyDescent="0.15">
      <c r="A263" s="2">
        <v>26</v>
      </c>
      <c r="B263" s="3">
        <v>41768</v>
      </c>
      <c r="C263" s="2" t="s">
        <v>82</v>
      </c>
      <c r="D263" s="2">
        <v>1.85</v>
      </c>
      <c r="E263" s="2">
        <v>60</v>
      </c>
      <c r="F263" s="2">
        <f>D263*(E263*60)</f>
        <v>6660</v>
      </c>
      <c r="G263" s="2">
        <v>10</v>
      </c>
      <c r="H263" s="2">
        <v>3</v>
      </c>
      <c r="I263" s="2" t="s">
        <v>13</v>
      </c>
      <c r="J263" s="2" t="s">
        <v>15</v>
      </c>
      <c r="K263" s="2">
        <v>5</v>
      </c>
    </row>
    <row r="264" spans="1:11" x14ac:dyDescent="0.15">
      <c r="A264" s="2">
        <v>26</v>
      </c>
      <c r="B264" s="3">
        <v>41768</v>
      </c>
      <c r="C264" s="2" t="s">
        <v>82</v>
      </c>
      <c r="D264" s="2">
        <v>1.85</v>
      </c>
      <c r="E264" s="2">
        <v>60</v>
      </c>
      <c r="F264" s="2">
        <f>D264*(E264*60)</f>
        <v>6660</v>
      </c>
      <c r="G264" s="2">
        <v>10</v>
      </c>
      <c r="H264" s="2">
        <v>3</v>
      </c>
      <c r="I264" s="2" t="s">
        <v>47</v>
      </c>
      <c r="J264" s="2" t="s">
        <v>48</v>
      </c>
      <c r="K264" s="2">
        <v>93</v>
      </c>
    </row>
    <row r="265" spans="1:11" x14ac:dyDescent="0.15">
      <c r="A265" s="2">
        <v>26</v>
      </c>
      <c r="B265" s="3">
        <v>41768</v>
      </c>
      <c r="C265" s="2" t="s">
        <v>82</v>
      </c>
      <c r="D265" s="2">
        <v>1.85</v>
      </c>
      <c r="E265" s="2">
        <v>60</v>
      </c>
      <c r="F265" s="2">
        <f>D265*(E265*60)</f>
        <v>6660</v>
      </c>
      <c r="G265" s="2">
        <v>10</v>
      </c>
      <c r="H265" s="2">
        <v>3</v>
      </c>
      <c r="I265" s="2" t="s">
        <v>47</v>
      </c>
      <c r="J265" s="2" t="s">
        <v>64</v>
      </c>
      <c r="K265" s="2">
        <v>2</v>
      </c>
    </row>
    <row r="266" spans="1:11" x14ac:dyDescent="0.15">
      <c r="A266" s="2">
        <v>26</v>
      </c>
      <c r="B266" s="3">
        <v>41768</v>
      </c>
      <c r="C266" s="2" t="s">
        <v>82</v>
      </c>
      <c r="D266" s="2">
        <v>1.85</v>
      </c>
      <c r="E266" s="2">
        <v>60</v>
      </c>
      <c r="F266" s="2">
        <f>D266*(E266*60)</f>
        <v>6660</v>
      </c>
      <c r="G266" s="2">
        <v>10</v>
      </c>
      <c r="H266" s="2">
        <v>3</v>
      </c>
      <c r="I266" s="2" t="s">
        <v>47</v>
      </c>
      <c r="K266" s="2">
        <v>6</v>
      </c>
    </row>
    <row r="267" spans="1:11" x14ac:dyDescent="0.15">
      <c r="A267" s="2">
        <v>26</v>
      </c>
      <c r="B267" s="3">
        <v>41768</v>
      </c>
      <c r="C267" s="2" t="s">
        <v>82</v>
      </c>
      <c r="D267" s="2">
        <v>1.85</v>
      </c>
      <c r="E267" s="2">
        <v>60</v>
      </c>
      <c r="F267" s="2">
        <f>D267*(E267*60)</f>
        <v>6660</v>
      </c>
      <c r="G267" s="2">
        <v>10</v>
      </c>
      <c r="H267" s="2">
        <v>3</v>
      </c>
      <c r="I267" s="2" t="s">
        <v>26</v>
      </c>
      <c r="K267" s="2">
        <v>4</v>
      </c>
    </row>
    <row r="268" spans="1:11" x14ac:dyDescent="0.15">
      <c r="A268" s="2">
        <v>26</v>
      </c>
      <c r="B268" s="3">
        <v>41768</v>
      </c>
      <c r="C268" s="2" t="s">
        <v>82</v>
      </c>
      <c r="D268" s="2">
        <v>1.85</v>
      </c>
      <c r="E268" s="2">
        <v>60</v>
      </c>
      <c r="F268" s="2">
        <f>D268*(E268*60)</f>
        <v>6660</v>
      </c>
      <c r="G268" s="2">
        <v>10</v>
      </c>
      <c r="H268" s="2">
        <v>3</v>
      </c>
      <c r="I268" s="2" t="s">
        <v>50</v>
      </c>
      <c r="K268" s="2">
        <v>20</v>
      </c>
    </row>
    <row r="269" spans="1:11" x14ac:dyDescent="0.15">
      <c r="A269" s="2">
        <v>26</v>
      </c>
      <c r="B269" s="3">
        <v>41768</v>
      </c>
      <c r="C269" s="2" t="s">
        <v>82</v>
      </c>
      <c r="D269" s="2">
        <v>1.85</v>
      </c>
      <c r="E269" s="2">
        <v>60</v>
      </c>
      <c r="F269" s="2">
        <f>D269*(E269*60)</f>
        <v>6660</v>
      </c>
      <c r="G269" s="2">
        <v>10</v>
      </c>
      <c r="H269" s="2">
        <v>3</v>
      </c>
      <c r="I269" s="2" t="s">
        <v>66</v>
      </c>
      <c r="K269" s="2">
        <v>1</v>
      </c>
    </row>
    <row r="270" spans="1:11" x14ac:dyDescent="0.15">
      <c r="A270" s="2">
        <v>26</v>
      </c>
      <c r="B270" s="3">
        <v>41768</v>
      </c>
      <c r="C270" s="2" t="s">
        <v>82</v>
      </c>
      <c r="D270" s="2">
        <v>1.85</v>
      </c>
      <c r="E270" s="2">
        <v>60</v>
      </c>
      <c r="F270" s="2">
        <f>D270*(E270*60)</f>
        <v>6660</v>
      </c>
      <c r="G270" s="2">
        <v>10</v>
      </c>
      <c r="H270" s="2">
        <v>3</v>
      </c>
      <c r="I270" s="2" t="s">
        <v>42</v>
      </c>
      <c r="J270" s="2" t="s">
        <v>43</v>
      </c>
      <c r="K270" s="2">
        <v>8</v>
      </c>
    </row>
    <row r="271" spans="1:11" x14ac:dyDescent="0.15">
      <c r="A271" s="2">
        <v>26</v>
      </c>
      <c r="B271" s="3">
        <v>41768</v>
      </c>
      <c r="C271" s="2" t="s">
        <v>82</v>
      </c>
      <c r="D271" s="2">
        <v>1.85</v>
      </c>
      <c r="E271" s="2">
        <v>60</v>
      </c>
      <c r="F271" s="2">
        <f>D271*(E271*60)</f>
        <v>6660</v>
      </c>
      <c r="G271" s="2">
        <v>10</v>
      </c>
      <c r="H271" s="2">
        <v>3</v>
      </c>
      <c r="I271" s="2" t="s">
        <v>29</v>
      </c>
      <c r="J271" s="2" t="s">
        <v>32</v>
      </c>
      <c r="K271" s="2">
        <v>4</v>
      </c>
    </row>
    <row r="272" spans="1:11" x14ac:dyDescent="0.15">
      <c r="A272" s="2">
        <v>26</v>
      </c>
      <c r="B272" s="3">
        <v>41768</v>
      </c>
      <c r="C272" s="2" t="s">
        <v>82</v>
      </c>
      <c r="D272" s="2">
        <v>1.85</v>
      </c>
      <c r="E272" s="2">
        <v>60</v>
      </c>
      <c r="F272" s="2">
        <f>D272*(E272*60)</f>
        <v>6660</v>
      </c>
      <c r="G272" s="2">
        <v>10</v>
      </c>
      <c r="H272" s="2">
        <v>3</v>
      </c>
      <c r="I272" s="2" t="s">
        <v>29</v>
      </c>
      <c r="K272" s="2">
        <v>1</v>
      </c>
    </row>
    <row r="273" spans="1:11" x14ac:dyDescent="0.15">
      <c r="A273" s="2">
        <v>26</v>
      </c>
      <c r="B273" s="3">
        <v>41768</v>
      </c>
      <c r="C273" s="2" t="s">
        <v>82</v>
      </c>
      <c r="D273" s="2">
        <v>1.85</v>
      </c>
      <c r="E273" s="2">
        <v>60</v>
      </c>
      <c r="F273" s="2">
        <f>D273*(E273*60)</f>
        <v>6660</v>
      </c>
      <c r="G273" s="2">
        <v>10</v>
      </c>
      <c r="H273" s="2">
        <v>3</v>
      </c>
      <c r="I273" s="2" t="s">
        <v>29</v>
      </c>
      <c r="J273" s="2" t="s">
        <v>33</v>
      </c>
      <c r="K273" s="2">
        <v>3</v>
      </c>
    </row>
    <row r="274" spans="1:11" x14ac:dyDescent="0.15">
      <c r="A274" s="2">
        <v>26</v>
      </c>
      <c r="B274" s="3">
        <v>41768</v>
      </c>
      <c r="C274" s="2" t="s">
        <v>82</v>
      </c>
      <c r="D274" s="2">
        <v>1.85</v>
      </c>
      <c r="E274" s="2">
        <v>60</v>
      </c>
      <c r="F274" s="2">
        <f>D274*(E274*60)</f>
        <v>6660</v>
      </c>
      <c r="G274" s="2">
        <v>10</v>
      </c>
      <c r="H274" s="2">
        <v>3</v>
      </c>
      <c r="I274" s="2" t="s">
        <v>36</v>
      </c>
      <c r="J274" s="2" t="s">
        <v>40</v>
      </c>
      <c r="K274" s="2">
        <v>1</v>
      </c>
    </row>
    <row r="275" spans="1:11" x14ac:dyDescent="0.15">
      <c r="A275" s="2">
        <v>26</v>
      </c>
      <c r="B275" s="3">
        <v>41768</v>
      </c>
      <c r="C275" s="2" t="s">
        <v>82</v>
      </c>
      <c r="D275" s="2">
        <v>1.85</v>
      </c>
      <c r="E275" s="2">
        <v>60</v>
      </c>
      <c r="F275" s="2">
        <f>D275*(E275*60)</f>
        <v>6660</v>
      </c>
      <c r="G275" s="2">
        <v>10</v>
      </c>
      <c r="H275" s="2">
        <v>3</v>
      </c>
      <c r="I275" s="2" t="s">
        <v>51</v>
      </c>
      <c r="K275" s="2">
        <v>42</v>
      </c>
    </row>
    <row r="276" spans="1:11" x14ac:dyDescent="0.15">
      <c r="A276" s="2">
        <v>13</v>
      </c>
      <c r="B276" s="3">
        <v>41768</v>
      </c>
      <c r="C276" s="2" t="s">
        <v>70</v>
      </c>
      <c r="D276" s="2">
        <v>1.4450000000000001</v>
      </c>
      <c r="E276" s="2">
        <v>60</v>
      </c>
      <c r="F276" s="2">
        <f>D276*(E276*60)</f>
        <v>5202</v>
      </c>
      <c r="G276" s="2">
        <v>25</v>
      </c>
      <c r="H276" s="2">
        <v>1</v>
      </c>
      <c r="I276" s="2" t="s">
        <v>76</v>
      </c>
      <c r="K276" s="2">
        <v>3</v>
      </c>
    </row>
    <row r="277" spans="1:11" x14ac:dyDescent="0.15">
      <c r="A277" s="2">
        <v>13</v>
      </c>
      <c r="B277" s="3">
        <v>41768</v>
      </c>
      <c r="C277" s="2" t="s">
        <v>70</v>
      </c>
      <c r="D277" s="2">
        <v>1.4450000000000001</v>
      </c>
      <c r="E277" s="2">
        <v>60</v>
      </c>
      <c r="F277" s="2">
        <f>D277*(E277*60)</f>
        <v>5202</v>
      </c>
      <c r="G277" s="2">
        <v>25</v>
      </c>
      <c r="H277" s="2">
        <v>1</v>
      </c>
      <c r="I277" s="2" t="s">
        <v>13</v>
      </c>
      <c r="J277" s="2" t="s">
        <v>15</v>
      </c>
      <c r="K277" s="2">
        <v>73</v>
      </c>
    </row>
    <row r="278" spans="1:11" x14ac:dyDescent="0.15">
      <c r="A278" s="2">
        <v>13</v>
      </c>
      <c r="B278" s="3">
        <v>41768</v>
      </c>
      <c r="C278" s="2" t="s">
        <v>70</v>
      </c>
      <c r="D278" s="2">
        <v>1.4450000000000001</v>
      </c>
      <c r="E278" s="2">
        <v>60</v>
      </c>
      <c r="F278" s="2">
        <f>D278*(E278*60)</f>
        <v>5202</v>
      </c>
      <c r="G278" s="2">
        <v>25</v>
      </c>
      <c r="H278" s="2">
        <v>1</v>
      </c>
      <c r="I278" s="2" t="s">
        <v>17</v>
      </c>
      <c r="J278" s="2" t="s">
        <v>18</v>
      </c>
      <c r="K278" s="2">
        <v>29</v>
      </c>
    </row>
    <row r="279" spans="1:11" x14ac:dyDescent="0.15">
      <c r="A279" s="2">
        <v>13</v>
      </c>
      <c r="B279" s="3">
        <v>41768</v>
      </c>
      <c r="C279" s="2" t="s">
        <v>70</v>
      </c>
      <c r="D279" s="2">
        <v>1.4450000000000001</v>
      </c>
      <c r="E279" s="2">
        <v>60</v>
      </c>
      <c r="F279" s="2">
        <f>D279*(E279*60)</f>
        <v>5202</v>
      </c>
      <c r="G279" s="2">
        <v>25</v>
      </c>
      <c r="H279" s="2">
        <v>1</v>
      </c>
      <c r="I279" s="2" t="s">
        <v>69</v>
      </c>
      <c r="K279" s="2">
        <v>17</v>
      </c>
    </row>
    <row r="280" spans="1:11" x14ac:dyDescent="0.15">
      <c r="A280" s="2">
        <v>13</v>
      </c>
      <c r="B280" s="3">
        <v>41768</v>
      </c>
      <c r="C280" s="2" t="s">
        <v>70</v>
      </c>
      <c r="D280" s="2">
        <v>1.4450000000000001</v>
      </c>
      <c r="E280" s="2">
        <v>60</v>
      </c>
      <c r="F280" s="2">
        <f>D280*(E280*60)</f>
        <v>5202</v>
      </c>
      <c r="G280" s="2">
        <v>25</v>
      </c>
      <c r="H280" s="2">
        <v>1</v>
      </c>
      <c r="I280" s="2" t="s">
        <v>22</v>
      </c>
      <c r="K280" s="2">
        <v>4</v>
      </c>
    </row>
    <row r="281" spans="1:11" x14ac:dyDescent="0.15">
      <c r="A281" s="2">
        <v>13</v>
      </c>
      <c r="B281" s="3">
        <v>41768</v>
      </c>
      <c r="C281" s="2" t="s">
        <v>70</v>
      </c>
      <c r="D281" s="2">
        <v>1.4450000000000001</v>
      </c>
      <c r="E281" s="2">
        <v>60</v>
      </c>
      <c r="F281" s="2">
        <f>D281*(E281*60)</f>
        <v>5202</v>
      </c>
      <c r="G281" s="2">
        <v>25</v>
      </c>
      <c r="H281" s="2">
        <v>1</v>
      </c>
      <c r="I281" s="2" t="s">
        <v>47</v>
      </c>
      <c r="J281" s="2" t="s">
        <v>48</v>
      </c>
      <c r="K281" s="2">
        <v>49</v>
      </c>
    </row>
    <row r="282" spans="1:11" x14ac:dyDescent="0.15">
      <c r="A282" s="2">
        <v>13</v>
      </c>
      <c r="B282" s="3">
        <v>41768</v>
      </c>
      <c r="C282" s="2" t="s">
        <v>70</v>
      </c>
      <c r="D282" s="2">
        <v>1.4450000000000001</v>
      </c>
      <c r="E282" s="2">
        <v>60</v>
      </c>
      <c r="F282" s="2">
        <f>D282*(E282*60)</f>
        <v>5202</v>
      </c>
      <c r="G282" s="2">
        <v>25</v>
      </c>
      <c r="H282" s="2">
        <v>1</v>
      </c>
      <c r="I282" s="2" t="s">
        <v>47</v>
      </c>
      <c r="J282" s="2" t="s">
        <v>64</v>
      </c>
      <c r="K282" s="2">
        <v>1</v>
      </c>
    </row>
    <row r="283" spans="1:11" x14ac:dyDescent="0.15">
      <c r="A283" s="2">
        <v>13</v>
      </c>
      <c r="B283" s="3">
        <v>41768</v>
      </c>
      <c r="C283" s="2" t="s">
        <v>70</v>
      </c>
      <c r="D283" s="2">
        <v>1.4450000000000001</v>
      </c>
      <c r="E283" s="2">
        <v>60</v>
      </c>
      <c r="F283" s="2">
        <f>D283*(E283*60)</f>
        <v>5202</v>
      </c>
      <c r="G283" s="2">
        <v>25</v>
      </c>
      <c r="H283" s="2">
        <v>1</v>
      </c>
      <c r="I283" s="2" t="s">
        <v>47</v>
      </c>
      <c r="K283" s="2">
        <v>1</v>
      </c>
    </row>
    <row r="284" spans="1:11" x14ac:dyDescent="0.15">
      <c r="A284" s="2">
        <v>13</v>
      </c>
      <c r="B284" s="3">
        <v>41768</v>
      </c>
      <c r="C284" s="2" t="s">
        <v>70</v>
      </c>
      <c r="D284" s="2">
        <v>1.4450000000000001</v>
      </c>
      <c r="E284" s="2">
        <v>60</v>
      </c>
      <c r="F284" s="2">
        <f>D284*(E284*60)</f>
        <v>5202</v>
      </c>
      <c r="G284" s="2">
        <v>25</v>
      </c>
      <c r="H284" s="2">
        <v>1</v>
      </c>
      <c r="I284" s="2" t="s">
        <v>26</v>
      </c>
      <c r="K284" s="2">
        <v>10</v>
      </c>
    </row>
    <row r="285" spans="1:11" x14ac:dyDescent="0.15">
      <c r="A285" s="2">
        <v>13</v>
      </c>
      <c r="B285" s="3">
        <v>41768</v>
      </c>
      <c r="C285" s="2" t="s">
        <v>70</v>
      </c>
      <c r="D285" s="2">
        <v>1.4450000000000001</v>
      </c>
      <c r="E285" s="2">
        <v>60</v>
      </c>
      <c r="F285" s="2">
        <f>D285*(E285*60)</f>
        <v>5202</v>
      </c>
      <c r="G285" s="2">
        <v>25</v>
      </c>
      <c r="H285" s="2">
        <v>1</v>
      </c>
      <c r="I285" s="2" t="s">
        <v>29</v>
      </c>
      <c r="K285" s="2">
        <v>5</v>
      </c>
    </row>
    <row r="286" spans="1:11" x14ac:dyDescent="0.15">
      <c r="A286" s="2">
        <v>13</v>
      </c>
      <c r="B286" s="3">
        <v>41768</v>
      </c>
      <c r="C286" s="2" t="s">
        <v>70</v>
      </c>
      <c r="D286" s="2">
        <v>1.4450000000000001</v>
      </c>
      <c r="E286" s="2">
        <v>60</v>
      </c>
      <c r="F286" s="2">
        <f>D286*(E286*60)</f>
        <v>5202</v>
      </c>
      <c r="G286" s="2">
        <v>25</v>
      </c>
      <c r="H286" s="2">
        <v>1</v>
      </c>
      <c r="I286" s="2" t="s">
        <v>44</v>
      </c>
      <c r="K286" s="2">
        <v>5</v>
      </c>
    </row>
    <row r="287" spans="1:11" x14ac:dyDescent="0.15">
      <c r="A287" s="2">
        <v>13</v>
      </c>
      <c r="B287" s="3">
        <v>41768</v>
      </c>
      <c r="C287" s="2" t="s">
        <v>70</v>
      </c>
      <c r="D287" s="2">
        <v>1.4450000000000001</v>
      </c>
      <c r="E287" s="2">
        <v>60</v>
      </c>
      <c r="F287" s="2">
        <f>D287*(E287*60)</f>
        <v>5202</v>
      </c>
      <c r="G287" s="2">
        <v>25</v>
      </c>
      <c r="H287" s="2">
        <v>1</v>
      </c>
      <c r="I287" s="2" t="s">
        <v>50</v>
      </c>
      <c r="K287" s="2">
        <v>3</v>
      </c>
    </row>
    <row r="288" spans="1:11" x14ac:dyDescent="0.15">
      <c r="A288" s="2">
        <v>13</v>
      </c>
      <c r="B288" s="3">
        <v>41768</v>
      </c>
      <c r="C288" s="2" t="s">
        <v>70</v>
      </c>
      <c r="D288" s="2">
        <v>1.4450000000000001</v>
      </c>
      <c r="E288" s="2">
        <v>60</v>
      </c>
      <c r="F288" s="2">
        <f>D288*(E288*60)</f>
        <v>5202</v>
      </c>
      <c r="G288" s="2">
        <v>25</v>
      </c>
      <c r="H288" s="2">
        <v>1</v>
      </c>
      <c r="I288" s="2" t="s">
        <v>51</v>
      </c>
      <c r="K288" s="2">
        <v>2</v>
      </c>
    </row>
    <row r="289" spans="1:11" x14ac:dyDescent="0.15">
      <c r="A289" s="2">
        <v>28</v>
      </c>
      <c r="B289" s="3">
        <v>41768</v>
      </c>
      <c r="C289" s="2" t="s">
        <v>87</v>
      </c>
      <c r="D289" s="2">
        <v>1.0249999999999999</v>
      </c>
      <c r="E289" s="2">
        <v>60</v>
      </c>
      <c r="F289" s="2">
        <f>D289*(E289*60)</f>
        <v>3689.9999999999995</v>
      </c>
      <c r="G289" s="2">
        <v>10</v>
      </c>
      <c r="H289" s="2">
        <v>3</v>
      </c>
      <c r="I289" s="2" t="s">
        <v>76</v>
      </c>
      <c r="K289" s="2">
        <v>11</v>
      </c>
    </row>
    <row r="290" spans="1:11" x14ac:dyDescent="0.15">
      <c r="A290" s="2">
        <v>28</v>
      </c>
      <c r="B290" s="3">
        <v>41768</v>
      </c>
      <c r="C290" s="2" t="s">
        <v>87</v>
      </c>
      <c r="D290" s="2">
        <v>1.0249999999999999</v>
      </c>
      <c r="E290" s="2">
        <v>60</v>
      </c>
      <c r="F290" s="2">
        <f>D290*(E290*60)</f>
        <v>3689.9999999999995</v>
      </c>
      <c r="G290" s="2">
        <v>10</v>
      </c>
      <c r="H290" s="2">
        <v>3</v>
      </c>
      <c r="I290" s="2" t="s">
        <v>13</v>
      </c>
      <c r="J290" s="2" t="s">
        <v>15</v>
      </c>
      <c r="K290" s="2">
        <v>45</v>
      </c>
    </row>
    <row r="291" spans="1:11" x14ac:dyDescent="0.15">
      <c r="A291" s="2">
        <v>28</v>
      </c>
      <c r="B291" s="3">
        <v>41768</v>
      </c>
      <c r="C291" s="2" t="s">
        <v>87</v>
      </c>
      <c r="D291" s="2">
        <v>1.0249999999999999</v>
      </c>
      <c r="E291" s="2">
        <v>60</v>
      </c>
      <c r="F291" s="2">
        <f>D291*(E291*60)</f>
        <v>3689.9999999999995</v>
      </c>
      <c r="G291" s="2">
        <v>10</v>
      </c>
      <c r="H291" s="2">
        <v>3</v>
      </c>
      <c r="I291" s="2" t="s">
        <v>19</v>
      </c>
      <c r="K291" s="2">
        <v>33</v>
      </c>
    </row>
    <row r="292" spans="1:11" x14ac:dyDescent="0.15">
      <c r="A292" s="2">
        <v>28</v>
      </c>
      <c r="B292" s="3">
        <v>41768</v>
      </c>
      <c r="C292" s="2" t="s">
        <v>87</v>
      </c>
      <c r="D292" s="2">
        <v>1.0249999999999999</v>
      </c>
      <c r="E292" s="2">
        <v>60</v>
      </c>
      <c r="F292" s="2">
        <f>D292*(E292*60)</f>
        <v>3689.9999999999995</v>
      </c>
      <c r="G292" s="2">
        <v>10</v>
      </c>
      <c r="H292" s="2">
        <v>3</v>
      </c>
      <c r="I292" s="2" t="s">
        <v>17</v>
      </c>
      <c r="J292" s="2" t="s">
        <v>18</v>
      </c>
      <c r="K292" s="2">
        <v>28</v>
      </c>
    </row>
    <row r="293" spans="1:11" x14ac:dyDescent="0.15">
      <c r="A293" s="2">
        <v>28</v>
      </c>
      <c r="B293" s="3">
        <v>41768</v>
      </c>
      <c r="C293" s="2" t="s">
        <v>87</v>
      </c>
      <c r="D293" s="2">
        <v>1.0249999999999999</v>
      </c>
      <c r="E293" s="2">
        <v>60</v>
      </c>
      <c r="F293" s="2">
        <f>D293*(E293*60)</f>
        <v>3689.9999999999995</v>
      </c>
      <c r="G293" s="2">
        <v>10</v>
      </c>
      <c r="H293" s="2">
        <v>3</v>
      </c>
      <c r="I293" s="2" t="s">
        <v>22</v>
      </c>
      <c r="K293" s="2">
        <v>1</v>
      </c>
    </row>
    <row r="294" spans="1:11" x14ac:dyDescent="0.15">
      <c r="A294" s="2">
        <v>28</v>
      </c>
      <c r="B294" s="3">
        <v>41768</v>
      </c>
      <c r="C294" s="2" t="s">
        <v>87</v>
      </c>
      <c r="D294" s="2">
        <v>1.0249999999999999</v>
      </c>
      <c r="E294" s="2">
        <v>60</v>
      </c>
      <c r="F294" s="2">
        <f>D294*(E294*60)</f>
        <v>3689.9999999999995</v>
      </c>
      <c r="G294" s="2">
        <v>10</v>
      </c>
      <c r="H294" s="2">
        <v>3</v>
      </c>
      <c r="I294" s="2" t="s">
        <v>47</v>
      </c>
      <c r="J294" s="2" t="s">
        <v>48</v>
      </c>
      <c r="K294" s="2">
        <v>59</v>
      </c>
    </row>
    <row r="295" spans="1:11" x14ac:dyDescent="0.15">
      <c r="A295" s="2">
        <v>28</v>
      </c>
      <c r="B295" s="3">
        <v>41768</v>
      </c>
      <c r="C295" s="2" t="s">
        <v>87</v>
      </c>
      <c r="D295" s="2">
        <v>1.0249999999999999</v>
      </c>
      <c r="E295" s="2">
        <v>60</v>
      </c>
      <c r="F295" s="2">
        <f>D295*(E295*60)</f>
        <v>3689.9999999999995</v>
      </c>
      <c r="G295" s="2">
        <v>10</v>
      </c>
      <c r="H295" s="2">
        <v>3</v>
      </c>
      <c r="I295" s="2" t="s">
        <v>47</v>
      </c>
      <c r="J295" s="2" t="s">
        <v>64</v>
      </c>
      <c r="K295" s="2">
        <v>4</v>
      </c>
    </row>
    <row r="296" spans="1:11" x14ac:dyDescent="0.15">
      <c r="A296" s="2">
        <v>28</v>
      </c>
      <c r="B296" s="3">
        <v>41768</v>
      </c>
      <c r="C296" s="2" t="s">
        <v>87</v>
      </c>
      <c r="D296" s="2">
        <v>1.0249999999999999</v>
      </c>
      <c r="E296" s="2">
        <v>60</v>
      </c>
      <c r="F296" s="2">
        <f>D296*(E296*60)</f>
        <v>3689.9999999999995</v>
      </c>
      <c r="G296" s="2">
        <v>10</v>
      </c>
      <c r="H296" s="2">
        <v>3</v>
      </c>
      <c r="I296" s="2" t="s">
        <v>47</v>
      </c>
      <c r="K296" s="2">
        <v>1</v>
      </c>
    </row>
    <row r="297" spans="1:11" x14ac:dyDescent="0.15">
      <c r="A297" s="2">
        <v>28</v>
      </c>
      <c r="B297" s="3">
        <v>41768</v>
      </c>
      <c r="C297" s="2" t="s">
        <v>87</v>
      </c>
      <c r="D297" s="2">
        <v>1.0249999999999999</v>
      </c>
      <c r="E297" s="2">
        <v>60</v>
      </c>
      <c r="F297" s="2">
        <f>D297*(E297*60)</f>
        <v>3689.9999999999995</v>
      </c>
      <c r="G297" s="2">
        <v>10</v>
      </c>
      <c r="H297" s="2">
        <v>3</v>
      </c>
      <c r="I297" s="2" t="s">
        <v>26</v>
      </c>
      <c r="K297" s="2">
        <v>10</v>
      </c>
    </row>
    <row r="298" spans="1:11" x14ac:dyDescent="0.15">
      <c r="A298" s="2">
        <v>28</v>
      </c>
      <c r="B298" s="3">
        <v>41768</v>
      </c>
      <c r="C298" s="2" t="s">
        <v>87</v>
      </c>
      <c r="D298" s="2">
        <v>1.0249999999999999</v>
      </c>
      <c r="E298" s="2">
        <v>60</v>
      </c>
      <c r="F298" s="2">
        <f>D298*(E298*60)</f>
        <v>3689.9999999999995</v>
      </c>
      <c r="G298" s="2">
        <v>10</v>
      </c>
      <c r="H298" s="2">
        <v>3</v>
      </c>
      <c r="I298" s="2" t="s">
        <v>6</v>
      </c>
      <c r="K298" s="2">
        <v>3</v>
      </c>
    </row>
    <row r="299" spans="1:11" x14ac:dyDescent="0.15">
      <c r="A299" s="2">
        <v>28</v>
      </c>
      <c r="B299" s="3">
        <v>41768</v>
      </c>
      <c r="C299" s="2" t="s">
        <v>87</v>
      </c>
      <c r="D299" s="2">
        <v>1.0249999999999999</v>
      </c>
      <c r="E299" s="2">
        <v>60</v>
      </c>
      <c r="F299" s="2">
        <f>D299*(E299*60)</f>
        <v>3689.9999999999995</v>
      </c>
      <c r="G299" s="2">
        <v>10</v>
      </c>
      <c r="H299" s="2">
        <v>3</v>
      </c>
      <c r="I299" s="2" t="s">
        <v>29</v>
      </c>
      <c r="J299" s="2" t="s">
        <v>33</v>
      </c>
      <c r="K299" s="2">
        <v>2</v>
      </c>
    </row>
    <row r="300" spans="1:11" x14ac:dyDescent="0.15">
      <c r="A300" s="2">
        <v>28</v>
      </c>
      <c r="B300" s="3">
        <v>41768</v>
      </c>
      <c r="C300" s="2" t="s">
        <v>87</v>
      </c>
      <c r="D300" s="2">
        <v>1.0249999999999999</v>
      </c>
      <c r="E300" s="2">
        <v>60</v>
      </c>
      <c r="F300" s="2">
        <f>D300*(E300*60)</f>
        <v>3689.9999999999995</v>
      </c>
      <c r="G300" s="2">
        <v>10</v>
      </c>
      <c r="H300" s="2">
        <v>3</v>
      </c>
      <c r="I300" s="2" t="s">
        <v>29</v>
      </c>
      <c r="J300" s="2" t="s">
        <v>67</v>
      </c>
      <c r="K300" s="2">
        <v>2</v>
      </c>
    </row>
    <row r="301" spans="1:11" x14ac:dyDescent="0.15">
      <c r="A301" s="2">
        <v>28</v>
      </c>
      <c r="B301" s="3">
        <v>41768</v>
      </c>
      <c r="C301" s="2" t="s">
        <v>87</v>
      </c>
      <c r="D301" s="2">
        <v>1.0249999999999999</v>
      </c>
      <c r="E301" s="2">
        <v>60</v>
      </c>
      <c r="F301" s="2">
        <f>D301*(E301*60)</f>
        <v>3689.9999999999995</v>
      </c>
      <c r="G301" s="2">
        <v>10</v>
      </c>
      <c r="H301" s="2">
        <v>3</v>
      </c>
      <c r="I301" s="2" t="s">
        <v>44</v>
      </c>
      <c r="K301" s="2">
        <v>1</v>
      </c>
    </row>
    <row r="302" spans="1:11" x14ac:dyDescent="0.15">
      <c r="A302" s="2">
        <v>28</v>
      </c>
      <c r="B302" s="3">
        <v>41768</v>
      </c>
      <c r="C302" s="2" t="s">
        <v>87</v>
      </c>
      <c r="D302" s="2">
        <v>1.0249999999999999</v>
      </c>
      <c r="E302" s="2">
        <v>60</v>
      </c>
      <c r="F302" s="2">
        <f>D302*(E302*60)</f>
        <v>3689.9999999999995</v>
      </c>
      <c r="G302" s="2">
        <v>10</v>
      </c>
      <c r="H302" s="2">
        <v>3</v>
      </c>
      <c r="I302" s="2" t="s">
        <v>51</v>
      </c>
      <c r="K302" s="2">
        <v>13</v>
      </c>
    </row>
    <row r="303" spans="1:11" x14ac:dyDescent="0.15">
      <c r="A303" s="2">
        <v>31</v>
      </c>
      <c r="B303" s="3">
        <v>41768</v>
      </c>
      <c r="C303" s="2" t="s">
        <v>86</v>
      </c>
      <c r="D303" s="2">
        <v>0.94499999999999995</v>
      </c>
      <c r="E303" s="2">
        <v>60</v>
      </c>
      <c r="F303" s="2">
        <f>D303*(E303*60)</f>
        <v>3402</v>
      </c>
      <c r="G303" s="2">
        <v>10</v>
      </c>
      <c r="H303" s="2">
        <v>2</v>
      </c>
      <c r="I303" s="2" t="s">
        <v>47</v>
      </c>
      <c r="J303" s="2" t="s">
        <v>48</v>
      </c>
      <c r="K303" s="2">
        <v>45</v>
      </c>
    </row>
    <row r="304" spans="1:11" x14ac:dyDescent="0.15">
      <c r="A304" s="2">
        <v>31</v>
      </c>
      <c r="B304" s="3">
        <v>41768</v>
      </c>
      <c r="C304" s="2" t="s">
        <v>86</v>
      </c>
      <c r="D304" s="2">
        <v>0.94499999999999995</v>
      </c>
      <c r="E304" s="2">
        <v>60</v>
      </c>
      <c r="F304" s="2">
        <f>D304*(E304*60)</f>
        <v>3402</v>
      </c>
      <c r="G304" s="2">
        <v>10</v>
      </c>
      <c r="H304" s="2">
        <v>2</v>
      </c>
      <c r="I304" s="2" t="s">
        <v>19</v>
      </c>
      <c r="K304" s="2">
        <v>38</v>
      </c>
    </row>
    <row r="305" spans="1:11" x14ac:dyDescent="0.15">
      <c r="A305" s="2">
        <v>31</v>
      </c>
      <c r="B305" s="3">
        <v>41768</v>
      </c>
      <c r="C305" s="2" t="s">
        <v>86</v>
      </c>
      <c r="D305" s="2">
        <v>0.94499999999999995</v>
      </c>
      <c r="E305" s="2">
        <v>60</v>
      </c>
      <c r="F305" s="2">
        <f>D305*(E305*60)</f>
        <v>3402</v>
      </c>
      <c r="G305" s="2">
        <v>10</v>
      </c>
      <c r="H305" s="2">
        <v>2</v>
      </c>
      <c r="I305" s="2" t="s">
        <v>13</v>
      </c>
      <c r="J305" s="2" t="s">
        <v>15</v>
      </c>
      <c r="K305" s="2">
        <v>34</v>
      </c>
    </row>
    <row r="306" spans="1:11" x14ac:dyDescent="0.15">
      <c r="A306" s="2">
        <v>31</v>
      </c>
      <c r="B306" s="3">
        <v>41768</v>
      </c>
      <c r="C306" s="2" t="s">
        <v>86</v>
      </c>
      <c r="D306" s="2">
        <v>0.94499999999999995</v>
      </c>
      <c r="E306" s="2">
        <v>60</v>
      </c>
      <c r="F306" s="2">
        <f>D306*(E306*60)</f>
        <v>3402</v>
      </c>
      <c r="G306" s="2">
        <v>10</v>
      </c>
      <c r="H306" s="2">
        <v>2</v>
      </c>
      <c r="I306" s="2" t="s">
        <v>29</v>
      </c>
      <c r="K306" s="2">
        <v>4</v>
      </c>
    </row>
    <row r="307" spans="1:11" x14ac:dyDescent="0.15">
      <c r="A307" s="2">
        <v>31</v>
      </c>
      <c r="B307" s="3">
        <v>41768</v>
      </c>
      <c r="C307" s="2" t="s">
        <v>86</v>
      </c>
      <c r="D307" s="2">
        <v>0.94499999999999995</v>
      </c>
      <c r="E307" s="2">
        <v>60</v>
      </c>
      <c r="F307" s="2">
        <f>D307*(E307*60)</f>
        <v>3402</v>
      </c>
      <c r="G307" s="2">
        <v>10</v>
      </c>
      <c r="H307" s="2">
        <v>2</v>
      </c>
      <c r="I307" s="2" t="s">
        <v>17</v>
      </c>
      <c r="J307" s="2" t="s">
        <v>18</v>
      </c>
      <c r="K307" s="2">
        <v>52</v>
      </c>
    </row>
    <row r="308" spans="1:11" x14ac:dyDescent="0.15">
      <c r="A308" s="2">
        <v>31</v>
      </c>
      <c r="B308" s="3">
        <v>41768</v>
      </c>
      <c r="C308" s="2" t="s">
        <v>86</v>
      </c>
      <c r="D308" s="2">
        <v>0.94499999999999995</v>
      </c>
      <c r="E308" s="2">
        <v>60</v>
      </c>
      <c r="F308" s="2">
        <f>D308*(E308*60)</f>
        <v>3402</v>
      </c>
      <c r="G308" s="2">
        <v>10</v>
      </c>
      <c r="H308" s="2">
        <v>2</v>
      </c>
      <c r="I308" s="2" t="s">
        <v>76</v>
      </c>
      <c r="K308" s="2">
        <v>6</v>
      </c>
    </row>
    <row r="309" spans="1:11" x14ac:dyDescent="0.15">
      <c r="A309" s="2">
        <v>31</v>
      </c>
      <c r="B309" s="3">
        <v>41768</v>
      </c>
      <c r="C309" s="2" t="s">
        <v>86</v>
      </c>
      <c r="D309" s="2">
        <v>0.94499999999999995</v>
      </c>
      <c r="E309" s="2">
        <v>60</v>
      </c>
      <c r="F309" s="2">
        <f>D309*(E309*60)</f>
        <v>3402</v>
      </c>
      <c r="G309" s="2">
        <v>10</v>
      </c>
      <c r="H309" s="2">
        <v>2</v>
      </c>
      <c r="I309" s="2" t="s">
        <v>26</v>
      </c>
      <c r="K309" s="2">
        <v>7</v>
      </c>
    </row>
    <row r="310" spans="1:11" x14ac:dyDescent="0.15">
      <c r="A310" s="2">
        <v>31</v>
      </c>
      <c r="B310" s="3">
        <v>41768</v>
      </c>
      <c r="C310" s="2" t="s">
        <v>86</v>
      </c>
      <c r="D310" s="2">
        <v>0.94499999999999995</v>
      </c>
      <c r="E310" s="2">
        <v>60</v>
      </c>
      <c r="F310" s="2">
        <f>D310*(E310*60)</f>
        <v>3402</v>
      </c>
      <c r="G310" s="2">
        <v>10</v>
      </c>
      <c r="H310" s="2">
        <v>2</v>
      </c>
      <c r="I310" s="2" t="s">
        <v>41</v>
      </c>
      <c r="K310" s="2">
        <v>1</v>
      </c>
    </row>
    <row r="311" spans="1:11" x14ac:dyDescent="0.15">
      <c r="A311" s="2">
        <v>31</v>
      </c>
      <c r="B311" s="3">
        <v>41768</v>
      </c>
      <c r="C311" s="2" t="s">
        <v>86</v>
      </c>
      <c r="D311" s="2">
        <v>0.94499999999999995</v>
      </c>
      <c r="E311" s="2">
        <v>60</v>
      </c>
      <c r="F311" s="2">
        <f>D311*(E311*60)</f>
        <v>3402</v>
      </c>
      <c r="G311" s="2">
        <v>10</v>
      </c>
      <c r="H311" s="2">
        <v>2</v>
      </c>
      <c r="I311" s="2" t="s">
        <v>22</v>
      </c>
      <c r="K311" s="2">
        <v>3</v>
      </c>
    </row>
    <row r="312" spans="1:11" x14ac:dyDescent="0.15">
      <c r="A312" s="2">
        <v>31</v>
      </c>
      <c r="B312" s="3">
        <v>41768</v>
      </c>
      <c r="C312" s="2" t="s">
        <v>86</v>
      </c>
      <c r="D312" s="2">
        <v>0.94499999999999995</v>
      </c>
      <c r="E312" s="2">
        <v>60</v>
      </c>
      <c r="F312" s="2">
        <f>D312*(E312*60)</f>
        <v>3402</v>
      </c>
      <c r="G312" s="2">
        <v>10</v>
      </c>
      <c r="H312" s="2">
        <v>2</v>
      </c>
      <c r="I312" s="2" t="s">
        <v>47</v>
      </c>
      <c r="J312" s="2" t="s">
        <v>64</v>
      </c>
      <c r="K312" s="2">
        <v>1</v>
      </c>
    </row>
    <row r="313" spans="1:11" x14ac:dyDescent="0.15">
      <c r="A313" s="2">
        <v>31</v>
      </c>
      <c r="B313" s="3">
        <v>41768</v>
      </c>
      <c r="C313" s="2" t="s">
        <v>86</v>
      </c>
      <c r="D313" s="2">
        <v>0.94499999999999995</v>
      </c>
      <c r="E313" s="2">
        <v>60</v>
      </c>
      <c r="F313" s="2">
        <f>D313*(E313*60)</f>
        <v>3402</v>
      </c>
      <c r="G313" s="2">
        <v>10</v>
      </c>
      <c r="H313" s="2">
        <v>2</v>
      </c>
      <c r="I313" s="2" t="s">
        <v>44</v>
      </c>
      <c r="K313" s="2">
        <v>1</v>
      </c>
    </row>
    <row r="314" spans="1:11" x14ac:dyDescent="0.15">
      <c r="A314" s="2">
        <v>31</v>
      </c>
      <c r="B314" s="3">
        <v>41768</v>
      </c>
      <c r="C314" s="2" t="s">
        <v>86</v>
      </c>
      <c r="D314" s="2">
        <v>0.94499999999999995</v>
      </c>
      <c r="E314" s="2">
        <v>60</v>
      </c>
      <c r="F314" s="2">
        <f>D314*(E314*60)</f>
        <v>3402</v>
      </c>
      <c r="G314" s="2">
        <v>10</v>
      </c>
      <c r="H314" s="2">
        <v>2</v>
      </c>
      <c r="I314" s="2" t="s">
        <v>50</v>
      </c>
      <c r="K314" s="2">
        <v>6</v>
      </c>
    </row>
    <row r="315" spans="1:11" x14ac:dyDescent="0.15">
      <c r="A315" s="2">
        <v>31</v>
      </c>
      <c r="B315" s="3">
        <v>41768</v>
      </c>
      <c r="C315" s="2" t="s">
        <v>86</v>
      </c>
      <c r="D315" s="2">
        <v>0.94499999999999995</v>
      </c>
      <c r="E315" s="2">
        <v>60</v>
      </c>
      <c r="F315" s="2">
        <f>D315*(E315*60)</f>
        <v>3402</v>
      </c>
      <c r="G315" s="2">
        <v>10</v>
      </c>
      <c r="H315" s="2">
        <v>2</v>
      </c>
      <c r="I315" s="2" t="s">
        <v>46</v>
      </c>
      <c r="K315" s="2">
        <v>1</v>
      </c>
    </row>
    <row r="316" spans="1:11" x14ac:dyDescent="0.15">
      <c r="A316" s="2">
        <v>31</v>
      </c>
      <c r="B316" s="3">
        <v>41768</v>
      </c>
      <c r="C316" s="2" t="s">
        <v>86</v>
      </c>
      <c r="D316" s="2">
        <v>0.94499999999999995</v>
      </c>
      <c r="E316" s="2">
        <v>60</v>
      </c>
      <c r="F316" s="2">
        <f>D316*(E316*60)</f>
        <v>3402</v>
      </c>
      <c r="G316" s="2">
        <v>10</v>
      </c>
      <c r="H316" s="2">
        <v>2</v>
      </c>
      <c r="I316" s="2" t="s">
        <v>6</v>
      </c>
      <c r="K316" s="2">
        <v>1</v>
      </c>
    </row>
    <row r="317" spans="1:11" x14ac:dyDescent="0.15">
      <c r="A317" s="2">
        <v>31</v>
      </c>
      <c r="B317" s="3">
        <v>41768</v>
      </c>
      <c r="C317" s="2" t="s">
        <v>86</v>
      </c>
      <c r="D317" s="2">
        <v>0.94499999999999995</v>
      </c>
      <c r="E317" s="2">
        <v>60</v>
      </c>
      <c r="F317" s="2">
        <f>D317*(E317*60)</f>
        <v>3402</v>
      </c>
      <c r="G317" s="2">
        <v>10</v>
      </c>
      <c r="H317" s="2">
        <v>2</v>
      </c>
      <c r="I317" s="2" t="s">
        <v>51</v>
      </c>
      <c r="K317" s="2">
        <v>8</v>
      </c>
    </row>
    <row r="318" spans="1:11" x14ac:dyDescent="0.15">
      <c r="A318" s="2">
        <v>29</v>
      </c>
      <c r="B318" s="3">
        <v>41772</v>
      </c>
      <c r="C318" s="2" t="s">
        <v>82</v>
      </c>
      <c r="D318" s="2">
        <v>1.585</v>
      </c>
      <c r="E318" s="2">
        <v>60</v>
      </c>
      <c r="F318" s="2">
        <f>D318*(E318*60)</f>
        <v>5706</v>
      </c>
      <c r="G318" s="2">
        <v>5</v>
      </c>
      <c r="H318" s="2">
        <v>2</v>
      </c>
      <c r="I318" s="2" t="s">
        <v>76</v>
      </c>
      <c r="K318" s="2">
        <v>16</v>
      </c>
    </row>
    <row r="319" spans="1:11" x14ac:dyDescent="0.15">
      <c r="A319" s="2">
        <v>29</v>
      </c>
      <c r="B319" s="3">
        <v>41772</v>
      </c>
      <c r="C319" s="2" t="s">
        <v>82</v>
      </c>
      <c r="D319" s="2">
        <v>1.585</v>
      </c>
      <c r="E319" s="2">
        <v>60</v>
      </c>
      <c r="F319" s="2">
        <f>D319*(E319*60)</f>
        <v>5706</v>
      </c>
      <c r="G319" s="2">
        <v>5</v>
      </c>
      <c r="H319" s="2">
        <v>2</v>
      </c>
      <c r="I319" s="2" t="s">
        <v>17</v>
      </c>
      <c r="J319" s="2" t="s">
        <v>18</v>
      </c>
      <c r="K319" s="2">
        <v>30</v>
      </c>
    </row>
    <row r="320" spans="1:11" x14ac:dyDescent="0.15">
      <c r="A320" s="2">
        <v>29</v>
      </c>
      <c r="B320" s="3">
        <v>41772</v>
      </c>
      <c r="C320" s="2" t="s">
        <v>82</v>
      </c>
      <c r="D320" s="2">
        <v>1.585</v>
      </c>
      <c r="E320" s="2">
        <v>60</v>
      </c>
      <c r="F320" s="2">
        <f>D320*(E320*60)</f>
        <v>5706</v>
      </c>
      <c r="G320" s="2">
        <v>5</v>
      </c>
      <c r="H320" s="2">
        <v>2</v>
      </c>
      <c r="I320" s="2" t="s">
        <v>19</v>
      </c>
      <c r="K320" s="2">
        <v>31</v>
      </c>
    </row>
    <row r="321" spans="1:11" x14ac:dyDescent="0.15">
      <c r="A321" s="2">
        <v>29</v>
      </c>
      <c r="B321" s="3">
        <v>41772</v>
      </c>
      <c r="C321" s="2" t="s">
        <v>82</v>
      </c>
      <c r="D321" s="2">
        <v>1.585</v>
      </c>
      <c r="E321" s="2">
        <v>60</v>
      </c>
      <c r="F321" s="2">
        <f>D321*(E321*60)</f>
        <v>5706</v>
      </c>
      <c r="G321" s="2">
        <v>5</v>
      </c>
      <c r="H321" s="2">
        <v>2</v>
      </c>
      <c r="I321" s="2" t="s">
        <v>74</v>
      </c>
      <c r="K321" s="2">
        <v>1</v>
      </c>
    </row>
    <row r="322" spans="1:11" x14ac:dyDescent="0.15">
      <c r="A322" s="2">
        <v>29</v>
      </c>
      <c r="B322" s="3">
        <v>41772</v>
      </c>
      <c r="C322" s="2" t="s">
        <v>82</v>
      </c>
      <c r="D322" s="2">
        <v>1.585</v>
      </c>
      <c r="E322" s="2">
        <v>60</v>
      </c>
      <c r="F322" s="2">
        <f>D322*(E322*60)</f>
        <v>5706</v>
      </c>
      <c r="G322" s="2">
        <v>5</v>
      </c>
      <c r="H322" s="2">
        <v>2</v>
      </c>
      <c r="I322" s="2" t="s">
        <v>13</v>
      </c>
      <c r="J322" s="2" t="s">
        <v>15</v>
      </c>
      <c r="K322" s="2">
        <v>1</v>
      </c>
    </row>
    <row r="323" spans="1:11" x14ac:dyDescent="0.15">
      <c r="A323" s="2">
        <v>29</v>
      </c>
      <c r="B323" s="3">
        <v>41772</v>
      </c>
      <c r="C323" s="2" t="s">
        <v>82</v>
      </c>
      <c r="D323" s="2">
        <v>1.585</v>
      </c>
      <c r="E323" s="2">
        <v>60</v>
      </c>
      <c r="F323" s="2">
        <f>D323*(E323*60)</f>
        <v>5706</v>
      </c>
      <c r="G323" s="2">
        <v>5</v>
      </c>
      <c r="H323" s="2">
        <v>2</v>
      </c>
      <c r="I323" s="2" t="s">
        <v>47</v>
      </c>
      <c r="J323" s="2" t="s">
        <v>48</v>
      </c>
      <c r="K323" s="2">
        <v>82</v>
      </c>
    </row>
    <row r="324" spans="1:11" x14ac:dyDescent="0.15">
      <c r="A324" s="2">
        <v>29</v>
      </c>
      <c r="B324" s="3">
        <v>41772</v>
      </c>
      <c r="C324" s="2" t="s">
        <v>82</v>
      </c>
      <c r="D324" s="2">
        <v>1.585</v>
      </c>
      <c r="E324" s="2">
        <v>60</v>
      </c>
      <c r="F324" s="2">
        <f>D324*(E324*60)</f>
        <v>5706</v>
      </c>
      <c r="G324" s="2">
        <v>5</v>
      </c>
      <c r="H324" s="2">
        <v>2</v>
      </c>
      <c r="I324" s="2" t="s">
        <v>47</v>
      </c>
      <c r="K324" s="2">
        <v>5</v>
      </c>
    </row>
    <row r="325" spans="1:11" x14ac:dyDescent="0.15">
      <c r="A325" s="2">
        <v>29</v>
      </c>
      <c r="B325" s="3">
        <v>41772</v>
      </c>
      <c r="C325" s="2" t="s">
        <v>82</v>
      </c>
      <c r="D325" s="2">
        <v>1.585</v>
      </c>
      <c r="E325" s="2">
        <v>60</v>
      </c>
      <c r="F325" s="2">
        <f>D325*(E325*60)</f>
        <v>5706</v>
      </c>
      <c r="G325" s="2">
        <v>5</v>
      </c>
      <c r="H325" s="2">
        <v>2</v>
      </c>
      <c r="I325" s="2" t="s">
        <v>47</v>
      </c>
      <c r="J325" s="2" t="s">
        <v>64</v>
      </c>
      <c r="K325" s="2">
        <v>1</v>
      </c>
    </row>
    <row r="326" spans="1:11" x14ac:dyDescent="0.15">
      <c r="A326" s="2">
        <v>29</v>
      </c>
      <c r="B326" s="3">
        <v>41772</v>
      </c>
      <c r="C326" s="2" t="s">
        <v>82</v>
      </c>
      <c r="D326" s="2">
        <v>1.585</v>
      </c>
      <c r="E326" s="2">
        <v>60</v>
      </c>
      <c r="F326" s="2">
        <f>D326*(E326*60)</f>
        <v>5706</v>
      </c>
      <c r="G326" s="2">
        <v>5</v>
      </c>
      <c r="H326" s="2">
        <v>2</v>
      </c>
      <c r="I326" s="2" t="s">
        <v>26</v>
      </c>
      <c r="K326" s="2">
        <v>1</v>
      </c>
    </row>
    <row r="327" spans="1:11" x14ac:dyDescent="0.15">
      <c r="A327" s="2">
        <v>29</v>
      </c>
      <c r="B327" s="3">
        <v>41772</v>
      </c>
      <c r="C327" s="2" t="s">
        <v>82</v>
      </c>
      <c r="D327" s="2">
        <v>1.585</v>
      </c>
      <c r="E327" s="2">
        <v>60</v>
      </c>
      <c r="F327" s="2">
        <f>D327*(E327*60)</f>
        <v>5706</v>
      </c>
      <c r="G327" s="2">
        <v>5</v>
      </c>
      <c r="H327" s="2">
        <v>2</v>
      </c>
      <c r="I327" s="2" t="s">
        <v>50</v>
      </c>
      <c r="K327" s="2">
        <v>16</v>
      </c>
    </row>
    <row r="328" spans="1:11" x14ac:dyDescent="0.15">
      <c r="A328" s="2">
        <v>29</v>
      </c>
      <c r="B328" s="3">
        <v>41772</v>
      </c>
      <c r="C328" s="2" t="s">
        <v>82</v>
      </c>
      <c r="D328" s="2">
        <v>1.585</v>
      </c>
      <c r="E328" s="2">
        <v>60</v>
      </c>
      <c r="F328" s="2">
        <f>D328*(E328*60)</f>
        <v>5706</v>
      </c>
      <c r="G328" s="2">
        <v>5</v>
      </c>
      <c r="H328" s="2">
        <v>2</v>
      </c>
      <c r="I328" s="2" t="s">
        <v>29</v>
      </c>
      <c r="J328" s="2" t="s">
        <v>33</v>
      </c>
      <c r="K328" s="2">
        <v>2</v>
      </c>
    </row>
    <row r="329" spans="1:11" x14ac:dyDescent="0.15">
      <c r="A329" s="2">
        <v>29</v>
      </c>
      <c r="B329" s="3">
        <v>41772</v>
      </c>
      <c r="C329" s="2" t="s">
        <v>82</v>
      </c>
      <c r="D329" s="2">
        <v>1.585</v>
      </c>
      <c r="E329" s="2">
        <v>60</v>
      </c>
      <c r="F329" s="2">
        <f>D329*(E329*60)</f>
        <v>5706</v>
      </c>
      <c r="G329" s="2">
        <v>5</v>
      </c>
      <c r="H329" s="2">
        <v>2</v>
      </c>
      <c r="I329" s="2" t="s">
        <v>66</v>
      </c>
      <c r="K329" s="2">
        <v>2</v>
      </c>
    </row>
    <row r="330" spans="1:11" x14ac:dyDescent="0.15">
      <c r="A330" s="2">
        <v>29</v>
      </c>
      <c r="B330" s="3">
        <v>41772</v>
      </c>
      <c r="C330" s="2" t="s">
        <v>82</v>
      </c>
      <c r="D330" s="2">
        <v>1.585</v>
      </c>
      <c r="E330" s="2">
        <v>60</v>
      </c>
      <c r="F330" s="2">
        <f>D330*(E330*60)</f>
        <v>5706</v>
      </c>
      <c r="G330" s="2">
        <v>5</v>
      </c>
      <c r="H330" s="2">
        <v>2</v>
      </c>
      <c r="I330" s="2" t="s">
        <v>36</v>
      </c>
      <c r="J330" s="2" t="s">
        <v>39</v>
      </c>
      <c r="K330" s="2">
        <v>1</v>
      </c>
    </row>
    <row r="331" spans="1:11" x14ac:dyDescent="0.15">
      <c r="A331" s="2">
        <v>29</v>
      </c>
      <c r="B331" s="3">
        <v>41772</v>
      </c>
      <c r="C331" s="2" t="s">
        <v>82</v>
      </c>
      <c r="D331" s="2">
        <v>1.585</v>
      </c>
      <c r="E331" s="2">
        <v>60</v>
      </c>
      <c r="F331" s="2">
        <f>D331*(E331*60)</f>
        <v>5706</v>
      </c>
      <c r="G331" s="2">
        <v>5</v>
      </c>
      <c r="H331" s="2">
        <v>2</v>
      </c>
      <c r="I331" s="2" t="s">
        <v>36</v>
      </c>
      <c r="J331" s="2" t="s">
        <v>40</v>
      </c>
      <c r="K331" s="2">
        <v>6</v>
      </c>
    </row>
    <row r="332" spans="1:11" x14ac:dyDescent="0.15">
      <c r="A332" s="2">
        <v>29</v>
      </c>
      <c r="B332" s="3">
        <v>41772</v>
      </c>
      <c r="C332" s="2" t="s">
        <v>82</v>
      </c>
      <c r="D332" s="2">
        <v>1.585</v>
      </c>
      <c r="E332" s="2">
        <v>60</v>
      </c>
      <c r="F332" s="2">
        <f>D332*(E332*60)</f>
        <v>5706</v>
      </c>
      <c r="G332" s="2">
        <v>5</v>
      </c>
      <c r="H332" s="2">
        <v>2</v>
      </c>
      <c r="I332" s="2" t="s">
        <v>42</v>
      </c>
      <c r="J332" s="2" t="s">
        <v>43</v>
      </c>
      <c r="K332" s="2">
        <v>6</v>
      </c>
    </row>
    <row r="333" spans="1:11" x14ac:dyDescent="0.15">
      <c r="A333" s="2">
        <v>29</v>
      </c>
      <c r="B333" s="3">
        <v>41772</v>
      </c>
      <c r="C333" s="2" t="s">
        <v>82</v>
      </c>
      <c r="D333" s="2">
        <v>1.585</v>
      </c>
      <c r="E333" s="2">
        <v>60</v>
      </c>
      <c r="F333" s="2">
        <f>D333*(E333*60)</f>
        <v>5706</v>
      </c>
      <c r="G333" s="2">
        <v>5</v>
      </c>
      <c r="H333" s="2">
        <v>2</v>
      </c>
      <c r="I333" s="2" t="s">
        <v>51</v>
      </c>
      <c r="K333" s="2">
        <v>3</v>
      </c>
    </row>
    <row r="334" spans="1:11" x14ac:dyDescent="0.15">
      <c r="A334" s="2">
        <v>11</v>
      </c>
      <c r="B334" s="3">
        <v>41772</v>
      </c>
      <c r="C334" s="2" t="s">
        <v>70</v>
      </c>
      <c r="D334" s="2">
        <v>2.105</v>
      </c>
      <c r="E334" s="2">
        <v>60</v>
      </c>
      <c r="F334" s="2">
        <f>D334*(E334*60)</f>
        <v>7578</v>
      </c>
      <c r="G334" s="2">
        <v>25</v>
      </c>
      <c r="H334" s="2">
        <v>1</v>
      </c>
      <c r="I334" s="2" t="s">
        <v>24</v>
      </c>
      <c r="K334" s="2">
        <v>2</v>
      </c>
    </row>
    <row r="335" spans="1:11" x14ac:dyDescent="0.15">
      <c r="A335" s="2">
        <v>11</v>
      </c>
      <c r="B335" s="3">
        <v>41772</v>
      </c>
      <c r="C335" s="2" t="s">
        <v>70</v>
      </c>
      <c r="D335" s="2">
        <v>2.105</v>
      </c>
      <c r="E335" s="2">
        <v>60</v>
      </c>
      <c r="F335" s="2">
        <f>D335*(E335*60)</f>
        <v>7578</v>
      </c>
      <c r="G335" s="2">
        <v>25</v>
      </c>
      <c r="H335" s="2">
        <v>1</v>
      </c>
      <c r="I335" s="2" t="s">
        <v>13</v>
      </c>
      <c r="J335" s="2" t="s">
        <v>15</v>
      </c>
      <c r="K335" s="2">
        <v>43</v>
      </c>
    </row>
    <row r="336" spans="1:11" x14ac:dyDescent="0.15">
      <c r="A336" s="2">
        <v>11</v>
      </c>
      <c r="B336" s="3">
        <v>41772</v>
      </c>
      <c r="C336" s="2" t="s">
        <v>70</v>
      </c>
      <c r="D336" s="2">
        <v>2.105</v>
      </c>
      <c r="E336" s="2">
        <v>60</v>
      </c>
      <c r="F336" s="2">
        <f>D336*(E336*60)</f>
        <v>7578</v>
      </c>
      <c r="G336" s="2">
        <v>25</v>
      </c>
      <c r="H336" s="2">
        <v>1</v>
      </c>
      <c r="I336" s="2" t="s">
        <v>17</v>
      </c>
      <c r="J336" s="2" t="s">
        <v>18</v>
      </c>
      <c r="K336" s="2">
        <v>34</v>
      </c>
    </row>
    <row r="337" spans="1:11" x14ac:dyDescent="0.15">
      <c r="A337" s="2">
        <v>11</v>
      </c>
      <c r="B337" s="3">
        <v>41772</v>
      </c>
      <c r="C337" s="2" t="s">
        <v>70</v>
      </c>
      <c r="D337" s="2">
        <v>2.105</v>
      </c>
      <c r="E337" s="2">
        <v>60</v>
      </c>
      <c r="F337" s="2">
        <f>D337*(E337*60)</f>
        <v>7578</v>
      </c>
      <c r="G337" s="2">
        <v>25</v>
      </c>
      <c r="H337" s="2">
        <v>1</v>
      </c>
      <c r="I337" s="2" t="s">
        <v>22</v>
      </c>
      <c r="K337" s="2">
        <v>1</v>
      </c>
    </row>
    <row r="338" spans="1:11" x14ac:dyDescent="0.15">
      <c r="A338" s="2">
        <v>11</v>
      </c>
      <c r="B338" s="3">
        <v>41772</v>
      </c>
      <c r="C338" s="2" t="s">
        <v>70</v>
      </c>
      <c r="D338" s="2">
        <v>2.105</v>
      </c>
      <c r="E338" s="2">
        <v>60</v>
      </c>
      <c r="F338" s="2">
        <f>D338*(E338*60)</f>
        <v>7578</v>
      </c>
      <c r="G338" s="2">
        <v>25</v>
      </c>
      <c r="H338" s="2">
        <v>1</v>
      </c>
      <c r="I338" s="2" t="s">
        <v>69</v>
      </c>
      <c r="K338" s="2">
        <v>73</v>
      </c>
    </row>
    <row r="339" spans="1:11" x14ac:dyDescent="0.15">
      <c r="A339" s="2">
        <v>11</v>
      </c>
      <c r="B339" s="3">
        <v>41772</v>
      </c>
      <c r="C339" s="2" t="s">
        <v>70</v>
      </c>
      <c r="D339" s="2">
        <v>2.105</v>
      </c>
      <c r="E339" s="2">
        <v>60</v>
      </c>
      <c r="F339" s="2">
        <f>D339*(E339*60)</f>
        <v>7578</v>
      </c>
      <c r="G339" s="2">
        <v>25</v>
      </c>
      <c r="H339" s="2">
        <v>1</v>
      </c>
      <c r="I339" s="2" t="s">
        <v>47</v>
      </c>
      <c r="J339" s="2" t="s">
        <v>48</v>
      </c>
      <c r="K339" s="2">
        <v>48</v>
      </c>
    </row>
    <row r="340" spans="1:11" x14ac:dyDescent="0.15">
      <c r="A340" s="2">
        <v>11</v>
      </c>
      <c r="B340" s="3">
        <v>41772</v>
      </c>
      <c r="C340" s="2" t="s">
        <v>70</v>
      </c>
      <c r="D340" s="2">
        <v>2.105</v>
      </c>
      <c r="E340" s="2">
        <v>60</v>
      </c>
      <c r="F340" s="2">
        <f>D340*(E340*60)</f>
        <v>7578</v>
      </c>
      <c r="G340" s="2">
        <v>25</v>
      </c>
      <c r="H340" s="2">
        <v>1</v>
      </c>
      <c r="I340" s="2" t="s">
        <v>47</v>
      </c>
      <c r="J340" s="2" t="s">
        <v>64</v>
      </c>
      <c r="K340" s="2">
        <v>2</v>
      </c>
    </row>
    <row r="341" spans="1:11" x14ac:dyDescent="0.15">
      <c r="A341" s="2">
        <v>11</v>
      </c>
      <c r="B341" s="3">
        <v>41772</v>
      </c>
      <c r="C341" s="2" t="s">
        <v>70</v>
      </c>
      <c r="D341" s="2">
        <v>2.105</v>
      </c>
      <c r="E341" s="2">
        <v>60</v>
      </c>
      <c r="F341" s="2">
        <f>D341*(E341*60)</f>
        <v>7578</v>
      </c>
      <c r="G341" s="2">
        <v>25</v>
      </c>
      <c r="H341" s="2">
        <v>1</v>
      </c>
      <c r="I341" s="2" t="s">
        <v>47</v>
      </c>
      <c r="K341" s="2">
        <v>2</v>
      </c>
    </row>
    <row r="342" spans="1:11" x14ac:dyDescent="0.15">
      <c r="A342" s="2">
        <v>11</v>
      </c>
      <c r="B342" s="3">
        <v>41772</v>
      </c>
      <c r="C342" s="2" t="s">
        <v>70</v>
      </c>
      <c r="D342" s="2">
        <v>2.105</v>
      </c>
      <c r="E342" s="2">
        <v>60</v>
      </c>
      <c r="F342" s="2">
        <f>D342*(E342*60)</f>
        <v>7578</v>
      </c>
      <c r="G342" s="2">
        <v>25</v>
      </c>
      <c r="H342" s="2">
        <v>1</v>
      </c>
      <c r="I342" s="2" t="s">
        <v>26</v>
      </c>
      <c r="K342" s="2">
        <v>13</v>
      </c>
    </row>
    <row r="343" spans="1:11" x14ac:dyDescent="0.15">
      <c r="A343" s="2">
        <v>11</v>
      </c>
      <c r="B343" s="3">
        <v>41772</v>
      </c>
      <c r="C343" s="2" t="s">
        <v>70</v>
      </c>
      <c r="D343" s="2">
        <v>2.105</v>
      </c>
      <c r="E343" s="2">
        <v>60</v>
      </c>
      <c r="F343" s="2">
        <f>D343*(E343*60)</f>
        <v>7578</v>
      </c>
      <c r="G343" s="2">
        <v>25</v>
      </c>
      <c r="H343" s="2">
        <v>1</v>
      </c>
      <c r="I343" s="2" t="s">
        <v>29</v>
      </c>
      <c r="K343" s="2">
        <v>2</v>
      </c>
    </row>
    <row r="344" spans="1:11" x14ac:dyDescent="0.15">
      <c r="A344" s="2">
        <v>11</v>
      </c>
      <c r="B344" s="3">
        <v>41772</v>
      </c>
      <c r="C344" s="2" t="s">
        <v>70</v>
      </c>
      <c r="D344" s="2">
        <v>2.105</v>
      </c>
      <c r="E344" s="2">
        <v>60</v>
      </c>
      <c r="F344" s="2">
        <f>D344*(E344*60)</f>
        <v>7578</v>
      </c>
      <c r="G344" s="2">
        <v>25</v>
      </c>
      <c r="H344" s="2">
        <v>1</v>
      </c>
      <c r="I344" s="2" t="s">
        <v>44</v>
      </c>
      <c r="K344" s="2">
        <v>3</v>
      </c>
    </row>
    <row r="345" spans="1:11" x14ac:dyDescent="0.15">
      <c r="A345" s="2">
        <v>11</v>
      </c>
      <c r="B345" s="3">
        <v>41772</v>
      </c>
      <c r="C345" s="2" t="s">
        <v>70</v>
      </c>
      <c r="D345" s="2">
        <v>2.105</v>
      </c>
      <c r="E345" s="2">
        <v>60</v>
      </c>
      <c r="F345" s="2">
        <f>D345*(E345*60)</f>
        <v>7578</v>
      </c>
      <c r="G345" s="2">
        <v>25</v>
      </c>
      <c r="H345" s="2">
        <v>1</v>
      </c>
      <c r="I345" s="2" t="s">
        <v>50</v>
      </c>
      <c r="K345" s="2">
        <v>1</v>
      </c>
    </row>
    <row r="346" spans="1:11" x14ac:dyDescent="0.15">
      <c r="A346" s="2">
        <v>11</v>
      </c>
      <c r="B346" s="3">
        <v>41772</v>
      </c>
      <c r="C346" s="2" t="s">
        <v>70</v>
      </c>
      <c r="D346" s="2">
        <v>2.105</v>
      </c>
      <c r="E346" s="2">
        <v>60</v>
      </c>
      <c r="F346" s="2">
        <f>D346*(E346*60)</f>
        <v>7578</v>
      </c>
      <c r="G346" s="2">
        <v>25</v>
      </c>
      <c r="H346" s="2">
        <v>1</v>
      </c>
      <c r="I346" s="2" t="s">
        <v>51</v>
      </c>
      <c r="K346" s="2">
        <v>1</v>
      </c>
    </row>
    <row r="347" spans="1:11" x14ac:dyDescent="0.15">
      <c r="A347" s="2">
        <v>23</v>
      </c>
      <c r="B347" s="3">
        <v>41772</v>
      </c>
      <c r="C347" s="2" t="s">
        <v>87</v>
      </c>
      <c r="D347" s="2">
        <v>1.915</v>
      </c>
      <c r="E347" s="2">
        <v>60</v>
      </c>
      <c r="F347" s="2">
        <f>D347*(E347*60)</f>
        <v>6894</v>
      </c>
      <c r="G347" s="2">
        <v>10</v>
      </c>
      <c r="H347" s="2">
        <v>1</v>
      </c>
      <c r="I347" s="2" t="s">
        <v>76</v>
      </c>
      <c r="K347" s="2">
        <v>12</v>
      </c>
    </row>
    <row r="348" spans="1:11" x14ac:dyDescent="0.15">
      <c r="A348" s="2">
        <v>23</v>
      </c>
      <c r="B348" s="3">
        <v>41772</v>
      </c>
      <c r="C348" s="2" t="s">
        <v>87</v>
      </c>
      <c r="D348" s="2">
        <v>1.915</v>
      </c>
      <c r="E348" s="2">
        <v>60</v>
      </c>
      <c r="F348" s="2">
        <f>D348*(E348*60)</f>
        <v>6894</v>
      </c>
      <c r="G348" s="2">
        <v>10</v>
      </c>
      <c r="H348" s="2">
        <v>1</v>
      </c>
      <c r="I348" s="2" t="s">
        <v>13</v>
      </c>
      <c r="J348" s="2" t="s">
        <v>15</v>
      </c>
      <c r="K348" s="2">
        <v>31</v>
      </c>
    </row>
    <row r="349" spans="1:11" x14ac:dyDescent="0.15">
      <c r="A349" s="2">
        <v>23</v>
      </c>
      <c r="B349" s="3">
        <v>41772</v>
      </c>
      <c r="C349" s="2" t="s">
        <v>87</v>
      </c>
      <c r="D349" s="2">
        <v>1.915</v>
      </c>
      <c r="E349" s="2">
        <v>60</v>
      </c>
      <c r="F349" s="2">
        <f>D349*(E349*60)</f>
        <v>6894</v>
      </c>
      <c r="G349" s="2">
        <v>10</v>
      </c>
      <c r="H349" s="2">
        <v>1</v>
      </c>
      <c r="I349" s="2" t="s">
        <v>17</v>
      </c>
      <c r="J349" s="2" t="s">
        <v>18</v>
      </c>
      <c r="K349" s="2">
        <v>68</v>
      </c>
    </row>
    <row r="350" spans="1:11" x14ac:dyDescent="0.15">
      <c r="A350" s="2">
        <v>23</v>
      </c>
      <c r="B350" s="3">
        <v>41772</v>
      </c>
      <c r="C350" s="2" t="s">
        <v>87</v>
      </c>
      <c r="D350" s="2">
        <v>1.915</v>
      </c>
      <c r="E350" s="2">
        <v>60</v>
      </c>
      <c r="F350" s="2">
        <f>D350*(E350*60)</f>
        <v>6894</v>
      </c>
      <c r="G350" s="2">
        <v>10</v>
      </c>
      <c r="H350" s="2">
        <v>1</v>
      </c>
      <c r="I350" s="2" t="s">
        <v>19</v>
      </c>
      <c r="K350" s="2">
        <v>35</v>
      </c>
    </row>
    <row r="351" spans="1:11" x14ac:dyDescent="0.15">
      <c r="A351" s="2">
        <v>23</v>
      </c>
      <c r="B351" s="3">
        <v>41772</v>
      </c>
      <c r="C351" s="2" t="s">
        <v>87</v>
      </c>
      <c r="D351" s="2">
        <v>1.915</v>
      </c>
      <c r="E351" s="2">
        <v>60</v>
      </c>
      <c r="F351" s="2">
        <f>D351*(E351*60)</f>
        <v>6894</v>
      </c>
      <c r="G351" s="2">
        <v>10</v>
      </c>
      <c r="H351" s="2">
        <v>1</v>
      </c>
      <c r="I351" s="2" t="s">
        <v>22</v>
      </c>
      <c r="K351" s="2">
        <v>1</v>
      </c>
    </row>
    <row r="352" spans="1:11" x14ac:dyDescent="0.15">
      <c r="A352" s="2">
        <v>23</v>
      </c>
      <c r="B352" s="3">
        <v>41772</v>
      </c>
      <c r="C352" s="2" t="s">
        <v>87</v>
      </c>
      <c r="D352" s="2">
        <v>1.915</v>
      </c>
      <c r="E352" s="2">
        <v>60</v>
      </c>
      <c r="F352" s="2">
        <f>D352*(E352*60)</f>
        <v>6894</v>
      </c>
      <c r="G352" s="2">
        <v>10</v>
      </c>
      <c r="H352" s="2">
        <v>1</v>
      </c>
      <c r="I352" s="2" t="s">
        <v>47</v>
      </c>
      <c r="J352" s="2" t="s">
        <v>48</v>
      </c>
      <c r="K352" s="2">
        <v>49</v>
      </c>
    </row>
    <row r="353" spans="1:11" x14ac:dyDescent="0.15">
      <c r="A353" s="2">
        <v>23</v>
      </c>
      <c r="B353" s="3">
        <v>41772</v>
      </c>
      <c r="C353" s="2" t="s">
        <v>87</v>
      </c>
      <c r="D353" s="2">
        <v>1.915</v>
      </c>
      <c r="E353" s="2">
        <v>60</v>
      </c>
      <c r="F353" s="2">
        <f>D353*(E353*60)</f>
        <v>6894</v>
      </c>
      <c r="G353" s="2">
        <v>10</v>
      </c>
      <c r="H353" s="2">
        <v>1</v>
      </c>
      <c r="I353" s="2" t="s">
        <v>47</v>
      </c>
      <c r="K353" s="2">
        <v>2</v>
      </c>
    </row>
    <row r="354" spans="1:11" x14ac:dyDescent="0.15">
      <c r="A354" s="2">
        <v>23</v>
      </c>
      <c r="B354" s="3">
        <v>41772</v>
      </c>
      <c r="C354" s="2" t="s">
        <v>87</v>
      </c>
      <c r="D354" s="2">
        <v>1.915</v>
      </c>
      <c r="E354" s="2">
        <v>60</v>
      </c>
      <c r="F354" s="2">
        <f>D354*(E354*60)</f>
        <v>6894</v>
      </c>
      <c r="G354" s="2">
        <v>10</v>
      </c>
      <c r="H354" s="2">
        <v>1</v>
      </c>
      <c r="I354" s="2" t="s">
        <v>26</v>
      </c>
      <c r="K354" s="2">
        <v>3</v>
      </c>
    </row>
    <row r="355" spans="1:11" x14ac:dyDescent="0.15">
      <c r="A355" s="2">
        <v>23</v>
      </c>
      <c r="B355" s="3">
        <v>41772</v>
      </c>
      <c r="C355" s="2" t="s">
        <v>87</v>
      </c>
      <c r="D355" s="2">
        <v>1.915</v>
      </c>
      <c r="E355" s="2">
        <v>60</v>
      </c>
      <c r="F355" s="2">
        <f>D355*(E355*60)</f>
        <v>6894</v>
      </c>
      <c r="G355" s="2">
        <v>10</v>
      </c>
      <c r="H355" s="2">
        <v>1</v>
      </c>
      <c r="I355" s="2" t="s">
        <v>29</v>
      </c>
      <c r="J355" s="2" t="s">
        <v>33</v>
      </c>
      <c r="K355" s="2">
        <v>1</v>
      </c>
    </row>
    <row r="356" spans="1:11" x14ac:dyDescent="0.15">
      <c r="A356" s="2">
        <v>23</v>
      </c>
      <c r="B356" s="3">
        <v>41772</v>
      </c>
      <c r="C356" s="2" t="s">
        <v>87</v>
      </c>
      <c r="D356" s="2">
        <v>1.915</v>
      </c>
      <c r="E356" s="2">
        <v>60</v>
      </c>
      <c r="F356" s="2">
        <f>D356*(E356*60)</f>
        <v>6894</v>
      </c>
      <c r="G356" s="2">
        <v>10</v>
      </c>
      <c r="H356" s="2">
        <v>1</v>
      </c>
      <c r="I356" s="2" t="s">
        <v>29</v>
      </c>
      <c r="K356" s="2">
        <v>1</v>
      </c>
    </row>
    <row r="357" spans="1:11" x14ac:dyDescent="0.15">
      <c r="A357" s="2">
        <v>23</v>
      </c>
      <c r="B357" s="3">
        <v>41772</v>
      </c>
      <c r="C357" s="2" t="s">
        <v>87</v>
      </c>
      <c r="D357" s="2">
        <v>1.915</v>
      </c>
      <c r="E357" s="2">
        <v>60</v>
      </c>
      <c r="F357" s="2">
        <f>D357*(E357*60)</f>
        <v>6894</v>
      </c>
      <c r="G357" s="2">
        <v>10</v>
      </c>
      <c r="H357" s="2">
        <v>1</v>
      </c>
      <c r="I357" s="2" t="s">
        <v>42</v>
      </c>
      <c r="J357" s="2" t="s">
        <v>43</v>
      </c>
      <c r="K357" s="2">
        <v>1</v>
      </c>
    </row>
    <row r="358" spans="1:11" x14ac:dyDescent="0.15">
      <c r="A358" s="2">
        <v>23</v>
      </c>
      <c r="B358" s="3">
        <v>41772</v>
      </c>
      <c r="C358" s="2" t="s">
        <v>87</v>
      </c>
      <c r="D358" s="2">
        <v>1.915</v>
      </c>
      <c r="E358" s="2">
        <v>60</v>
      </c>
      <c r="F358" s="2">
        <f>D358*(E358*60)</f>
        <v>6894</v>
      </c>
      <c r="G358" s="2">
        <v>10</v>
      </c>
      <c r="H358" s="2">
        <v>1</v>
      </c>
      <c r="I358" s="2" t="s">
        <v>36</v>
      </c>
      <c r="J358" s="2" t="s">
        <v>39</v>
      </c>
      <c r="K358" s="2">
        <v>1</v>
      </c>
    </row>
    <row r="359" spans="1:11" x14ac:dyDescent="0.15">
      <c r="A359" s="2">
        <v>23</v>
      </c>
      <c r="B359" s="3">
        <v>41772</v>
      </c>
      <c r="C359" s="2" t="s">
        <v>87</v>
      </c>
      <c r="D359" s="2">
        <v>1.915</v>
      </c>
      <c r="E359" s="2">
        <v>60</v>
      </c>
      <c r="F359" s="2">
        <f>D359*(E359*60)</f>
        <v>6894</v>
      </c>
      <c r="G359" s="2">
        <v>10</v>
      </c>
      <c r="H359" s="2">
        <v>1</v>
      </c>
      <c r="I359" s="2" t="s">
        <v>50</v>
      </c>
      <c r="K359" s="2">
        <v>4</v>
      </c>
    </row>
    <row r="360" spans="1:11" x14ac:dyDescent="0.15">
      <c r="A360" s="2">
        <v>23</v>
      </c>
      <c r="B360" s="3">
        <v>41772</v>
      </c>
      <c r="C360" s="2" t="s">
        <v>87</v>
      </c>
      <c r="D360" s="2">
        <v>1.915</v>
      </c>
      <c r="E360" s="2">
        <v>60</v>
      </c>
      <c r="F360" s="2">
        <f>D360*(E360*60)</f>
        <v>6894</v>
      </c>
      <c r="G360" s="2">
        <v>10</v>
      </c>
      <c r="H360" s="2">
        <v>1</v>
      </c>
      <c r="I360" s="2" t="s">
        <v>44</v>
      </c>
      <c r="K360" s="2">
        <v>2</v>
      </c>
    </row>
    <row r="361" spans="1:11" x14ac:dyDescent="0.15">
      <c r="A361" s="2">
        <v>25</v>
      </c>
      <c r="B361" s="3">
        <v>41772</v>
      </c>
      <c r="C361" s="2" t="s">
        <v>86</v>
      </c>
      <c r="D361" s="2">
        <v>1.6</v>
      </c>
      <c r="E361" s="2">
        <v>60</v>
      </c>
      <c r="F361" s="2">
        <f>D361*(E361*60)</f>
        <v>5760</v>
      </c>
      <c r="G361" s="2">
        <v>10</v>
      </c>
      <c r="H361" s="2">
        <v>2</v>
      </c>
      <c r="I361" s="2" t="s">
        <v>76</v>
      </c>
      <c r="K361" s="2">
        <v>3</v>
      </c>
    </row>
    <row r="362" spans="1:11" x14ac:dyDescent="0.15">
      <c r="A362" s="2">
        <v>25</v>
      </c>
      <c r="B362" s="3">
        <v>41772</v>
      </c>
      <c r="C362" s="2" t="s">
        <v>86</v>
      </c>
      <c r="D362" s="2">
        <v>1.6</v>
      </c>
      <c r="E362" s="2">
        <v>60</v>
      </c>
      <c r="F362" s="2">
        <f>D362*(E362*60)</f>
        <v>5760</v>
      </c>
      <c r="G362" s="2">
        <v>10</v>
      </c>
      <c r="H362" s="2">
        <v>2</v>
      </c>
      <c r="I362" s="2" t="s">
        <v>16</v>
      </c>
      <c r="K362" s="2">
        <v>1</v>
      </c>
    </row>
    <row r="363" spans="1:11" x14ac:dyDescent="0.15">
      <c r="A363" s="2">
        <v>25</v>
      </c>
      <c r="B363" s="3">
        <v>41772</v>
      </c>
      <c r="C363" s="2" t="s">
        <v>86</v>
      </c>
      <c r="D363" s="2">
        <v>1.6</v>
      </c>
      <c r="E363" s="2">
        <v>60</v>
      </c>
      <c r="F363" s="2">
        <f>D363*(E363*60)</f>
        <v>5760</v>
      </c>
      <c r="G363" s="2">
        <v>10</v>
      </c>
      <c r="H363" s="2">
        <v>2</v>
      </c>
      <c r="I363" s="2" t="s">
        <v>17</v>
      </c>
      <c r="J363" s="2" t="s">
        <v>18</v>
      </c>
      <c r="K363" s="2">
        <v>47</v>
      </c>
    </row>
    <row r="364" spans="1:11" x14ac:dyDescent="0.15">
      <c r="A364" s="2">
        <v>25</v>
      </c>
      <c r="B364" s="3">
        <v>41772</v>
      </c>
      <c r="C364" s="2" t="s">
        <v>86</v>
      </c>
      <c r="D364" s="2">
        <v>1.6</v>
      </c>
      <c r="E364" s="2">
        <v>60</v>
      </c>
      <c r="F364" s="2">
        <f>D364*(E364*60)</f>
        <v>5760</v>
      </c>
      <c r="G364" s="2">
        <v>10</v>
      </c>
      <c r="H364" s="2">
        <v>2</v>
      </c>
      <c r="I364" s="2" t="s">
        <v>19</v>
      </c>
      <c r="K364" s="2">
        <v>49</v>
      </c>
    </row>
    <row r="365" spans="1:11" x14ac:dyDescent="0.15">
      <c r="A365" s="2">
        <v>25</v>
      </c>
      <c r="B365" s="3">
        <v>41772</v>
      </c>
      <c r="C365" s="2" t="s">
        <v>86</v>
      </c>
      <c r="D365" s="2">
        <v>1.6</v>
      </c>
      <c r="E365" s="2">
        <v>60</v>
      </c>
      <c r="F365" s="2">
        <f>D365*(E365*60)</f>
        <v>5760</v>
      </c>
      <c r="G365" s="2">
        <v>10</v>
      </c>
      <c r="H365" s="2">
        <v>2</v>
      </c>
      <c r="I365" s="2" t="s">
        <v>22</v>
      </c>
      <c r="K365" s="2">
        <v>2</v>
      </c>
    </row>
    <row r="366" spans="1:11" x14ac:dyDescent="0.15">
      <c r="A366" s="2">
        <v>25</v>
      </c>
      <c r="B366" s="3">
        <v>41772</v>
      </c>
      <c r="C366" s="2" t="s">
        <v>86</v>
      </c>
      <c r="D366" s="2">
        <v>1.6</v>
      </c>
      <c r="E366" s="2">
        <v>60</v>
      </c>
      <c r="F366" s="2">
        <f>D366*(E366*60)</f>
        <v>5760</v>
      </c>
      <c r="G366" s="2">
        <v>10</v>
      </c>
      <c r="H366" s="2">
        <v>2</v>
      </c>
      <c r="I366" s="2" t="s">
        <v>47</v>
      </c>
      <c r="J366" s="2" t="s">
        <v>48</v>
      </c>
      <c r="K366" s="2">
        <v>45</v>
      </c>
    </row>
    <row r="367" spans="1:11" x14ac:dyDescent="0.15">
      <c r="A367" s="2">
        <v>25</v>
      </c>
      <c r="B367" s="3">
        <v>41772</v>
      </c>
      <c r="C367" s="2" t="s">
        <v>86</v>
      </c>
      <c r="D367" s="2">
        <v>1.6</v>
      </c>
      <c r="E367" s="2">
        <v>60</v>
      </c>
      <c r="F367" s="2">
        <f>D367*(E367*60)</f>
        <v>5760</v>
      </c>
      <c r="G367" s="2">
        <v>10</v>
      </c>
      <c r="H367" s="2">
        <v>2</v>
      </c>
      <c r="I367" s="2" t="s">
        <v>47</v>
      </c>
      <c r="K367" s="2">
        <v>4</v>
      </c>
    </row>
    <row r="368" spans="1:11" x14ac:dyDescent="0.15">
      <c r="A368" s="2">
        <v>25</v>
      </c>
      <c r="B368" s="3">
        <v>41772</v>
      </c>
      <c r="C368" s="2" t="s">
        <v>86</v>
      </c>
      <c r="D368" s="2">
        <v>1.6</v>
      </c>
      <c r="E368" s="2">
        <v>60</v>
      </c>
      <c r="F368" s="2">
        <f>D368*(E368*60)</f>
        <v>5760</v>
      </c>
      <c r="G368" s="2">
        <v>10</v>
      </c>
      <c r="H368" s="2">
        <v>2</v>
      </c>
      <c r="I368" s="2" t="s">
        <v>26</v>
      </c>
      <c r="K368" s="2">
        <v>5</v>
      </c>
    </row>
    <row r="369" spans="1:11" x14ac:dyDescent="0.15">
      <c r="A369" s="2">
        <v>25</v>
      </c>
      <c r="B369" s="3">
        <v>41772</v>
      </c>
      <c r="C369" s="2" t="s">
        <v>86</v>
      </c>
      <c r="D369" s="2">
        <v>1.6</v>
      </c>
      <c r="E369" s="2">
        <v>60</v>
      </c>
      <c r="F369" s="2">
        <f>D369*(E369*60)</f>
        <v>5760</v>
      </c>
      <c r="G369" s="2">
        <v>10</v>
      </c>
      <c r="H369" s="2">
        <v>2</v>
      </c>
      <c r="I369" s="2" t="s">
        <v>50</v>
      </c>
      <c r="K369" s="2">
        <v>3</v>
      </c>
    </row>
    <row r="370" spans="1:11" x14ac:dyDescent="0.15">
      <c r="A370" s="2">
        <v>25</v>
      </c>
      <c r="B370" s="3">
        <v>41772</v>
      </c>
      <c r="C370" s="2" t="s">
        <v>86</v>
      </c>
      <c r="D370" s="2">
        <v>1.6</v>
      </c>
      <c r="E370" s="2">
        <v>60</v>
      </c>
      <c r="F370" s="2">
        <f>D370*(E370*60)</f>
        <v>5760</v>
      </c>
      <c r="G370" s="2">
        <v>10</v>
      </c>
      <c r="H370" s="2">
        <v>2</v>
      </c>
      <c r="I370" s="2" t="s">
        <v>29</v>
      </c>
      <c r="J370" s="2" t="s">
        <v>33</v>
      </c>
      <c r="K370" s="2">
        <v>1</v>
      </c>
    </row>
    <row r="371" spans="1:11" x14ac:dyDescent="0.15">
      <c r="A371" s="2">
        <v>25</v>
      </c>
      <c r="B371" s="3">
        <v>41772</v>
      </c>
      <c r="C371" s="2" t="s">
        <v>86</v>
      </c>
      <c r="D371" s="2">
        <v>1.6</v>
      </c>
      <c r="E371" s="2">
        <v>60</v>
      </c>
      <c r="F371" s="2">
        <f>D371*(E371*60)</f>
        <v>5760</v>
      </c>
      <c r="G371" s="2">
        <v>10</v>
      </c>
      <c r="H371" s="2">
        <v>2</v>
      </c>
      <c r="I371" s="2" t="s">
        <v>42</v>
      </c>
      <c r="J371" s="2" t="s">
        <v>43</v>
      </c>
      <c r="K371" s="2">
        <v>5</v>
      </c>
    </row>
    <row r="372" spans="1:11" x14ac:dyDescent="0.15">
      <c r="A372" s="2">
        <v>25</v>
      </c>
      <c r="B372" s="3">
        <v>41772</v>
      </c>
      <c r="C372" s="2" t="s">
        <v>86</v>
      </c>
      <c r="D372" s="2">
        <v>1.6</v>
      </c>
      <c r="E372" s="2">
        <v>60</v>
      </c>
      <c r="F372" s="2">
        <f>D372*(E372*60)</f>
        <v>5760</v>
      </c>
      <c r="G372" s="2">
        <v>10</v>
      </c>
      <c r="H372" s="2">
        <v>2</v>
      </c>
      <c r="I372" s="2" t="s">
        <v>44</v>
      </c>
      <c r="K372" s="2">
        <v>2</v>
      </c>
    </row>
    <row r="373" spans="1:11" x14ac:dyDescent="0.15">
      <c r="A373" s="2">
        <v>25</v>
      </c>
      <c r="B373" s="3">
        <v>41772</v>
      </c>
      <c r="C373" s="2" t="s">
        <v>86</v>
      </c>
      <c r="D373" s="2">
        <v>1.6</v>
      </c>
      <c r="E373" s="2">
        <v>60</v>
      </c>
      <c r="F373" s="2">
        <f>D373*(E373*60)</f>
        <v>5760</v>
      </c>
      <c r="G373" s="2">
        <v>10</v>
      </c>
      <c r="H373" s="2">
        <v>2</v>
      </c>
      <c r="I373" s="2" t="s">
        <v>36</v>
      </c>
      <c r="J373" s="2" t="s">
        <v>40</v>
      </c>
      <c r="K373" s="2">
        <v>1</v>
      </c>
    </row>
    <row r="374" spans="1:11" x14ac:dyDescent="0.15">
      <c r="A374" s="2">
        <v>30</v>
      </c>
      <c r="B374" s="3">
        <v>41774</v>
      </c>
      <c r="C374" s="2" t="s">
        <v>82</v>
      </c>
      <c r="D374" s="2">
        <v>2.125</v>
      </c>
      <c r="E374" s="2">
        <v>60</v>
      </c>
      <c r="F374" s="2">
        <f>D374*(E374*60)</f>
        <v>7650</v>
      </c>
      <c r="G374" s="2">
        <v>10</v>
      </c>
      <c r="H374" s="2">
        <v>2</v>
      </c>
      <c r="I374" s="2" t="s">
        <v>24</v>
      </c>
      <c r="K374" s="2">
        <v>4</v>
      </c>
    </row>
    <row r="375" spans="1:11" x14ac:dyDescent="0.15">
      <c r="A375" s="2">
        <v>30</v>
      </c>
      <c r="B375" s="3">
        <v>41774</v>
      </c>
      <c r="C375" s="2" t="s">
        <v>82</v>
      </c>
      <c r="D375" s="2">
        <v>2.125</v>
      </c>
      <c r="E375" s="2">
        <v>60</v>
      </c>
      <c r="F375" s="2">
        <f>D375*(E375*60)</f>
        <v>7650</v>
      </c>
      <c r="G375" s="2">
        <v>10</v>
      </c>
      <c r="H375" s="2">
        <v>2</v>
      </c>
      <c r="I375" s="2" t="s">
        <v>16</v>
      </c>
      <c r="K375" s="2">
        <v>1</v>
      </c>
    </row>
    <row r="376" spans="1:11" x14ac:dyDescent="0.15">
      <c r="A376" s="2">
        <v>30</v>
      </c>
      <c r="B376" s="3">
        <v>41774</v>
      </c>
      <c r="C376" s="2" t="s">
        <v>82</v>
      </c>
      <c r="D376" s="2">
        <v>2.125</v>
      </c>
      <c r="E376" s="2">
        <v>60</v>
      </c>
      <c r="F376" s="2">
        <f>D376*(E376*60)</f>
        <v>7650</v>
      </c>
      <c r="G376" s="2">
        <v>10</v>
      </c>
      <c r="H376" s="2">
        <v>2</v>
      </c>
      <c r="I376" s="2" t="s">
        <v>22</v>
      </c>
      <c r="K376" s="2">
        <v>3</v>
      </c>
    </row>
    <row r="377" spans="1:11" x14ac:dyDescent="0.15">
      <c r="A377" s="2">
        <v>30</v>
      </c>
      <c r="B377" s="3">
        <v>41774</v>
      </c>
      <c r="C377" s="2" t="s">
        <v>82</v>
      </c>
      <c r="D377" s="2">
        <v>2.125</v>
      </c>
      <c r="E377" s="2">
        <v>60</v>
      </c>
      <c r="F377" s="2">
        <f>D377*(E377*60)</f>
        <v>7650</v>
      </c>
      <c r="G377" s="2">
        <v>10</v>
      </c>
      <c r="H377" s="2">
        <v>2</v>
      </c>
      <c r="I377" s="2" t="s">
        <v>19</v>
      </c>
      <c r="K377" s="2">
        <v>49</v>
      </c>
    </row>
    <row r="378" spans="1:11" x14ac:dyDescent="0.15">
      <c r="A378" s="2">
        <v>30</v>
      </c>
      <c r="B378" s="3">
        <v>41774</v>
      </c>
      <c r="C378" s="2" t="s">
        <v>82</v>
      </c>
      <c r="D378" s="2">
        <v>2.125</v>
      </c>
      <c r="E378" s="2">
        <v>60</v>
      </c>
      <c r="F378" s="2">
        <f>D378*(E378*60)</f>
        <v>7650</v>
      </c>
      <c r="G378" s="2">
        <v>10</v>
      </c>
      <c r="H378" s="2">
        <v>2</v>
      </c>
      <c r="I378" s="2" t="s">
        <v>17</v>
      </c>
      <c r="J378" s="2" t="s">
        <v>18</v>
      </c>
      <c r="K378" s="2">
        <v>29</v>
      </c>
    </row>
    <row r="379" spans="1:11" x14ac:dyDescent="0.15">
      <c r="A379" s="2">
        <v>30</v>
      </c>
      <c r="B379" s="3">
        <v>41774</v>
      </c>
      <c r="C379" s="2" t="s">
        <v>82</v>
      </c>
      <c r="D379" s="2">
        <v>2.125</v>
      </c>
      <c r="E379" s="2">
        <v>60</v>
      </c>
      <c r="F379" s="2">
        <f>D379*(E379*60)</f>
        <v>7650</v>
      </c>
      <c r="G379" s="2">
        <v>10</v>
      </c>
      <c r="H379" s="2">
        <v>2</v>
      </c>
      <c r="I379" s="2" t="s">
        <v>13</v>
      </c>
      <c r="J379" s="2" t="s">
        <v>15</v>
      </c>
      <c r="K379" s="2">
        <v>54</v>
      </c>
    </row>
    <row r="380" spans="1:11" x14ac:dyDescent="0.15">
      <c r="A380" s="2">
        <v>30</v>
      </c>
      <c r="B380" s="3">
        <v>41774</v>
      </c>
      <c r="C380" s="2" t="s">
        <v>82</v>
      </c>
      <c r="D380" s="2">
        <v>2.125</v>
      </c>
      <c r="E380" s="2">
        <v>60</v>
      </c>
      <c r="F380" s="2">
        <f>D380*(E380*60)</f>
        <v>7650</v>
      </c>
      <c r="G380" s="2">
        <v>10</v>
      </c>
      <c r="H380" s="2">
        <v>2</v>
      </c>
      <c r="I380" s="2" t="s">
        <v>65</v>
      </c>
      <c r="J380" s="2" t="s">
        <v>10</v>
      </c>
      <c r="K380" s="2">
        <v>1</v>
      </c>
    </row>
    <row r="381" spans="1:11" x14ac:dyDescent="0.15">
      <c r="A381" s="2">
        <v>30</v>
      </c>
      <c r="B381" s="3">
        <v>41774</v>
      </c>
      <c r="C381" s="2" t="s">
        <v>82</v>
      </c>
      <c r="D381" s="2">
        <v>2.125</v>
      </c>
      <c r="E381" s="2">
        <v>60</v>
      </c>
      <c r="F381" s="2">
        <f>D381*(E381*60)</f>
        <v>7650</v>
      </c>
      <c r="G381" s="2">
        <v>10</v>
      </c>
      <c r="H381" s="2">
        <v>2</v>
      </c>
      <c r="I381" s="2" t="s">
        <v>47</v>
      </c>
      <c r="J381" s="2" t="s">
        <v>48</v>
      </c>
      <c r="K381" s="2">
        <v>52</v>
      </c>
    </row>
    <row r="382" spans="1:11" x14ac:dyDescent="0.15">
      <c r="A382" s="2">
        <v>30</v>
      </c>
      <c r="B382" s="3">
        <v>41774</v>
      </c>
      <c r="C382" s="2" t="s">
        <v>82</v>
      </c>
      <c r="D382" s="2">
        <v>2.125</v>
      </c>
      <c r="E382" s="2">
        <v>60</v>
      </c>
      <c r="F382" s="2">
        <f>D382*(E382*60)</f>
        <v>7650</v>
      </c>
      <c r="G382" s="2">
        <v>10</v>
      </c>
      <c r="H382" s="2">
        <v>2</v>
      </c>
      <c r="I382" s="2" t="s">
        <v>47</v>
      </c>
      <c r="J382" s="2" t="s">
        <v>64</v>
      </c>
      <c r="K382" s="2">
        <v>1</v>
      </c>
    </row>
    <row r="383" spans="1:11" x14ac:dyDescent="0.15">
      <c r="A383" s="2">
        <v>30</v>
      </c>
      <c r="B383" s="3">
        <v>41774</v>
      </c>
      <c r="C383" s="2" t="s">
        <v>82</v>
      </c>
      <c r="D383" s="2">
        <v>2.125</v>
      </c>
      <c r="E383" s="2">
        <v>60</v>
      </c>
      <c r="F383" s="2">
        <f>D383*(E383*60)</f>
        <v>7650</v>
      </c>
      <c r="G383" s="2">
        <v>10</v>
      </c>
      <c r="H383" s="2">
        <v>2</v>
      </c>
      <c r="I383" s="2" t="s">
        <v>47</v>
      </c>
      <c r="K383" s="2">
        <v>1</v>
      </c>
    </row>
    <row r="384" spans="1:11" x14ac:dyDescent="0.15">
      <c r="A384" s="2">
        <v>30</v>
      </c>
      <c r="B384" s="3">
        <v>41774</v>
      </c>
      <c r="C384" s="2" t="s">
        <v>82</v>
      </c>
      <c r="D384" s="2">
        <v>2.125</v>
      </c>
      <c r="E384" s="2">
        <v>60</v>
      </c>
      <c r="F384" s="2">
        <f>D384*(E384*60)</f>
        <v>7650</v>
      </c>
      <c r="G384" s="2">
        <v>10</v>
      </c>
      <c r="H384" s="2">
        <v>2</v>
      </c>
      <c r="I384" s="2" t="s">
        <v>26</v>
      </c>
      <c r="K384" s="2">
        <v>10</v>
      </c>
    </row>
    <row r="385" spans="1:11" x14ac:dyDescent="0.15">
      <c r="A385" s="2">
        <v>30</v>
      </c>
      <c r="B385" s="3">
        <v>41774</v>
      </c>
      <c r="C385" s="2" t="s">
        <v>82</v>
      </c>
      <c r="D385" s="2">
        <v>2.125</v>
      </c>
      <c r="E385" s="2">
        <v>60</v>
      </c>
      <c r="F385" s="2">
        <f>D385*(E385*60)</f>
        <v>7650</v>
      </c>
      <c r="G385" s="2">
        <v>10</v>
      </c>
      <c r="H385" s="2">
        <v>2</v>
      </c>
      <c r="I385" s="2" t="s">
        <v>50</v>
      </c>
      <c r="K385" s="2">
        <v>2</v>
      </c>
    </row>
    <row r="386" spans="1:11" x14ac:dyDescent="0.15">
      <c r="A386" s="2">
        <v>30</v>
      </c>
      <c r="B386" s="3">
        <v>41774</v>
      </c>
      <c r="C386" s="2" t="s">
        <v>82</v>
      </c>
      <c r="D386" s="2">
        <v>2.125</v>
      </c>
      <c r="E386" s="2">
        <v>60</v>
      </c>
      <c r="F386" s="2">
        <f>D386*(E386*60)</f>
        <v>7650</v>
      </c>
      <c r="G386" s="2">
        <v>10</v>
      </c>
      <c r="H386" s="2">
        <v>2</v>
      </c>
      <c r="I386" s="2" t="s">
        <v>29</v>
      </c>
      <c r="J386" s="2" t="s">
        <v>67</v>
      </c>
      <c r="K386" s="2">
        <v>2</v>
      </c>
    </row>
    <row r="387" spans="1:11" x14ac:dyDescent="0.15">
      <c r="A387" s="2">
        <v>30</v>
      </c>
      <c r="B387" s="3">
        <v>41774</v>
      </c>
      <c r="C387" s="2" t="s">
        <v>82</v>
      </c>
      <c r="D387" s="2">
        <v>2.125</v>
      </c>
      <c r="E387" s="2">
        <v>60</v>
      </c>
      <c r="F387" s="2">
        <f>D387*(E387*60)</f>
        <v>7650</v>
      </c>
      <c r="G387" s="2">
        <v>10</v>
      </c>
      <c r="H387" s="2">
        <v>2</v>
      </c>
      <c r="I387" s="2" t="s">
        <v>51</v>
      </c>
      <c r="K387" s="2">
        <v>8</v>
      </c>
    </row>
    <row r="388" spans="1:11" x14ac:dyDescent="0.15">
      <c r="A388" s="2">
        <v>19</v>
      </c>
      <c r="B388" s="3">
        <v>41774</v>
      </c>
      <c r="C388" s="2" t="s">
        <v>70</v>
      </c>
      <c r="D388" s="2">
        <v>2.2650000000000001</v>
      </c>
      <c r="E388" s="2">
        <v>60</v>
      </c>
      <c r="F388" s="2">
        <f>D388*(E388*60)</f>
        <v>8154</v>
      </c>
      <c r="G388" s="2">
        <v>25</v>
      </c>
      <c r="H388" s="2">
        <v>2</v>
      </c>
      <c r="I388" s="2" t="s">
        <v>76</v>
      </c>
      <c r="K388" s="2">
        <v>6</v>
      </c>
    </row>
    <row r="389" spans="1:11" x14ac:dyDescent="0.15">
      <c r="A389" s="2">
        <v>19</v>
      </c>
      <c r="B389" s="3">
        <v>41774</v>
      </c>
      <c r="C389" s="2" t="s">
        <v>70</v>
      </c>
      <c r="D389" s="2">
        <v>2.2650000000000001</v>
      </c>
      <c r="E389" s="2">
        <v>60</v>
      </c>
      <c r="F389" s="2">
        <f>D389*(E389*60)</f>
        <v>8154</v>
      </c>
      <c r="G389" s="2">
        <v>25</v>
      </c>
      <c r="H389" s="2">
        <v>2</v>
      </c>
      <c r="I389" s="2" t="s">
        <v>13</v>
      </c>
      <c r="J389" s="2" t="s">
        <v>15</v>
      </c>
      <c r="K389" s="2">
        <v>100</v>
      </c>
    </row>
    <row r="390" spans="1:11" x14ac:dyDescent="0.15">
      <c r="A390" s="2">
        <v>19</v>
      </c>
      <c r="B390" s="3">
        <v>41774</v>
      </c>
      <c r="C390" s="2" t="s">
        <v>70</v>
      </c>
      <c r="D390" s="2">
        <v>2.2650000000000001</v>
      </c>
      <c r="E390" s="2">
        <v>60</v>
      </c>
      <c r="F390" s="2">
        <f>D390*(E390*60)</f>
        <v>8154</v>
      </c>
      <c r="G390" s="2">
        <v>25</v>
      </c>
      <c r="H390" s="2">
        <v>2</v>
      </c>
      <c r="I390" s="2" t="s">
        <v>47</v>
      </c>
      <c r="J390" s="2" t="s">
        <v>48</v>
      </c>
      <c r="K390" s="2">
        <v>40</v>
      </c>
    </row>
    <row r="391" spans="1:11" x14ac:dyDescent="0.15">
      <c r="A391" s="2">
        <v>19</v>
      </c>
      <c r="B391" s="3">
        <v>41774</v>
      </c>
      <c r="C391" s="2" t="s">
        <v>70</v>
      </c>
      <c r="D391" s="2">
        <v>2.2650000000000001</v>
      </c>
      <c r="E391" s="2">
        <v>60</v>
      </c>
      <c r="F391" s="2">
        <f>D391*(E391*60)</f>
        <v>8154</v>
      </c>
      <c r="G391" s="2">
        <v>25</v>
      </c>
      <c r="H391" s="2">
        <v>2</v>
      </c>
      <c r="I391" s="2" t="s">
        <v>47</v>
      </c>
      <c r="J391" s="2" t="s">
        <v>64</v>
      </c>
      <c r="K391" s="2">
        <v>5</v>
      </c>
    </row>
    <row r="392" spans="1:11" x14ac:dyDescent="0.15">
      <c r="A392" s="2">
        <v>19</v>
      </c>
      <c r="B392" s="3">
        <v>41774</v>
      </c>
      <c r="C392" s="2" t="s">
        <v>70</v>
      </c>
      <c r="D392" s="2">
        <v>2.2650000000000001</v>
      </c>
      <c r="E392" s="2">
        <v>60</v>
      </c>
      <c r="F392" s="2">
        <f>D392*(E392*60)</f>
        <v>8154</v>
      </c>
      <c r="G392" s="2">
        <v>25</v>
      </c>
      <c r="H392" s="2">
        <v>2</v>
      </c>
      <c r="I392" s="2" t="s">
        <v>47</v>
      </c>
      <c r="K392" s="2">
        <v>6</v>
      </c>
    </row>
    <row r="393" spans="1:11" x14ac:dyDescent="0.15">
      <c r="A393" s="2">
        <v>19</v>
      </c>
      <c r="B393" s="3">
        <v>41774</v>
      </c>
      <c r="C393" s="2" t="s">
        <v>70</v>
      </c>
      <c r="D393" s="2">
        <v>2.2650000000000001</v>
      </c>
      <c r="E393" s="2">
        <v>60</v>
      </c>
      <c r="F393" s="2">
        <f>D393*(E393*60)</f>
        <v>8154</v>
      </c>
      <c r="G393" s="2">
        <v>25</v>
      </c>
      <c r="H393" s="2">
        <v>2</v>
      </c>
      <c r="I393" s="2" t="s">
        <v>19</v>
      </c>
      <c r="K393" s="2">
        <v>21</v>
      </c>
    </row>
    <row r="394" spans="1:11" x14ac:dyDescent="0.15">
      <c r="A394" s="2">
        <v>19</v>
      </c>
      <c r="B394" s="3">
        <v>41774</v>
      </c>
      <c r="C394" s="2" t="s">
        <v>70</v>
      </c>
      <c r="D394" s="2">
        <v>2.2650000000000001</v>
      </c>
      <c r="E394" s="2">
        <v>60</v>
      </c>
      <c r="F394" s="2">
        <f>D394*(E394*60)</f>
        <v>8154</v>
      </c>
      <c r="G394" s="2">
        <v>25</v>
      </c>
      <c r="H394" s="2">
        <v>2</v>
      </c>
      <c r="I394" s="2" t="s">
        <v>17</v>
      </c>
      <c r="J394" s="2" t="s">
        <v>18</v>
      </c>
      <c r="K394" s="2">
        <v>32</v>
      </c>
    </row>
    <row r="395" spans="1:11" x14ac:dyDescent="0.15">
      <c r="A395" s="2">
        <v>19</v>
      </c>
      <c r="B395" s="3">
        <v>41774</v>
      </c>
      <c r="C395" s="2" t="s">
        <v>70</v>
      </c>
      <c r="D395" s="2">
        <v>2.2650000000000001</v>
      </c>
      <c r="E395" s="2">
        <v>60</v>
      </c>
      <c r="F395" s="2">
        <f>D395*(E395*60)</f>
        <v>8154</v>
      </c>
      <c r="G395" s="2">
        <v>25</v>
      </c>
      <c r="H395" s="2">
        <v>2</v>
      </c>
      <c r="I395" s="2" t="s">
        <v>22</v>
      </c>
      <c r="K395" s="2">
        <v>2</v>
      </c>
    </row>
    <row r="396" spans="1:11" x14ac:dyDescent="0.15">
      <c r="A396" s="2">
        <v>19</v>
      </c>
      <c r="B396" s="3">
        <v>41774</v>
      </c>
      <c r="C396" s="2" t="s">
        <v>70</v>
      </c>
      <c r="D396" s="2">
        <v>2.2650000000000001</v>
      </c>
      <c r="E396" s="2">
        <v>60</v>
      </c>
      <c r="F396" s="2">
        <f>D396*(E396*60)</f>
        <v>8154</v>
      </c>
      <c r="G396" s="2">
        <v>25</v>
      </c>
      <c r="H396" s="2">
        <v>2</v>
      </c>
      <c r="I396" s="2" t="s">
        <v>50</v>
      </c>
      <c r="K396" s="2">
        <v>3</v>
      </c>
    </row>
    <row r="397" spans="1:11" x14ac:dyDescent="0.15">
      <c r="A397" s="2">
        <v>19</v>
      </c>
      <c r="B397" s="3">
        <v>41774</v>
      </c>
      <c r="C397" s="2" t="s">
        <v>70</v>
      </c>
      <c r="D397" s="2">
        <v>2.2650000000000001</v>
      </c>
      <c r="E397" s="2">
        <v>60</v>
      </c>
      <c r="F397" s="2">
        <f>D397*(E397*60)</f>
        <v>8154</v>
      </c>
      <c r="G397" s="2">
        <v>25</v>
      </c>
      <c r="H397" s="2">
        <v>2</v>
      </c>
      <c r="I397" s="2" t="s">
        <v>26</v>
      </c>
      <c r="K397" s="2">
        <v>11</v>
      </c>
    </row>
    <row r="398" spans="1:11" x14ac:dyDescent="0.15">
      <c r="A398" s="2">
        <v>19</v>
      </c>
      <c r="B398" s="3">
        <v>41774</v>
      </c>
      <c r="C398" s="2" t="s">
        <v>70</v>
      </c>
      <c r="D398" s="2">
        <v>2.2650000000000001</v>
      </c>
      <c r="E398" s="2">
        <v>60</v>
      </c>
      <c r="F398" s="2">
        <f>D398*(E398*60)</f>
        <v>8154</v>
      </c>
      <c r="G398" s="2">
        <v>25</v>
      </c>
      <c r="H398" s="2">
        <v>2</v>
      </c>
      <c r="I398" s="2" t="s">
        <v>29</v>
      </c>
      <c r="K398" s="2">
        <v>4</v>
      </c>
    </row>
    <row r="399" spans="1:11" x14ac:dyDescent="0.15">
      <c r="A399" s="2">
        <v>19</v>
      </c>
      <c r="B399" s="3">
        <v>41774</v>
      </c>
      <c r="C399" s="2" t="s">
        <v>70</v>
      </c>
      <c r="D399" s="2">
        <v>2.2650000000000001</v>
      </c>
      <c r="E399" s="2">
        <v>60</v>
      </c>
      <c r="F399" s="2">
        <f>D399*(E399*60)</f>
        <v>8154</v>
      </c>
      <c r="G399" s="2">
        <v>25</v>
      </c>
      <c r="H399" s="2">
        <v>2</v>
      </c>
      <c r="I399" s="2" t="s">
        <v>36</v>
      </c>
      <c r="K399" s="2">
        <v>1</v>
      </c>
    </row>
    <row r="400" spans="1:11" x14ac:dyDescent="0.15">
      <c r="A400" s="2">
        <v>19</v>
      </c>
      <c r="B400" s="3">
        <v>41774</v>
      </c>
      <c r="C400" s="2" t="s">
        <v>70</v>
      </c>
      <c r="D400" s="2">
        <v>2.2650000000000001</v>
      </c>
      <c r="E400" s="2">
        <v>60</v>
      </c>
      <c r="F400" s="2">
        <f>D400*(E400*60)</f>
        <v>8154</v>
      </c>
      <c r="G400" s="2">
        <v>25</v>
      </c>
      <c r="H400" s="2">
        <v>2</v>
      </c>
      <c r="I400" s="2" t="s">
        <v>44</v>
      </c>
      <c r="K400" s="2">
        <v>1</v>
      </c>
    </row>
    <row r="401" spans="1:11" x14ac:dyDescent="0.15">
      <c r="A401" s="2">
        <v>19</v>
      </c>
      <c r="B401" s="3">
        <v>41774</v>
      </c>
      <c r="C401" s="2" t="s">
        <v>70</v>
      </c>
      <c r="D401" s="2">
        <v>2.2650000000000001</v>
      </c>
      <c r="E401" s="2">
        <v>60</v>
      </c>
      <c r="F401" s="2">
        <f>D401*(E401*60)</f>
        <v>8154</v>
      </c>
      <c r="G401" s="2">
        <v>25</v>
      </c>
      <c r="H401" s="2">
        <v>2</v>
      </c>
      <c r="I401" s="2" t="s">
        <v>51</v>
      </c>
      <c r="K401" s="2">
        <v>3</v>
      </c>
    </row>
    <row r="402" spans="1:11" x14ac:dyDescent="0.15">
      <c r="A402" s="2">
        <v>9</v>
      </c>
      <c r="B402" s="3">
        <v>41774</v>
      </c>
      <c r="C402" s="2" t="s">
        <v>88</v>
      </c>
      <c r="D402" s="2">
        <v>1.82</v>
      </c>
      <c r="E402" s="2">
        <v>60</v>
      </c>
      <c r="F402" s="2">
        <f>D402*(E402*60)</f>
        <v>6552</v>
      </c>
      <c r="G402" s="2">
        <v>10</v>
      </c>
      <c r="H402" s="2">
        <v>3</v>
      </c>
      <c r="I402" s="2" t="s">
        <v>17</v>
      </c>
      <c r="J402" s="2" t="s">
        <v>18</v>
      </c>
      <c r="K402" s="2">
        <v>33</v>
      </c>
    </row>
    <row r="403" spans="1:11" x14ac:dyDescent="0.15">
      <c r="A403" s="2">
        <v>9</v>
      </c>
      <c r="B403" s="3">
        <v>41774</v>
      </c>
      <c r="C403" s="2" t="s">
        <v>88</v>
      </c>
      <c r="D403" s="2">
        <v>1.82</v>
      </c>
      <c r="E403" s="2">
        <v>60</v>
      </c>
      <c r="F403" s="2">
        <f>D403*(E403*60)</f>
        <v>6552</v>
      </c>
      <c r="G403" s="2">
        <v>10</v>
      </c>
      <c r="H403" s="2">
        <v>3</v>
      </c>
      <c r="I403" s="2" t="s">
        <v>47</v>
      </c>
      <c r="J403" s="2" t="s">
        <v>48</v>
      </c>
      <c r="K403" s="2">
        <v>99</v>
      </c>
    </row>
    <row r="404" spans="1:11" x14ac:dyDescent="0.15">
      <c r="A404" s="2">
        <v>9</v>
      </c>
      <c r="B404" s="3">
        <v>41774</v>
      </c>
      <c r="C404" s="2" t="s">
        <v>88</v>
      </c>
      <c r="D404" s="2">
        <v>1.82</v>
      </c>
      <c r="E404" s="2">
        <v>60</v>
      </c>
      <c r="F404" s="2">
        <f>D404*(E404*60)</f>
        <v>6552</v>
      </c>
      <c r="G404" s="2">
        <v>10</v>
      </c>
      <c r="H404" s="2">
        <v>3</v>
      </c>
      <c r="I404" s="2" t="s">
        <v>29</v>
      </c>
      <c r="K404" s="2">
        <v>2</v>
      </c>
    </row>
    <row r="405" spans="1:11" x14ac:dyDescent="0.15">
      <c r="A405" s="2">
        <v>9</v>
      </c>
      <c r="B405" s="3">
        <v>41774</v>
      </c>
      <c r="C405" s="2" t="s">
        <v>88</v>
      </c>
      <c r="D405" s="2">
        <v>1.82</v>
      </c>
      <c r="E405" s="2">
        <v>60</v>
      </c>
      <c r="F405" s="2">
        <f>D405*(E405*60)</f>
        <v>6552</v>
      </c>
      <c r="G405" s="2">
        <v>10</v>
      </c>
      <c r="H405" s="2">
        <v>3</v>
      </c>
      <c r="I405" s="2" t="s">
        <v>24</v>
      </c>
      <c r="K405" s="2">
        <v>8</v>
      </c>
    </row>
    <row r="406" spans="1:11" x14ac:dyDescent="0.15">
      <c r="A406" s="2">
        <v>9</v>
      </c>
      <c r="B406" s="3">
        <v>41774</v>
      </c>
      <c r="C406" s="2" t="s">
        <v>88</v>
      </c>
      <c r="D406" s="2">
        <v>1.82</v>
      </c>
      <c r="E406" s="2">
        <v>60</v>
      </c>
      <c r="F406" s="2">
        <f>D406*(E406*60)</f>
        <v>6552</v>
      </c>
      <c r="G406" s="2">
        <v>10</v>
      </c>
      <c r="H406" s="2">
        <v>3</v>
      </c>
      <c r="I406" s="2" t="s">
        <v>26</v>
      </c>
      <c r="K406" s="2">
        <v>14</v>
      </c>
    </row>
    <row r="407" spans="1:11" x14ac:dyDescent="0.15">
      <c r="A407" s="2">
        <v>9</v>
      </c>
      <c r="B407" s="3">
        <v>41774</v>
      </c>
      <c r="C407" s="2" t="s">
        <v>88</v>
      </c>
      <c r="D407" s="2">
        <v>1.82</v>
      </c>
      <c r="E407" s="2">
        <v>60</v>
      </c>
      <c r="F407" s="2">
        <f>D407*(E407*60)</f>
        <v>6552</v>
      </c>
      <c r="G407" s="2">
        <v>10</v>
      </c>
      <c r="H407" s="2">
        <v>3</v>
      </c>
      <c r="I407" s="2" t="s">
        <v>69</v>
      </c>
      <c r="K407" s="2">
        <v>11</v>
      </c>
    </row>
    <row r="408" spans="1:11" x14ac:dyDescent="0.15">
      <c r="A408" s="2">
        <v>9</v>
      </c>
      <c r="B408" s="3">
        <v>41774</v>
      </c>
      <c r="C408" s="2" t="s">
        <v>88</v>
      </c>
      <c r="D408" s="2">
        <v>1.82</v>
      </c>
      <c r="E408" s="2">
        <v>60</v>
      </c>
      <c r="F408" s="2">
        <f>D408*(E408*60)</f>
        <v>6552</v>
      </c>
      <c r="G408" s="2">
        <v>10</v>
      </c>
      <c r="H408" s="2">
        <v>3</v>
      </c>
      <c r="I408" s="2" t="s">
        <v>13</v>
      </c>
      <c r="J408" s="2" t="s">
        <v>15</v>
      </c>
      <c r="K408" s="2">
        <v>48</v>
      </c>
    </row>
    <row r="409" spans="1:11" x14ac:dyDescent="0.15">
      <c r="A409" s="2">
        <v>9</v>
      </c>
      <c r="B409" s="3">
        <v>41774</v>
      </c>
      <c r="C409" s="2" t="s">
        <v>88</v>
      </c>
      <c r="D409" s="2">
        <v>1.82</v>
      </c>
      <c r="E409" s="2">
        <v>60</v>
      </c>
      <c r="F409" s="2">
        <f>D409*(E409*60)</f>
        <v>6552</v>
      </c>
      <c r="G409" s="2">
        <v>10</v>
      </c>
      <c r="H409" s="2">
        <v>3</v>
      </c>
      <c r="I409" s="2" t="s">
        <v>44</v>
      </c>
      <c r="K409" s="2">
        <v>4</v>
      </c>
    </row>
    <row r="410" spans="1:11" x14ac:dyDescent="0.15">
      <c r="A410" s="2">
        <v>9</v>
      </c>
      <c r="B410" s="3">
        <v>41774</v>
      </c>
      <c r="C410" s="2" t="s">
        <v>88</v>
      </c>
      <c r="D410" s="2">
        <v>1.82</v>
      </c>
      <c r="E410" s="2">
        <v>60</v>
      </c>
      <c r="F410" s="2">
        <f>D410*(E410*60)</f>
        <v>6552</v>
      </c>
      <c r="G410" s="2">
        <v>10</v>
      </c>
      <c r="H410" s="2">
        <v>3</v>
      </c>
      <c r="I410" s="2" t="s">
        <v>22</v>
      </c>
      <c r="K410" s="2">
        <v>13</v>
      </c>
    </row>
    <row r="411" spans="1:11" x14ac:dyDescent="0.15">
      <c r="A411" s="2">
        <v>9</v>
      </c>
      <c r="B411" s="3">
        <v>41774</v>
      </c>
      <c r="C411" s="2" t="s">
        <v>88</v>
      </c>
      <c r="D411" s="2">
        <v>1.82</v>
      </c>
      <c r="E411" s="2">
        <v>60</v>
      </c>
      <c r="F411" s="2">
        <f>D411*(E411*60)</f>
        <v>6552</v>
      </c>
      <c r="G411" s="2">
        <v>10</v>
      </c>
      <c r="H411" s="2">
        <v>3</v>
      </c>
      <c r="I411" s="2" t="s">
        <v>89</v>
      </c>
      <c r="K411" s="2">
        <v>1</v>
      </c>
    </row>
    <row r="412" spans="1:11" x14ac:dyDescent="0.15">
      <c r="A412" s="2">
        <v>9</v>
      </c>
      <c r="B412" s="3">
        <v>41774</v>
      </c>
      <c r="C412" s="2" t="s">
        <v>88</v>
      </c>
      <c r="D412" s="2">
        <v>1.82</v>
      </c>
      <c r="E412" s="2">
        <v>60</v>
      </c>
      <c r="F412" s="2">
        <f>D412*(E412*60)</f>
        <v>6552</v>
      </c>
      <c r="G412" s="2">
        <v>10</v>
      </c>
      <c r="H412" s="2">
        <v>3</v>
      </c>
      <c r="I412" s="2" t="s">
        <v>50</v>
      </c>
      <c r="K412" s="2">
        <v>2</v>
      </c>
    </row>
    <row r="413" spans="1:11" x14ac:dyDescent="0.15">
      <c r="A413" s="2">
        <v>9</v>
      </c>
      <c r="B413" s="3">
        <v>41774</v>
      </c>
      <c r="C413" s="2" t="s">
        <v>88</v>
      </c>
      <c r="D413" s="2">
        <v>1.82</v>
      </c>
      <c r="E413" s="2">
        <v>60</v>
      </c>
      <c r="F413" s="2">
        <f>D413*(E413*60)</f>
        <v>6552</v>
      </c>
      <c r="G413" s="2">
        <v>10</v>
      </c>
      <c r="H413" s="2">
        <v>3</v>
      </c>
      <c r="I413" s="2" t="s">
        <v>51</v>
      </c>
      <c r="K413" s="2">
        <v>5</v>
      </c>
    </row>
    <row r="414" spans="1:11" x14ac:dyDescent="0.15">
      <c r="A414" s="2">
        <v>24</v>
      </c>
      <c r="B414" s="3">
        <v>41774</v>
      </c>
      <c r="C414" s="2" t="s">
        <v>86</v>
      </c>
      <c r="D414" s="2">
        <v>1.845</v>
      </c>
      <c r="E414" s="2">
        <v>60</v>
      </c>
      <c r="F414" s="2">
        <f>D414*(E414*60)</f>
        <v>6642</v>
      </c>
      <c r="G414" s="2">
        <v>5</v>
      </c>
      <c r="H414" s="2">
        <v>1</v>
      </c>
      <c r="I414" s="2" t="s">
        <v>76</v>
      </c>
      <c r="K414" s="2">
        <v>4</v>
      </c>
    </row>
    <row r="415" spans="1:11" x14ac:dyDescent="0.15">
      <c r="A415" s="2">
        <v>24</v>
      </c>
      <c r="B415" s="3">
        <v>41774</v>
      </c>
      <c r="C415" s="2" t="s">
        <v>86</v>
      </c>
      <c r="D415" s="2">
        <v>1.845</v>
      </c>
      <c r="E415" s="2">
        <v>60</v>
      </c>
      <c r="F415" s="2">
        <f>D415*(E415*60)</f>
        <v>6642</v>
      </c>
      <c r="G415" s="2">
        <v>5</v>
      </c>
      <c r="H415" s="2">
        <v>1</v>
      </c>
      <c r="I415" s="2" t="s">
        <v>19</v>
      </c>
      <c r="K415" s="2">
        <v>40</v>
      </c>
    </row>
    <row r="416" spans="1:11" x14ac:dyDescent="0.15">
      <c r="A416" s="2">
        <v>24</v>
      </c>
      <c r="B416" s="3">
        <v>41774</v>
      </c>
      <c r="C416" s="2" t="s">
        <v>86</v>
      </c>
      <c r="D416" s="2">
        <v>1.845</v>
      </c>
      <c r="E416" s="2">
        <v>60</v>
      </c>
      <c r="F416" s="2">
        <f>D416*(E416*60)</f>
        <v>6642</v>
      </c>
      <c r="G416" s="2">
        <v>5</v>
      </c>
      <c r="H416" s="2">
        <v>1</v>
      </c>
      <c r="I416" s="2" t="s">
        <v>17</v>
      </c>
      <c r="J416" s="2" t="s">
        <v>18</v>
      </c>
      <c r="K416" s="2">
        <v>43</v>
      </c>
    </row>
    <row r="417" spans="1:11" x14ac:dyDescent="0.15">
      <c r="A417" s="2">
        <v>24</v>
      </c>
      <c r="B417" s="3">
        <v>41774</v>
      </c>
      <c r="C417" s="2" t="s">
        <v>86</v>
      </c>
      <c r="D417" s="2">
        <v>1.845</v>
      </c>
      <c r="E417" s="2">
        <v>60</v>
      </c>
      <c r="F417" s="2">
        <f>D417*(E417*60)</f>
        <v>6642</v>
      </c>
      <c r="G417" s="2">
        <v>5</v>
      </c>
      <c r="H417" s="2">
        <v>1</v>
      </c>
      <c r="I417" s="2" t="s">
        <v>22</v>
      </c>
      <c r="K417" s="2">
        <v>13</v>
      </c>
    </row>
    <row r="418" spans="1:11" x14ac:dyDescent="0.15">
      <c r="A418" s="2">
        <v>24</v>
      </c>
      <c r="B418" s="3">
        <v>41774</v>
      </c>
      <c r="C418" s="2" t="s">
        <v>86</v>
      </c>
      <c r="D418" s="2">
        <v>1.845</v>
      </c>
      <c r="E418" s="2">
        <v>60</v>
      </c>
      <c r="F418" s="2">
        <f>D418*(E418*60)</f>
        <v>6642</v>
      </c>
      <c r="G418" s="2">
        <v>5</v>
      </c>
      <c r="H418" s="2">
        <v>1</v>
      </c>
      <c r="I418" s="2" t="s">
        <v>13</v>
      </c>
      <c r="J418" s="2" t="s">
        <v>15</v>
      </c>
      <c r="K418" s="2">
        <v>24</v>
      </c>
    </row>
    <row r="419" spans="1:11" x14ac:dyDescent="0.15">
      <c r="A419" s="2">
        <v>24</v>
      </c>
      <c r="B419" s="3">
        <v>41774</v>
      </c>
      <c r="C419" s="2" t="s">
        <v>86</v>
      </c>
      <c r="D419" s="2">
        <v>1.845</v>
      </c>
      <c r="E419" s="2">
        <v>60</v>
      </c>
      <c r="F419" s="2">
        <f>D419*(E419*60)</f>
        <v>6642</v>
      </c>
      <c r="G419" s="2">
        <v>5</v>
      </c>
      <c r="H419" s="2">
        <v>1</v>
      </c>
      <c r="I419" s="2" t="s">
        <v>47</v>
      </c>
      <c r="J419" s="2" t="s">
        <v>48</v>
      </c>
      <c r="K419" s="2">
        <v>53</v>
      </c>
    </row>
    <row r="420" spans="1:11" x14ac:dyDescent="0.15">
      <c r="A420" s="2">
        <v>24</v>
      </c>
      <c r="B420" s="3">
        <v>41774</v>
      </c>
      <c r="C420" s="2" t="s">
        <v>86</v>
      </c>
      <c r="D420" s="2">
        <v>1.845</v>
      </c>
      <c r="E420" s="2">
        <v>60</v>
      </c>
      <c r="F420" s="2">
        <f>D420*(E420*60)</f>
        <v>6642</v>
      </c>
      <c r="G420" s="2">
        <v>5</v>
      </c>
      <c r="H420" s="2">
        <v>1</v>
      </c>
      <c r="I420" s="2" t="s">
        <v>47</v>
      </c>
      <c r="K420" s="2">
        <v>1</v>
      </c>
    </row>
    <row r="421" spans="1:11" x14ac:dyDescent="0.15">
      <c r="A421" s="2">
        <v>24</v>
      </c>
      <c r="B421" s="3">
        <v>41774</v>
      </c>
      <c r="C421" s="2" t="s">
        <v>86</v>
      </c>
      <c r="D421" s="2">
        <v>1.845</v>
      </c>
      <c r="E421" s="2">
        <v>60</v>
      </c>
      <c r="F421" s="2">
        <f>D421*(E421*60)</f>
        <v>6642</v>
      </c>
      <c r="G421" s="2">
        <v>5</v>
      </c>
      <c r="H421" s="2">
        <v>1</v>
      </c>
      <c r="I421" s="2" t="s">
        <v>47</v>
      </c>
      <c r="J421" s="2" t="s">
        <v>64</v>
      </c>
      <c r="K421" s="2">
        <v>3</v>
      </c>
    </row>
    <row r="422" spans="1:11" x14ac:dyDescent="0.15">
      <c r="A422" s="2">
        <v>24</v>
      </c>
      <c r="B422" s="3">
        <v>41774</v>
      </c>
      <c r="C422" s="2" t="s">
        <v>86</v>
      </c>
      <c r="D422" s="2">
        <v>1.845</v>
      </c>
      <c r="E422" s="2">
        <v>60</v>
      </c>
      <c r="F422" s="2">
        <f>D422*(E422*60)</f>
        <v>6642</v>
      </c>
      <c r="G422" s="2">
        <v>5</v>
      </c>
      <c r="H422" s="2">
        <v>1</v>
      </c>
      <c r="I422" s="2" t="s">
        <v>26</v>
      </c>
      <c r="K422" s="2">
        <v>45</v>
      </c>
    </row>
    <row r="423" spans="1:11" x14ac:dyDescent="0.15">
      <c r="A423" s="2">
        <v>24</v>
      </c>
      <c r="B423" s="3">
        <v>41774</v>
      </c>
      <c r="C423" s="2" t="s">
        <v>86</v>
      </c>
      <c r="D423" s="2">
        <v>1.845</v>
      </c>
      <c r="E423" s="2">
        <v>60</v>
      </c>
      <c r="F423" s="2">
        <f>D423*(E423*60)</f>
        <v>6642</v>
      </c>
      <c r="G423" s="2">
        <v>5</v>
      </c>
      <c r="H423" s="2">
        <v>1</v>
      </c>
      <c r="I423" s="2" t="s">
        <v>50</v>
      </c>
      <c r="K423" s="2">
        <v>2</v>
      </c>
    </row>
    <row r="424" spans="1:11" x14ac:dyDescent="0.15">
      <c r="A424" s="2">
        <v>24</v>
      </c>
      <c r="B424" s="3">
        <v>41774</v>
      </c>
      <c r="C424" s="2" t="s">
        <v>86</v>
      </c>
      <c r="D424" s="2">
        <v>1.845</v>
      </c>
      <c r="E424" s="2">
        <v>60</v>
      </c>
      <c r="F424" s="2">
        <f>D424*(E424*60)</f>
        <v>6642</v>
      </c>
      <c r="G424" s="2">
        <v>5</v>
      </c>
      <c r="H424" s="2">
        <v>1</v>
      </c>
      <c r="I424" s="2" t="s">
        <v>29</v>
      </c>
      <c r="J424" s="2" t="s">
        <v>67</v>
      </c>
      <c r="K424" s="2">
        <v>1</v>
      </c>
    </row>
    <row r="425" spans="1:11" x14ac:dyDescent="0.15">
      <c r="A425" s="2">
        <v>24</v>
      </c>
      <c r="B425" s="3">
        <v>41774</v>
      </c>
      <c r="C425" s="2" t="s">
        <v>86</v>
      </c>
      <c r="D425" s="2">
        <v>1.845</v>
      </c>
      <c r="E425" s="2">
        <v>60</v>
      </c>
      <c r="F425" s="2">
        <f>D425*(E425*60)</f>
        <v>6642</v>
      </c>
      <c r="G425" s="2">
        <v>5</v>
      </c>
      <c r="H425" s="2">
        <v>1</v>
      </c>
      <c r="I425" s="2" t="s">
        <v>29</v>
      </c>
      <c r="K425" s="2">
        <v>2</v>
      </c>
    </row>
    <row r="426" spans="1:11" x14ac:dyDescent="0.15">
      <c r="A426" s="2">
        <v>24</v>
      </c>
      <c r="B426" s="3">
        <v>41774</v>
      </c>
      <c r="C426" s="2" t="s">
        <v>86</v>
      </c>
      <c r="D426" s="2">
        <v>1.845</v>
      </c>
      <c r="E426" s="2">
        <v>60</v>
      </c>
      <c r="F426" s="2">
        <f>D426*(E426*60)</f>
        <v>6642</v>
      </c>
      <c r="G426" s="2">
        <v>5</v>
      </c>
      <c r="H426" s="2">
        <v>1</v>
      </c>
      <c r="I426" s="2" t="s">
        <v>36</v>
      </c>
      <c r="K426" s="2">
        <v>1</v>
      </c>
    </row>
    <row r="427" spans="1:11" x14ac:dyDescent="0.15">
      <c r="A427" s="2">
        <v>24</v>
      </c>
      <c r="B427" s="3">
        <v>41774</v>
      </c>
      <c r="C427" s="2" t="s">
        <v>86</v>
      </c>
      <c r="D427" s="2">
        <v>1.845</v>
      </c>
      <c r="E427" s="2">
        <v>60</v>
      </c>
      <c r="F427" s="2">
        <f>D427*(E427*60)</f>
        <v>6642</v>
      </c>
      <c r="G427" s="2">
        <v>5</v>
      </c>
      <c r="H427" s="2">
        <v>1</v>
      </c>
      <c r="I427" s="2" t="s">
        <v>42</v>
      </c>
      <c r="J427" s="2" t="s">
        <v>43</v>
      </c>
      <c r="K427" s="2">
        <v>1</v>
      </c>
    </row>
    <row r="428" spans="1:11" x14ac:dyDescent="0.15">
      <c r="A428" s="2">
        <v>24</v>
      </c>
      <c r="B428" s="3">
        <v>41774</v>
      </c>
      <c r="C428" s="2" t="s">
        <v>86</v>
      </c>
      <c r="D428" s="2">
        <v>1.845</v>
      </c>
      <c r="E428" s="2">
        <v>60</v>
      </c>
      <c r="F428" s="2">
        <f>D428*(E428*60)</f>
        <v>6642</v>
      </c>
      <c r="G428" s="2">
        <v>5</v>
      </c>
      <c r="H428" s="2">
        <v>1</v>
      </c>
      <c r="I428" s="2" t="s">
        <v>28</v>
      </c>
      <c r="K428" s="2">
        <v>1</v>
      </c>
    </row>
    <row r="429" spans="1:11" x14ac:dyDescent="0.15">
      <c r="A429" s="2">
        <v>24</v>
      </c>
      <c r="B429" s="3">
        <v>41774</v>
      </c>
      <c r="C429" s="2" t="s">
        <v>86</v>
      </c>
      <c r="D429" s="2">
        <v>1.845</v>
      </c>
      <c r="E429" s="2">
        <v>60</v>
      </c>
      <c r="F429" s="2">
        <f>D429*(E429*60)</f>
        <v>6642</v>
      </c>
      <c r="G429" s="2">
        <v>5</v>
      </c>
      <c r="H429" s="2">
        <v>1</v>
      </c>
      <c r="I429" s="2" t="s">
        <v>25</v>
      </c>
      <c r="K429" s="2">
        <v>1</v>
      </c>
    </row>
    <row r="430" spans="1:11" x14ac:dyDescent="0.15">
      <c r="A430" s="2">
        <v>24</v>
      </c>
      <c r="B430" s="3">
        <v>41774</v>
      </c>
      <c r="C430" s="2" t="s">
        <v>86</v>
      </c>
      <c r="D430" s="2">
        <v>1.845</v>
      </c>
      <c r="E430" s="2">
        <v>60</v>
      </c>
      <c r="F430" s="2">
        <f>D430*(E430*60)</f>
        <v>6642</v>
      </c>
      <c r="G430" s="2">
        <v>5</v>
      </c>
      <c r="H430" s="2">
        <v>1</v>
      </c>
      <c r="I430" s="2" t="s">
        <v>51</v>
      </c>
      <c r="K430" s="2">
        <v>5</v>
      </c>
    </row>
    <row r="431" spans="1:11" x14ac:dyDescent="0.15">
      <c r="A431" s="2">
        <v>7</v>
      </c>
      <c r="B431" s="3">
        <v>41781</v>
      </c>
      <c r="C431" s="2" t="s">
        <v>63</v>
      </c>
      <c r="D431" s="2">
        <v>3.01</v>
      </c>
      <c r="E431" s="2">
        <v>60</v>
      </c>
      <c r="F431" s="2">
        <f>D431*(E431*60)</f>
        <v>10836</v>
      </c>
      <c r="G431" s="2">
        <v>25</v>
      </c>
      <c r="H431" s="2">
        <v>1</v>
      </c>
      <c r="I431" s="2" t="s">
        <v>24</v>
      </c>
      <c r="K431" s="2">
        <v>6</v>
      </c>
    </row>
    <row r="432" spans="1:11" x14ac:dyDescent="0.15">
      <c r="A432" s="2">
        <v>7</v>
      </c>
      <c r="B432" s="3">
        <v>41781</v>
      </c>
      <c r="C432" s="2" t="s">
        <v>63</v>
      </c>
      <c r="D432" s="2">
        <v>3.01</v>
      </c>
      <c r="E432" s="2">
        <v>60</v>
      </c>
      <c r="F432" s="2">
        <f>D432*(E432*60)</f>
        <v>10836</v>
      </c>
      <c r="G432" s="2">
        <v>25</v>
      </c>
      <c r="H432" s="2">
        <v>1</v>
      </c>
      <c r="I432" s="2" t="s">
        <v>47</v>
      </c>
      <c r="J432" s="2" t="s">
        <v>48</v>
      </c>
      <c r="K432" s="2">
        <v>50</v>
      </c>
    </row>
    <row r="433" spans="1:11" x14ac:dyDescent="0.15">
      <c r="A433" s="2">
        <v>7</v>
      </c>
      <c r="B433" s="3">
        <v>41781</v>
      </c>
      <c r="C433" s="2" t="s">
        <v>63</v>
      </c>
      <c r="D433" s="2">
        <v>3.01</v>
      </c>
      <c r="E433" s="2">
        <v>60</v>
      </c>
      <c r="F433" s="2">
        <f>D433*(E433*60)</f>
        <v>10836</v>
      </c>
      <c r="G433" s="2">
        <v>25</v>
      </c>
      <c r="H433" s="2">
        <v>1</v>
      </c>
      <c r="I433" s="2" t="s">
        <v>26</v>
      </c>
      <c r="K433" s="2">
        <v>7</v>
      </c>
    </row>
    <row r="434" spans="1:11" x14ac:dyDescent="0.15">
      <c r="A434" s="2">
        <v>7</v>
      </c>
      <c r="B434" s="3">
        <v>41781</v>
      </c>
      <c r="C434" s="2" t="s">
        <v>63</v>
      </c>
      <c r="D434" s="2">
        <v>3.01</v>
      </c>
      <c r="E434" s="2">
        <v>60</v>
      </c>
      <c r="F434" s="2">
        <f>D434*(E434*60)</f>
        <v>10836</v>
      </c>
      <c r="G434" s="2">
        <v>25</v>
      </c>
      <c r="H434" s="2">
        <v>1</v>
      </c>
      <c r="I434" s="2" t="s">
        <v>13</v>
      </c>
      <c r="J434" s="2" t="s">
        <v>15</v>
      </c>
      <c r="K434" s="2">
        <v>8</v>
      </c>
    </row>
    <row r="435" spans="1:11" x14ac:dyDescent="0.15">
      <c r="A435" s="2">
        <v>7</v>
      </c>
      <c r="B435" s="3">
        <v>41781</v>
      </c>
      <c r="C435" s="2" t="s">
        <v>63</v>
      </c>
      <c r="D435" s="2">
        <v>3.01</v>
      </c>
      <c r="E435" s="2">
        <v>60</v>
      </c>
      <c r="F435" s="2">
        <f>D435*(E435*60)</f>
        <v>10836</v>
      </c>
      <c r="G435" s="2">
        <v>25</v>
      </c>
      <c r="H435" s="2">
        <v>1</v>
      </c>
      <c r="I435" s="2" t="s">
        <v>17</v>
      </c>
      <c r="J435" s="2" t="s">
        <v>18</v>
      </c>
      <c r="K435" s="2">
        <v>120</v>
      </c>
    </row>
    <row r="436" spans="1:11" x14ac:dyDescent="0.15">
      <c r="A436" s="2">
        <v>7</v>
      </c>
      <c r="B436" s="3">
        <v>41781</v>
      </c>
      <c r="C436" s="2" t="s">
        <v>63</v>
      </c>
      <c r="D436" s="2">
        <v>3.01</v>
      </c>
      <c r="E436" s="2">
        <v>60</v>
      </c>
      <c r="F436" s="2">
        <f>D436*(E436*60)</f>
        <v>10836</v>
      </c>
      <c r="G436" s="2">
        <v>25</v>
      </c>
      <c r="H436" s="2">
        <v>1</v>
      </c>
      <c r="I436" s="2" t="s">
        <v>29</v>
      </c>
      <c r="J436" s="2" t="s">
        <v>67</v>
      </c>
      <c r="K436" s="2">
        <v>2</v>
      </c>
    </row>
    <row r="437" spans="1:11" x14ac:dyDescent="0.15">
      <c r="A437" s="2">
        <v>7</v>
      </c>
      <c r="B437" s="3">
        <v>41781</v>
      </c>
      <c r="C437" s="2" t="s">
        <v>63</v>
      </c>
      <c r="D437" s="2">
        <v>3.01</v>
      </c>
      <c r="E437" s="2">
        <v>60</v>
      </c>
      <c r="F437" s="2">
        <f>D437*(E437*60)</f>
        <v>10836</v>
      </c>
      <c r="G437" s="2">
        <v>25</v>
      </c>
      <c r="H437" s="2">
        <v>1</v>
      </c>
      <c r="I437" s="2" t="s">
        <v>19</v>
      </c>
      <c r="K437" s="2">
        <v>4</v>
      </c>
    </row>
    <row r="438" spans="1:11" x14ac:dyDescent="0.15">
      <c r="A438" s="2">
        <v>7</v>
      </c>
      <c r="B438" s="3">
        <v>41781</v>
      </c>
      <c r="C438" s="2" t="s">
        <v>63</v>
      </c>
      <c r="D438" s="2">
        <v>3.01</v>
      </c>
      <c r="E438" s="2">
        <v>60</v>
      </c>
      <c r="F438" s="2">
        <f>D438*(E438*60)</f>
        <v>10836</v>
      </c>
      <c r="G438" s="2">
        <v>25</v>
      </c>
      <c r="H438" s="2">
        <v>1</v>
      </c>
      <c r="I438" s="2" t="s">
        <v>44</v>
      </c>
      <c r="K438" s="2">
        <v>4</v>
      </c>
    </row>
    <row r="439" spans="1:11" x14ac:dyDescent="0.15">
      <c r="A439" s="2">
        <v>7</v>
      </c>
      <c r="B439" s="3">
        <v>41781</v>
      </c>
      <c r="C439" s="2" t="s">
        <v>63</v>
      </c>
      <c r="D439" s="2">
        <v>3.01</v>
      </c>
      <c r="E439" s="2">
        <v>60</v>
      </c>
      <c r="F439" s="2">
        <f>D439*(E439*60)</f>
        <v>10836</v>
      </c>
      <c r="G439" s="2">
        <v>25</v>
      </c>
      <c r="H439" s="2">
        <v>1</v>
      </c>
      <c r="I439" s="2" t="s">
        <v>69</v>
      </c>
      <c r="K439" s="2">
        <v>9</v>
      </c>
    </row>
    <row r="440" spans="1:11" x14ac:dyDescent="0.15">
      <c r="A440" s="2">
        <v>7</v>
      </c>
      <c r="B440" s="3">
        <v>41781</v>
      </c>
      <c r="C440" s="2" t="s">
        <v>63</v>
      </c>
      <c r="D440" s="2">
        <v>3.01</v>
      </c>
      <c r="E440" s="2">
        <v>60</v>
      </c>
      <c r="F440" s="2">
        <f>D440*(E440*60)</f>
        <v>10836</v>
      </c>
      <c r="G440" s="2">
        <v>25</v>
      </c>
      <c r="H440" s="2">
        <v>1</v>
      </c>
      <c r="I440" s="2" t="s">
        <v>47</v>
      </c>
      <c r="K440" s="2">
        <v>2</v>
      </c>
    </row>
    <row r="441" spans="1:11" x14ac:dyDescent="0.15">
      <c r="A441" s="2">
        <v>7</v>
      </c>
      <c r="B441" s="3">
        <v>41781</v>
      </c>
      <c r="C441" s="2" t="s">
        <v>63</v>
      </c>
      <c r="D441" s="2">
        <v>3.01</v>
      </c>
      <c r="E441" s="2">
        <v>60</v>
      </c>
      <c r="F441" s="2">
        <f>D441*(E441*60)</f>
        <v>10836</v>
      </c>
      <c r="G441" s="2">
        <v>25</v>
      </c>
      <c r="H441" s="2">
        <v>1</v>
      </c>
      <c r="I441" s="2" t="s">
        <v>28</v>
      </c>
      <c r="K441" s="2">
        <v>2</v>
      </c>
    </row>
    <row r="442" spans="1:11" x14ac:dyDescent="0.15">
      <c r="A442" s="2">
        <v>7</v>
      </c>
      <c r="B442" s="3">
        <v>41781</v>
      </c>
      <c r="C442" s="2" t="s">
        <v>63</v>
      </c>
      <c r="D442" s="2">
        <v>3.01</v>
      </c>
      <c r="E442" s="2">
        <v>60</v>
      </c>
      <c r="F442" s="2">
        <f>D442*(E442*60)</f>
        <v>10836</v>
      </c>
      <c r="G442" s="2">
        <v>25</v>
      </c>
      <c r="H442" s="2">
        <v>1</v>
      </c>
      <c r="I442" s="2" t="s">
        <v>16</v>
      </c>
      <c r="K442" s="2">
        <v>1</v>
      </c>
    </row>
    <row r="443" spans="1:11" x14ac:dyDescent="0.15">
      <c r="A443" s="2">
        <v>7</v>
      </c>
      <c r="B443" s="3">
        <v>41781</v>
      </c>
      <c r="C443" s="2" t="s">
        <v>63</v>
      </c>
      <c r="D443" s="2">
        <v>3.01</v>
      </c>
      <c r="E443" s="2">
        <v>60</v>
      </c>
      <c r="F443" s="2">
        <f>D443*(E443*60)</f>
        <v>10836</v>
      </c>
      <c r="G443" s="2">
        <v>25</v>
      </c>
      <c r="H443" s="2">
        <v>1</v>
      </c>
      <c r="I443" s="2" t="s">
        <v>47</v>
      </c>
      <c r="J443" s="2" t="s">
        <v>64</v>
      </c>
      <c r="K443" s="2">
        <v>1</v>
      </c>
    </row>
    <row r="444" spans="1:11" x14ac:dyDescent="0.15">
      <c r="A444" s="2">
        <v>7</v>
      </c>
      <c r="B444" s="3">
        <v>41781</v>
      </c>
      <c r="C444" s="2" t="s">
        <v>63</v>
      </c>
      <c r="D444" s="2">
        <v>3.01</v>
      </c>
      <c r="E444" s="2">
        <v>60</v>
      </c>
      <c r="F444" s="2">
        <f>D444*(E444*60)</f>
        <v>10836</v>
      </c>
      <c r="G444" s="2">
        <v>25</v>
      </c>
      <c r="H444" s="2">
        <v>1</v>
      </c>
      <c r="I444" s="2" t="s">
        <v>29</v>
      </c>
      <c r="J444" s="2" t="s">
        <v>33</v>
      </c>
      <c r="K444" s="2">
        <v>1</v>
      </c>
    </row>
    <row r="445" spans="1:11" x14ac:dyDescent="0.15">
      <c r="A445" s="2">
        <v>7</v>
      </c>
      <c r="B445" s="3">
        <v>41781</v>
      </c>
      <c r="C445" s="2" t="s">
        <v>63</v>
      </c>
      <c r="D445" s="2">
        <v>3.01</v>
      </c>
      <c r="E445" s="2">
        <v>60</v>
      </c>
      <c r="F445" s="2">
        <f>D445*(E445*60)</f>
        <v>10836</v>
      </c>
      <c r="G445" s="2">
        <v>25</v>
      </c>
      <c r="H445" s="2">
        <v>1</v>
      </c>
      <c r="I445" s="2" t="s">
        <v>51</v>
      </c>
      <c r="K445" s="2">
        <v>2</v>
      </c>
    </row>
    <row r="446" spans="1:11" x14ac:dyDescent="0.15">
      <c r="A446" s="2">
        <v>17</v>
      </c>
      <c r="B446" s="3">
        <v>41781</v>
      </c>
      <c r="C446" s="2" t="s">
        <v>71</v>
      </c>
      <c r="D446" s="2">
        <v>1.9650000000000001</v>
      </c>
      <c r="E446" s="2">
        <v>60</v>
      </c>
      <c r="F446" s="2">
        <f>D446*(E446*60)</f>
        <v>7074</v>
      </c>
      <c r="G446" s="2">
        <v>5</v>
      </c>
      <c r="H446" s="2">
        <v>1</v>
      </c>
      <c r="I446" s="2" t="s">
        <v>76</v>
      </c>
      <c r="K446" s="2">
        <v>8</v>
      </c>
    </row>
    <row r="447" spans="1:11" x14ac:dyDescent="0.15">
      <c r="A447" s="2">
        <v>17</v>
      </c>
      <c r="B447" s="3">
        <v>41781</v>
      </c>
      <c r="C447" s="2" t="s">
        <v>71</v>
      </c>
      <c r="D447" s="2">
        <v>1.9650000000000001</v>
      </c>
      <c r="E447" s="2">
        <v>60</v>
      </c>
      <c r="F447" s="2">
        <f>D447*(E447*60)</f>
        <v>7074</v>
      </c>
      <c r="G447" s="2">
        <v>5</v>
      </c>
      <c r="H447" s="2">
        <v>1</v>
      </c>
      <c r="I447" s="2" t="s">
        <v>17</v>
      </c>
      <c r="J447" s="2" t="s">
        <v>18</v>
      </c>
      <c r="K447" s="2">
        <v>45</v>
      </c>
    </row>
    <row r="448" spans="1:11" x14ac:dyDescent="0.15">
      <c r="A448" s="2">
        <v>17</v>
      </c>
      <c r="B448" s="3">
        <v>41781</v>
      </c>
      <c r="C448" s="2" t="s">
        <v>71</v>
      </c>
      <c r="D448" s="2">
        <v>1.9650000000000001</v>
      </c>
      <c r="E448" s="2">
        <v>60</v>
      </c>
      <c r="F448" s="2">
        <f>D448*(E448*60)</f>
        <v>7074</v>
      </c>
      <c r="G448" s="2">
        <v>5</v>
      </c>
      <c r="H448" s="2">
        <v>1</v>
      </c>
      <c r="I448" s="2" t="s">
        <v>19</v>
      </c>
      <c r="K448" s="2">
        <v>2</v>
      </c>
    </row>
    <row r="449" spans="1:11" x14ac:dyDescent="0.15">
      <c r="A449" s="2">
        <v>17</v>
      </c>
      <c r="B449" s="3">
        <v>41781</v>
      </c>
      <c r="C449" s="2" t="s">
        <v>71</v>
      </c>
      <c r="D449" s="2">
        <v>1.9650000000000001</v>
      </c>
      <c r="E449" s="2">
        <v>60</v>
      </c>
      <c r="F449" s="2">
        <f>D449*(E449*60)</f>
        <v>7074</v>
      </c>
      <c r="G449" s="2">
        <v>5</v>
      </c>
      <c r="H449" s="2">
        <v>1</v>
      </c>
      <c r="I449" s="2" t="s">
        <v>13</v>
      </c>
      <c r="J449" s="2" t="s">
        <v>15</v>
      </c>
      <c r="K449" s="2">
        <v>11</v>
      </c>
    </row>
    <row r="450" spans="1:11" x14ac:dyDescent="0.15">
      <c r="A450" s="2">
        <v>17</v>
      </c>
      <c r="B450" s="3">
        <v>41781</v>
      </c>
      <c r="C450" s="2" t="s">
        <v>71</v>
      </c>
      <c r="D450" s="2">
        <v>1.9650000000000001</v>
      </c>
      <c r="E450" s="2">
        <v>60</v>
      </c>
      <c r="F450" s="2">
        <f>D450*(E450*60)</f>
        <v>7074</v>
      </c>
      <c r="G450" s="2">
        <v>5</v>
      </c>
      <c r="H450" s="2">
        <v>1</v>
      </c>
      <c r="I450" s="2" t="s">
        <v>68</v>
      </c>
      <c r="K450" s="2">
        <v>2</v>
      </c>
    </row>
    <row r="451" spans="1:11" x14ac:dyDescent="0.15">
      <c r="A451" s="2">
        <v>17</v>
      </c>
      <c r="B451" s="3">
        <v>41781</v>
      </c>
      <c r="C451" s="2" t="s">
        <v>71</v>
      </c>
      <c r="D451" s="2">
        <v>1.9650000000000001</v>
      </c>
      <c r="E451" s="2">
        <v>60</v>
      </c>
      <c r="F451" s="2">
        <f>D451*(E451*60)</f>
        <v>7074</v>
      </c>
      <c r="G451" s="2">
        <v>5</v>
      </c>
      <c r="H451" s="2">
        <v>1</v>
      </c>
      <c r="I451" s="2" t="s">
        <v>47</v>
      </c>
      <c r="J451" s="2" t="s">
        <v>48</v>
      </c>
      <c r="K451" s="2">
        <v>121</v>
      </c>
    </row>
    <row r="452" spans="1:11" x14ac:dyDescent="0.15">
      <c r="A452" s="2">
        <v>17</v>
      </c>
      <c r="B452" s="3">
        <v>41781</v>
      </c>
      <c r="C452" s="2" t="s">
        <v>71</v>
      </c>
      <c r="D452" s="2">
        <v>1.9650000000000001</v>
      </c>
      <c r="E452" s="2">
        <v>60</v>
      </c>
      <c r="F452" s="2">
        <f>D452*(E452*60)</f>
        <v>7074</v>
      </c>
      <c r="G452" s="2">
        <v>5</v>
      </c>
      <c r="H452" s="2">
        <v>1</v>
      </c>
      <c r="I452" s="2" t="s">
        <v>47</v>
      </c>
      <c r="J452" s="2" t="s">
        <v>64</v>
      </c>
      <c r="K452" s="2">
        <v>2</v>
      </c>
    </row>
    <row r="453" spans="1:11" x14ac:dyDescent="0.15">
      <c r="A453" s="2">
        <v>17</v>
      </c>
      <c r="B453" s="3">
        <v>41781</v>
      </c>
      <c r="C453" s="2" t="s">
        <v>71</v>
      </c>
      <c r="D453" s="2">
        <v>1.9650000000000001</v>
      </c>
      <c r="E453" s="2">
        <v>60</v>
      </c>
      <c r="F453" s="2">
        <f>D453*(E453*60)</f>
        <v>7074</v>
      </c>
      <c r="G453" s="2">
        <v>5</v>
      </c>
      <c r="H453" s="2">
        <v>1</v>
      </c>
      <c r="I453" s="2" t="s">
        <v>47</v>
      </c>
      <c r="K453" s="2">
        <v>2</v>
      </c>
    </row>
    <row r="454" spans="1:11" x14ac:dyDescent="0.15">
      <c r="A454" s="2">
        <v>17</v>
      </c>
      <c r="B454" s="3">
        <v>41781</v>
      </c>
      <c r="C454" s="2" t="s">
        <v>71</v>
      </c>
      <c r="D454" s="2">
        <v>1.9650000000000001</v>
      </c>
      <c r="E454" s="2">
        <v>60</v>
      </c>
      <c r="F454" s="2">
        <f>D454*(E454*60)</f>
        <v>7074</v>
      </c>
      <c r="G454" s="2">
        <v>5</v>
      </c>
      <c r="H454" s="2">
        <v>1</v>
      </c>
      <c r="I454" s="2" t="s">
        <v>26</v>
      </c>
      <c r="K454" s="2">
        <v>22</v>
      </c>
    </row>
    <row r="455" spans="1:11" x14ac:dyDescent="0.15">
      <c r="A455" s="2">
        <v>17</v>
      </c>
      <c r="B455" s="3">
        <v>41781</v>
      </c>
      <c r="C455" s="2" t="s">
        <v>71</v>
      </c>
      <c r="D455" s="2">
        <v>1.9650000000000001</v>
      </c>
      <c r="E455" s="2">
        <v>60</v>
      </c>
      <c r="F455" s="2">
        <f>D455*(E455*60)</f>
        <v>7074</v>
      </c>
      <c r="G455" s="2">
        <v>5</v>
      </c>
      <c r="H455" s="2">
        <v>1</v>
      </c>
      <c r="I455" s="2" t="s">
        <v>29</v>
      </c>
      <c r="J455" s="2" t="s">
        <v>67</v>
      </c>
      <c r="K455" s="2">
        <v>1</v>
      </c>
    </row>
    <row r="456" spans="1:11" x14ac:dyDescent="0.15">
      <c r="A456" s="2">
        <v>17</v>
      </c>
      <c r="B456" s="3">
        <v>41781</v>
      </c>
      <c r="C456" s="2" t="s">
        <v>71</v>
      </c>
      <c r="D456" s="2">
        <v>1.9650000000000001</v>
      </c>
      <c r="E456" s="2">
        <v>60</v>
      </c>
      <c r="F456" s="2">
        <f>D456*(E456*60)</f>
        <v>7074</v>
      </c>
      <c r="G456" s="2">
        <v>5</v>
      </c>
      <c r="H456" s="2">
        <v>1</v>
      </c>
      <c r="I456" s="2" t="s">
        <v>29</v>
      </c>
      <c r="K456" s="2">
        <v>8</v>
      </c>
    </row>
    <row r="457" spans="1:11" x14ac:dyDescent="0.15">
      <c r="A457" s="2">
        <v>17</v>
      </c>
      <c r="B457" s="3">
        <v>41781</v>
      </c>
      <c r="C457" s="2" t="s">
        <v>71</v>
      </c>
      <c r="D457" s="2">
        <v>1.9650000000000001</v>
      </c>
      <c r="E457" s="2">
        <v>60</v>
      </c>
      <c r="F457" s="2">
        <f>D457*(E457*60)</f>
        <v>7074</v>
      </c>
      <c r="G457" s="2">
        <v>5</v>
      </c>
      <c r="H457" s="2">
        <v>1</v>
      </c>
      <c r="I457" s="2" t="s">
        <v>42</v>
      </c>
      <c r="J457" s="2" t="s">
        <v>43</v>
      </c>
      <c r="K457" s="2">
        <v>6</v>
      </c>
    </row>
    <row r="458" spans="1:11" x14ac:dyDescent="0.15">
      <c r="A458" s="2">
        <v>17</v>
      </c>
      <c r="B458" s="3">
        <v>41781</v>
      </c>
      <c r="C458" s="2" t="s">
        <v>71</v>
      </c>
      <c r="D458" s="2">
        <v>1.9650000000000001</v>
      </c>
      <c r="E458" s="2">
        <v>60</v>
      </c>
      <c r="F458" s="2">
        <f>D458*(E458*60)</f>
        <v>7074</v>
      </c>
      <c r="G458" s="2">
        <v>5</v>
      </c>
      <c r="H458" s="2">
        <v>1</v>
      </c>
      <c r="I458" s="2" t="s">
        <v>44</v>
      </c>
      <c r="K458" s="2">
        <v>5</v>
      </c>
    </row>
    <row r="459" spans="1:11" x14ac:dyDescent="0.15">
      <c r="A459" s="2">
        <v>17</v>
      </c>
      <c r="B459" s="3">
        <v>41781</v>
      </c>
      <c r="C459" s="2" t="s">
        <v>71</v>
      </c>
      <c r="D459" s="2">
        <v>1.9650000000000001</v>
      </c>
      <c r="E459" s="2">
        <v>60</v>
      </c>
      <c r="F459" s="2">
        <f>D459*(E459*60)</f>
        <v>7074</v>
      </c>
      <c r="G459" s="2">
        <v>5</v>
      </c>
      <c r="H459" s="2">
        <v>1</v>
      </c>
      <c r="I459" s="2" t="s">
        <v>50</v>
      </c>
      <c r="K459" s="2">
        <v>18</v>
      </c>
    </row>
    <row r="460" spans="1:11" x14ac:dyDescent="0.15">
      <c r="A460" s="2">
        <v>17</v>
      </c>
      <c r="B460" s="3">
        <v>41781</v>
      </c>
      <c r="C460" s="2" t="s">
        <v>71</v>
      </c>
      <c r="D460" s="2">
        <v>1.9650000000000001</v>
      </c>
      <c r="E460" s="2">
        <v>60</v>
      </c>
      <c r="F460" s="2">
        <f>D460*(E460*60)</f>
        <v>7074</v>
      </c>
      <c r="G460" s="2">
        <v>5</v>
      </c>
      <c r="H460" s="2">
        <v>1</v>
      </c>
      <c r="I460" s="2" t="s">
        <v>25</v>
      </c>
      <c r="K460" s="2">
        <v>1</v>
      </c>
    </row>
    <row r="461" spans="1:11" x14ac:dyDescent="0.15">
      <c r="A461" s="2">
        <v>17</v>
      </c>
      <c r="B461" s="3">
        <v>41781</v>
      </c>
      <c r="C461" s="2" t="s">
        <v>71</v>
      </c>
      <c r="D461" s="2">
        <v>1.9650000000000001</v>
      </c>
      <c r="E461" s="2">
        <v>60</v>
      </c>
      <c r="F461" s="2">
        <f>D461*(E461*60)</f>
        <v>7074</v>
      </c>
      <c r="G461" s="2">
        <v>5</v>
      </c>
      <c r="H461" s="2">
        <v>1</v>
      </c>
      <c r="I461" s="2" t="s">
        <v>51</v>
      </c>
      <c r="K461" s="2">
        <v>5</v>
      </c>
    </row>
    <row r="462" spans="1:11" x14ac:dyDescent="0.15">
      <c r="A462" s="2">
        <v>16</v>
      </c>
      <c r="B462" s="3">
        <v>41820</v>
      </c>
      <c r="C462" s="2" t="s">
        <v>63</v>
      </c>
      <c r="D462" s="2">
        <v>0.7</v>
      </c>
      <c r="E462" s="2">
        <v>60</v>
      </c>
      <c r="F462" s="2">
        <f>D462*(E462*60)</f>
        <v>2520</v>
      </c>
      <c r="G462" s="2">
        <v>5</v>
      </c>
      <c r="H462" s="2">
        <v>1</v>
      </c>
      <c r="I462" s="2" t="s">
        <v>76</v>
      </c>
      <c r="K462" s="2">
        <v>1</v>
      </c>
    </row>
    <row r="463" spans="1:11" x14ac:dyDescent="0.15">
      <c r="A463" s="2">
        <v>16</v>
      </c>
      <c r="B463" s="3">
        <v>41820</v>
      </c>
      <c r="C463" s="2" t="s">
        <v>63</v>
      </c>
      <c r="D463" s="2">
        <v>0.7</v>
      </c>
      <c r="E463" s="2">
        <v>60</v>
      </c>
      <c r="F463" s="2">
        <f>D463*(E463*60)</f>
        <v>2520</v>
      </c>
      <c r="G463" s="2">
        <v>5</v>
      </c>
      <c r="H463" s="2">
        <v>1</v>
      </c>
      <c r="I463" s="2" t="s">
        <v>13</v>
      </c>
      <c r="J463" s="2" t="s">
        <v>15</v>
      </c>
      <c r="K463" s="2">
        <v>12</v>
      </c>
    </row>
    <row r="464" spans="1:11" x14ac:dyDescent="0.15">
      <c r="A464" s="2">
        <v>16</v>
      </c>
      <c r="B464" s="3">
        <v>41820</v>
      </c>
      <c r="C464" s="2" t="s">
        <v>63</v>
      </c>
      <c r="D464" s="2">
        <v>0.7</v>
      </c>
      <c r="E464" s="2">
        <v>60</v>
      </c>
      <c r="F464" s="2">
        <f>D464*(E464*60)</f>
        <v>2520</v>
      </c>
      <c r="G464" s="2">
        <v>5</v>
      </c>
      <c r="H464" s="2">
        <v>1</v>
      </c>
      <c r="I464" s="2" t="s">
        <v>74</v>
      </c>
      <c r="K464" s="2">
        <v>2</v>
      </c>
    </row>
    <row r="465" spans="1:11" x14ac:dyDescent="0.15">
      <c r="A465" s="2">
        <v>16</v>
      </c>
      <c r="B465" s="3">
        <v>41820</v>
      </c>
      <c r="C465" s="2" t="s">
        <v>63</v>
      </c>
      <c r="D465" s="2">
        <v>0.7</v>
      </c>
      <c r="E465" s="2">
        <v>60</v>
      </c>
      <c r="F465" s="2">
        <f>D465*(E465*60)</f>
        <v>2520</v>
      </c>
      <c r="G465" s="2">
        <v>5</v>
      </c>
      <c r="H465" s="2">
        <v>1</v>
      </c>
      <c r="I465" s="2" t="s">
        <v>68</v>
      </c>
      <c r="K465" s="2">
        <v>1</v>
      </c>
    </row>
    <row r="466" spans="1:11" x14ac:dyDescent="0.15">
      <c r="A466" s="2">
        <v>16</v>
      </c>
      <c r="B466" s="3">
        <v>41820</v>
      </c>
      <c r="C466" s="2" t="s">
        <v>63</v>
      </c>
      <c r="D466" s="2">
        <v>0.7</v>
      </c>
      <c r="E466" s="2">
        <v>60</v>
      </c>
      <c r="F466" s="2">
        <f>D466*(E466*60)</f>
        <v>2520</v>
      </c>
      <c r="G466" s="2">
        <v>5</v>
      </c>
      <c r="H466" s="2">
        <v>1</v>
      </c>
      <c r="I466" s="2" t="s">
        <v>22</v>
      </c>
      <c r="K466" s="2">
        <v>23</v>
      </c>
    </row>
    <row r="467" spans="1:11" x14ac:dyDescent="0.15">
      <c r="A467" s="2">
        <v>16</v>
      </c>
      <c r="B467" s="3">
        <v>41820</v>
      </c>
      <c r="C467" s="2" t="s">
        <v>63</v>
      </c>
      <c r="D467" s="2">
        <v>0.7</v>
      </c>
      <c r="E467" s="2">
        <v>60</v>
      </c>
      <c r="F467" s="2">
        <f>D467*(E467*60)</f>
        <v>2520</v>
      </c>
      <c r="G467" s="2">
        <v>5</v>
      </c>
      <c r="H467" s="2">
        <v>1</v>
      </c>
      <c r="I467" s="2" t="s">
        <v>47</v>
      </c>
      <c r="J467" s="2" t="s">
        <v>48</v>
      </c>
      <c r="K467" s="2">
        <v>71</v>
      </c>
    </row>
    <row r="468" spans="1:11" x14ac:dyDescent="0.15">
      <c r="A468" s="2">
        <v>16</v>
      </c>
      <c r="B468" s="3">
        <v>41820</v>
      </c>
      <c r="C468" s="2" t="s">
        <v>63</v>
      </c>
      <c r="D468" s="2">
        <v>0.7</v>
      </c>
      <c r="E468" s="2">
        <v>60</v>
      </c>
      <c r="F468" s="2">
        <f>D468*(E468*60)</f>
        <v>2520</v>
      </c>
      <c r="G468" s="2">
        <v>5</v>
      </c>
      <c r="H468" s="2">
        <v>1</v>
      </c>
      <c r="I468" s="2" t="s">
        <v>47</v>
      </c>
      <c r="J468" s="2" t="s">
        <v>64</v>
      </c>
      <c r="K468" s="2">
        <v>9</v>
      </c>
    </row>
    <row r="469" spans="1:11" x14ac:dyDescent="0.15">
      <c r="A469" s="2">
        <v>16</v>
      </c>
      <c r="B469" s="3">
        <v>41820</v>
      </c>
      <c r="C469" s="2" t="s">
        <v>63</v>
      </c>
      <c r="D469" s="2">
        <v>0.7</v>
      </c>
      <c r="E469" s="2">
        <v>60</v>
      </c>
      <c r="F469" s="2">
        <f>D469*(E469*60)</f>
        <v>2520</v>
      </c>
      <c r="G469" s="2">
        <v>5</v>
      </c>
      <c r="H469" s="2">
        <v>1</v>
      </c>
      <c r="I469" s="2" t="s">
        <v>26</v>
      </c>
      <c r="K469" s="2">
        <v>20</v>
      </c>
    </row>
    <row r="470" spans="1:11" x14ac:dyDescent="0.15">
      <c r="A470" s="2">
        <v>16</v>
      </c>
      <c r="B470" s="3">
        <v>41820</v>
      </c>
      <c r="C470" s="2" t="s">
        <v>63</v>
      </c>
      <c r="D470" s="2">
        <v>0.7</v>
      </c>
      <c r="E470" s="2">
        <v>60</v>
      </c>
      <c r="F470" s="2">
        <f>D470*(E470*60)</f>
        <v>2520</v>
      </c>
      <c r="G470" s="2">
        <v>5</v>
      </c>
      <c r="H470" s="2">
        <v>1</v>
      </c>
      <c r="I470" s="2" t="s">
        <v>29</v>
      </c>
      <c r="K470" s="2">
        <v>7</v>
      </c>
    </row>
    <row r="471" spans="1:11" x14ac:dyDescent="0.15">
      <c r="A471" s="2">
        <v>16</v>
      </c>
      <c r="B471" s="3">
        <v>41820</v>
      </c>
      <c r="C471" s="2" t="s">
        <v>63</v>
      </c>
      <c r="D471" s="2">
        <v>0.7</v>
      </c>
      <c r="E471" s="2">
        <v>60</v>
      </c>
      <c r="F471" s="2">
        <f>D471*(E471*60)</f>
        <v>2520</v>
      </c>
      <c r="G471" s="2">
        <v>5</v>
      </c>
      <c r="H471" s="2">
        <v>1</v>
      </c>
      <c r="I471" s="2" t="s">
        <v>29</v>
      </c>
      <c r="J471" s="2" t="s">
        <v>33</v>
      </c>
      <c r="K471" s="2">
        <v>9</v>
      </c>
    </row>
    <row r="472" spans="1:11" x14ac:dyDescent="0.15">
      <c r="A472" s="2">
        <v>16</v>
      </c>
      <c r="B472" s="3">
        <v>41820</v>
      </c>
      <c r="C472" s="2" t="s">
        <v>63</v>
      </c>
      <c r="D472" s="2">
        <v>0.7</v>
      </c>
      <c r="E472" s="2">
        <v>60</v>
      </c>
      <c r="F472" s="2">
        <f>D472*(E472*60)</f>
        <v>2520</v>
      </c>
      <c r="G472" s="2">
        <v>5</v>
      </c>
      <c r="H472" s="2">
        <v>1</v>
      </c>
      <c r="I472" s="2" t="s">
        <v>36</v>
      </c>
      <c r="K472" s="2">
        <v>3</v>
      </c>
    </row>
    <row r="473" spans="1:11" x14ac:dyDescent="0.15">
      <c r="A473" s="2">
        <v>16</v>
      </c>
      <c r="B473" s="3">
        <v>41820</v>
      </c>
      <c r="C473" s="2" t="s">
        <v>63</v>
      </c>
      <c r="D473" s="2">
        <v>0.7</v>
      </c>
      <c r="E473" s="2">
        <v>60</v>
      </c>
      <c r="F473" s="2">
        <f>D473*(E473*60)</f>
        <v>2520</v>
      </c>
      <c r="G473" s="2">
        <v>5</v>
      </c>
      <c r="H473" s="2">
        <v>1</v>
      </c>
      <c r="I473" s="2" t="s">
        <v>19</v>
      </c>
      <c r="K473" s="2">
        <v>2</v>
      </c>
    </row>
    <row r="474" spans="1:11" x14ac:dyDescent="0.15">
      <c r="A474" s="2">
        <v>16</v>
      </c>
      <c r="B474" s="3">
        <v>41820</v>
      </c>
      <c r="C474" s="2" t="s">
        <v>63</v>
      </c>
      <c r="D474" s="2">
        <v>0.7</v>
      </c>
      <c r="E474" s="2">
        <v>60</v>
      </c>
      <c r="F474" s="2">
        <f>D474*(E474*60)</f>
        <v>2520</v>
      </c>
      <c r="G474" s="2">
        <v>5</v>
      </c>
      <c r="H474" s="2">
        <v>1</v>
      </c>
      <c r="I474" s="2" t="s">
        <v>47</v>
      </c>
      <c r="K474" s="2">
        <v>3</v>
      </c>
    </row>
    <row r="475" spans="1:11" x14ac:dyDescent="0.15">
      <c r="A475" s="2">
        <v>16</v>
      </c>
      <c r="B475" s="3">
        <v>41820</v>
      </c>
      <c r="C475" s="2" t="s">
        <v>63</v>
      </c>
      <c r="D475" s="2">
        <v>0.7</v>
      </c>
      <c r="E475" s="2">
        <v>60</v>
      </c>
      <c r="F475" s="2">
        <f>D475*(E475*60)</f>
        <v>2520</v>
      </c>
      <c r="G475" s="2">
        <v>5</v>
      </c>
      <c r="H475" s="2">
        <v>1</v>
      </c>
      <c r="I475" s="2" t="s">
        <v>42</v>
      </c>
      <c r="J475" s="2" t="s">
        <v>43</v>
      </c>
      <c r="K475" s="2">
        <v>2</v>
      </c>
    </row>
    <row r="476" spans="1:11" x14ac:dyDescent="0.15">
      <c r="A476" s="2">
        <v>16</v>
      </c>
      <c r="B476" s="3">
        <v>41820</v>
      </c>
      <c r="C476" s="2" t="s">
        <v>63</v>
      </c>
      <c r="D476" s="2">
        <v>0.7</v>
      </c>
      <c r="E476" s="2">
        <v>60</v>
      </c>
      <c r="F476" s="2">
        <f>D476*(E476*60)</f>
        <v>2520</v>
      </c>
      <c r="G476" s="2">
        <v>5</v>
      </c>
      <c r="H476" s="2">
        <v>1</v>
      </c>
      <c r="I476" s="2" t="s">
        <v>50</v>
      </c>
      <c r="K476" s="2">
        <v>5</v>
      </c>
    </row>
    <row r="477" spans="1:11" x14ac:dyDescent="0.15">
      <c r="A477" s="2">
        <v>16</v>
      </c>
      <c r="B477" s="3">
        <v>41820</v>
      </c>
      <c r="C477" s="2" t="s">
        <v>63</v>
      </c>
      <c r="D477" s="2">
        <v>0.7</v>
      </c>
      <c r="E477" s="2">
        <v>60</v>
      </c>
      <c r="F477" s="2">
        <f>D477*(E477*60)</f>
        <v>2520</v>
      </c>
      <c r="G477" s="2">
        <v>5</v>
      </c>
      <c r="H477" s="2">
        <v>1</v>
      </c>
      <c r="I477" s="2" t="s">
        <v>28</v>
      </c>
      <c r="K477" s="2">
        <v>5</v>
      </c>
    </row>
    <row r="478" spans="1:11" x14ac:dyDescent="0.15">
      <c r="A478" s="2">
        <v>16</v>
      </c>
      <c r="B478" s="3">
        <v>41820</v>
      </c>
      <c r="C478" s="2" t="s">
        <v>63</v>
      </c>
      <c r="D478" s="2">
        <v>0.7</v>
      </c>
      <c r="E478" s="2">
        <v>60</v>
      </c>
      <c r="F478" s="2">
        <f>D478*(E478*60)</f>
        <v>2520</v>
      </c>
      <c r="G478" s="2">
        <v>5</v>
      </c>
      <c r="H478" s="2">
        <v>1</v>
      </c>
      <c r="I478" s="2" t="s">
        <v>44</v>
      </c>
      <c r="K478" s="2">
        <v>29</v>
      </c>
    </row>
    <row r="479" spans="1:11" x14ac:dyDescent="0.15">
      <c r="A479" s="2">
        <v>8</v>
      </c>
      <c r="B479" s="3">
        <v>41820</v>
      </c>
      <c r="C479" s="2" t="s">
        <v>70</v>
      </c>
      <c r="D479" s="2">
        <v>1.26</v>
      </c>
      <c r="E479" s="2">
        <v>60</v>
      </c>
      <c r="F479" s="2">
        <f>D479*(E479*60)</f>
        <v>4536</v>
      </c>
      <c r="G479" s="2">
        <v>10</v>
      </c>
      <c r="H479" s="2">
        <v>1</v>
      </c>
      <c r="I479" s="2" t="s">
        <v>26</v>
      </c>
      <c r="K479" s="2">
        <v>3</v>
      </c>
    </row>
    <row r="480" spans="1:11" x14ac:dyDescent="0.15">
      <c r="A480" s="2">
        <v>8</v>
      </c>
      <c r="B480" s="3">
        <v>41820</v>
      </c>
      <c r="C480" s="2" t="s">
        <v>70</v>
      </c>
      <c r="D480" s="2">
        <v>1.26</v>
      </c>
      <c r="E480" s="2">
        <v>60</v>
      </c>
      <c r="F480" s="2">
        <f>D480*(E480*60)</f>
        <v>4536</v>
      </c>
      <c r="G480" s="2">
        <v>10</v>
      </c>
      <c r="H480" s="2">
        <v>1</v>
      </c>
      <c r="I480" s="2" t="s">
        <v>29</v>
      </c>
      <c r="K480" s="2">
        <v>23</v>
      </c>
    </row>
    <row r="481" spans="1:11" x14ac:dyDescent="0.15">
      <c r="A481" s="2">
        <v>8</v>
      </c>
      <c r="B481" s="3">
        <v>41820</v>
      </c>
      <c r="C481" s="2" t="s">
        <v>70</v>
      </c>
      <c r="D481" s="2">
        <v>1.26</v>
      </c>
      <c r="E481" s="2">
        <v>60</v>
      </c>
      <c r="F481" s="2">
        <f>D481*(E481*60)</f>
        <v>4536</v>
      </c>
      <c r="G481" s="2">
        <v>10</v>
      </c>
      <c r="H481" s="2">
        <v>1</v>
      </c>
      <c r="I481" s="2" t="s">
        <v>47</v>
      </c>
      <c r="J481" s="2" t="s">
        <v>48</v>
      </c>
      <c r="K481" s="2">
        <v>147</v>
      </c>
    </row>
    <row r="482" spans="1:11" x14ac:dyDescent="0.15">
      <c r="A482" s="2">
        <v>8</v>
      </c>
      <c r="B482" s="3">
        <v>41820</v>
      </c>
      <c r="C482" s="2" t="s">
        <v>70</v>
      </c>
      <c r="D482" s="2">
        <v>1.26</v>
      </c>
      <c r="E482" s="2">
        <v>60</v>
      </c>
      <c r="F482" s="2">
        <f>D482*(E482*60)</f>
        <v>4536</v>
      </c>
      <c r="G482" s="2">
        <v>10</v>
      </c>
      <c r="H482" s="2">
        <v>1</v>
      </c>
      <c r="I482" s="2" t="s">
        <v>47</v>
      </c>
      <c r="K482" s="2">
        <v>14</v>
      </c>
    </row>
    <row r="483" spans="1:11" x14ac:dyDescent="0.15">
      <c r="A483" s="2">
        <v>8</v>
      </c>
      <c r="B483" s="3">
        <v>41820</v>
      </c>
      <c r="C483" s="2" t="s">
        <v>70</v>
      </c>
      <c r="D483" s="2">
        <v>1.26</v>
      </c>
      <c r="E483" s="2">
        <v>60</v>
      </c>
      <c r="F483" s="2">
        <f>D483*(E483*60)</f>
        <v>4536</v>
      </c>
      <c r="G483" s="2">
        <v>10</v>
      </c>
      <c r="H483" s="2">
        <v>1</v>
      </c>
      <c r="I483" s="2" t="s">
        <v>13</v>
      </c>
      <c r="J483" s="2" t="s">
        <v>15</v>
      </c>
      <c r="K483" s="2">
        <v>4</v>
      </c>
    </row>
    <row r="484" spans="1:11" x14ac:dyDescent="0.15">
      <c r="A484" s="2">
        <v>8</v>
      </c>
      <c r="B484" s="3">
        <v>41820</v>
      </c>
      <c r="C484" s="2" t="s">
        <v>70</v>
      </c>
      <c r="D484" s="2">
        <v>1.26</v>
      </c>
      <c r="E484" s="2">
        <v>60</v>
      </c>
      <c r="F484" s="2">
        <f>D484*(E484*60)</f>
        <v>4536</v>
      </c>
      <c r="G484" s="2">
        <v>10</v>
      </c>
      <c r="H484" s="2">
        <v>1</v>
      </c>
      <c r="I484" s="2" t="s">
        <v>19</v>
      </c>
      <c r="K484" s="2">
        <v>1</v>
      </c>
    </row>
    <row r="485" spans="1:11" x14ac:dyDescent="0.15">
      <c r="A485" s="2">
        <v>8</v>
      </c>
      <c r="B485" s="3">
        <v>41820</v>
      </c>
      <c r="C485" s="2" t="s">
        <v>70</v>
      </c>
      <c r="D485" s="2">
        <v>1.26</v>
      </c>
      <c r="E485" s="2">
        <v>60</v>
      </c>
      <c r="F485" s="2">
        <f>D485*(E485*60)</f>
        <v>4536</v>
      </c>
      <c r="G485" s="2">
        <v>10</v>
      </c>
      <c r="H485" s="2">
        <v>1</v>
      </c>
      <c r="I485" s="2" t="s">
        <v>17</v>
      </c>
      <c r="J485" s="2" t="s">
        <v>18</v>
      </c>
      <c r="K485" s="2">
        <v>5</v>
      </c>
    </row>
    <row r="486" spans="1:11" x14ac:dyDescent="0.15">
      <c r="A486" s="2">
        <v>8</v>
      </c>
      <c r="B486" s="3">
        <v>41820</v>
      </c>
      <c r="C486" s="2" t="s">
        <v>70</v>
      </c>
      <c r="D486" s="2">
        <v>1.26</v>
      </c>
      <c r="E486" s="2">
        <v>60</v>
      </c>
      <c r="F486" s="2">
        <f>D486*(E486*60)</f>
        <v>4536</v>
      </c>
      <c r="G486" s="2">
        <v>10</v>
      </c>
      <c r="H486" s="2">
        <v>1</v>
      </c>
      <c r="I486" s="2" t="s">
        <v>36</v>
      </c>
      <c r="K486" s="2">
        <v>4</v>
      </c>
    </row>
    <row r="487" spans="1:11" x14ac:dyDescent="0.15">
      <c r="A487" s="2">
        <v>8</v>
      </c>
      <c r="B487" s="3">
        <v>41820</v>
      </c>
      <c r="C487" s="2" t="s">
        <v>70</v>
      </c>
      <c r="D487" s="2">
        <v>1.26</v>
      </c>
      <c r="E487" s="2">
        <v>60</v>
      </c>
      <c r="F487" s="2">
        <f>D487*(E487*60)</f>
        <v>4536</v>
      </c>
      <c r="G487" s="2">
        <v>10</v>
      </c>
      <c r="H487" s="2">
        <v>1</v>
      </c>
      <c r="I487" s="2" t="s">
        <v>42</v>
      </c>
      <c r="J487" s="2" t="s">
        <v>43</v>
      </c>
      <c r="K487" s="2">
        <v>5</v>
      </c>
    </row>
    <row r="488" spans="1:11" x14ac:dyDescent="0.15">
      <c r="A488" s="2">
        <v>8</v>
      </c>
      <c r="B488" s="3">
        <v>41820</v>
      </c>
      <c r="C488" s="2" t="s">
        <v>70</v>
      </c>
      <c r="D488" s="2">
        <v>1.26</v>
      </c>
      <c r="E488" s="2">
        <v>60</v>
      </c>
      <c r="F488" s="2">
        <f>D488*(E488*60)</f>
        <v>4536</v>
      </c>
      <c r="G488" s="2">
        <v>10</v>
      </c>
      <c r="H488" s="2">
        <v>1</v>
      </c>
      <c r="I488" s="2" t="s">
        <v>44</v>
      </c>
      <c r="K488" s="2">
        <v>6</v>
      </c>
    </row>
    <row r="489" spans="1:11" x14ac:dyDescent="0.15">
      <c r="A489" s="2">
        <v>8</v>
      </c>
      <c r="B489" s="3">
        <v>41820</v>
      </c>
      <c r="C489" s="2" t="s">
        <v>70</v>
      </c>
      <c r="D489" s="2">
        <v>1.26</v>
      </c>
      <c r="E489" s="2">
        <v>60</v>
      </c>
      <c r="F489" s="2">
        <f>D489*(E489*60)</f>
        <v>4536</v>
      </c>
      <c r="G489" s="2">
        <v>10</v>
      </c>
      <c r="H489" s="2">
        <v>1</v>
      </c>
      <c r="I489" s="2" t="s">
        <v>29</v>
      </c>
      <c r="J489" s="2" t="s">
        <v>33</v>
      </c>
      <c r="K489" s="2">
        <v>12</v>
      </c>
    </row>
    <row r="490" spans="1:11" x14ac:dyDescent="0.15">
      <c r="A490" s="2">
        <v>8</v>
      </c>
      <c r="B490" s="3">
        <v>41820</v>
      </c>
      <c r="C490" s="2" t="s">
        <v>70</v>
      </c>
      <c r="D490" s="2">
        <v>1.26</v>
      </c>
      <c r="E490" s="2">
        <v>60</v>
      </c>
      <c r="F490" s="2">
        <f>D490*(E490*60)</f>
        <v>4536</v>
      </c>
      <c r="G490" s="2">
        <v>10</v>
      </c>
      <c r="H490" s="2">
        <v>1</v>
      </c>
      <c r="I490" s="2" t="s">
        <v>29</v>
      </c>
      <c r="J490" s="2" t="s">
        <v>31</v>
      </c>
      <c r="K490" s="2">
        <v>1</v>
      </c>
    </row>
    <row r="491" spans="1:11" x14ac:dyDescent="0.15">
      <c r="A491" s="2">
        <v>8</v>
      </c>
      <c r="B491" s="3">
        <v>41820</v>
      </c>
      <c r="C491" s="2" t="s">
        <v>70</v>
      </c>
      <c r="D491" s="2">
        <v>1.26</v>
      </c>
      <c r="E491" s="2">
        <v>60</v>
      </c>
      <c r="F491" s="2">
        <f>D491*(E491*60)</f>
        <v>4536</v>
      </c>
      <c r="G491" s="2">
        <v>10</v>
      </c>
      <c r="H491" s="2">
        <v>1</v>
      </c>
      <c r="I491" s="2" t="s">
        <v>50</v>
      </c>
      <c r="K491" s="2">
        <v>1</v>
      </c>
    </row>
    <row r="492" spans="1:11" x14ac:dyDescent="0.15">
      <c r="A492" s="2">
        <v>8</v>
      </c>
      <c r="B492" s="3">
        <v>41820</v>
      </c>
      <c r="C492" s="2" t="s">
        <v>70</v>
      </c>
      <c r="D492" s="2">
        <v>1.26</v>
      </c>
      <c r="E492" s="2">
        <v>60</v>
      </c>
      <c r="F492" s="2">
        <f>D492*(E492*60)</f>
        <v>4536</v>
      </c>
      <c r="G492" s="2">
        <v>10</v>
      </c>
      <c r="H492" s="2">
        <v>1</v>
      </c>
      <c r="I492" s="2" t="s">
        <v>46</v>
      </c>
      <c r="K492" s="2">
        <v>1</v>
      </c>
    </row>
    <row r="493" spans="1:11" x14ac:dyDescent="0.15">
      <c r="A493" s="2">
        <v>8</v>
      </c>
      <c r="B493" s="3">
        <v>41820</v>
      </c>
      <c r="C493" s="2" t="s">
        <v>70</v>
      </c>
      <c r="D493" s="2">
        <v>1.26</v>
      </c>
      <c r="E493" s="2">
        <v>60</v>
      </c>
      <c r="F493" s="2">
        <f>D493*(E493*60)</f>
        <v>4536</v>
      </c>
      <c r="G493" s="2">
        <v>10</v>
      </c>
      <c r="H493" s="2">
        <v>1</v>
      </c>
      <c r="I493" s="2" t="s">
        <v>66</v>
      </c>
      <c r="K493" s="2">
        <v>1</v>
      </c>
    </row>
    <row r="494" spans="1:11" x14ac:dyDescent="0.15">
      <c r="A494" s="2">
        <v>8</v>
      </c>
      <c r="B494" s="3">
        <v>41820</v>
      </c>
      <c r="C494" s="2" t="s">
        <v>70</v>
      </c>
      <c r="D494" s="2">
        <v>1.26</v>
      </c>
      <c r="E494" s="2">
        <v>60</v>
      </c>
      <c r="F494" s="2">
        <f>D494*(E494*60)</f>
        <v>4536</v>
      </c>
      <c r="G494" s="2">
        <v>10</v>
      </c>
      <c r="H494" s="2">
        <v>1</v>
      </c>
      <c r="I494" s="2" t="s">
        <v>24</v>
      </c>
      <c r="K494" s="2">
        <v>2</v>
      </c>
    </row>
    <row r="495" spans="1:11" x14ac:dyDescent="0.15">
      <c r="A495" s="2">
        <v>8</v>
      </c>
      <c r="B495" s="3">
        <v>41820</v>
      </c>
      <c r="C495" s="2" t="s">
        <v>70</v>
      </c>
      <c r="D495" s="2">
        <v>1.26</v>
      </c>
      <c r="E495" s="2">
        <v>60</v>
      </c>
      <c r="F495" s="2">
        <f>D495*(E495*60)</f>
        <v>4536</v>
      </c>
      <c r="G495" s="2">
        <v>10</v>
      </c>
      <c r="H495" s="2">
        <v>1</v>
      </c>
      <c r="I495" s="2" t="s">
        <v>74</v>
      </c>
      <c r="K495" s="2">
        <v>1</v>
      </c>
    </row>
    <row r="496" spans="1:11" x14ac:dyDescent="0.15">
      <c r="A496" s="2">
        <v>15</v>
      </c>
      <c r="B496" s="3">
        <v>41820</v>
      </c>
      <c r="C496" s="2" t="s">
        <v>90</v>
      </c>
      <c r="D496" s="2">
        <v>0.76</v>
      </c>
      <c r="E496" s="2">
        <v>60</v>
      </c>
      <c r="F496" s="2">
        <f>D496*(E496*60)</f>
        <v>2736</v>
      </c>
      <c r="G496" s="2">
        <v>10</v>
      </c>
      <c r="H496" s="2">
        <v>1</v>
      </c>
      <c r="I496" s="2" t="s">
        <v>24</v>
      </c>
      <c r="K496" s="2">
        <v>4</v>
      </c>
    </row>
    <row r="497" spans="1:11" x14ac:dyDescent="0.15">
      <c r="A497" s="2">
        <v>15</v>
      </c>
      <c r="B497" s="3">
        <v>41820</v>
      </c>
      <c r="C497" s="2" t="s">
        <v>90</v>
      </c>
      <c r="D497" s="2">
        <v>0.76</v>
      </c>
      <c r="E497" s="2">
        <v>60</v>
      </c>
      <c r="F497" s="2">
        <f>D497*(E497*60)</f>
        <v>2736</v>
      </c>
      <c r="G497" s="2">
        <v>10</v>
      </c>
      <c r="H497" s="2">
        <v>1</v>
      </c>
      <c r="I497" s="2" t="s">
        <v>13</v>
      </c>
      <c r="J497" s="2" t="s">
        <v>15</v>
      </c>
      <c r="K497" s="2">
        <v>7</v>
      </c>
    </row>
    <row r="498" spans="1:11" x14ac:dyDescent="0.15">
      <c r="A498" s="2">
        <v>15</v>
      </c>
      <c r="B498" s="3">
        <v>41820</v>
      </c>
      <c r="C498" s="2" t="s">
        <v>90</v>
      </c>
      <c r="D498" s="2">
        <v>0.76</v>
      </c>
      <c r="E498" s="2">
        <v>60</v>
      </c>
      <c r="F498" s="2">
        <f>D498*(E498*60)</f>
        <v>2736</v>
      </c>
      <c r="G498" s="2">
        <v>10</v>
      </c>
      <c r="H498" s="2">
        <v>1</v>
      </c>
      <c r="I498" s="2" t="s">
        <v>17</v>
      </c>
      <c r="J498" s="2" t="s">
        <v>18</v>
      </c>
      <c r="K498" s="2">
        <v>6</v>
      </c>
    </row>
    <row r="499" spans="1:11" x14ac:dyDescent="0.15">
      <c r="A499" s="2">
        <v>15</v>
      </c>
      <c r="B499" s="3">
        <v>41820</v>
      </c>
      <c r="C499" s="2" t="s">
        <v>90</v>
      </c>
      <c r="D499" s="2">
        <v>0.76</v>
      </c>
      <c r="E499" s="2">
        <v>60</v>
      </c>
      <c r="F499" s="2">
        <f>D499*(E499*60)</f>
        <v>2736</v>
      </c>
      <c r="G499" s="2">
        <v>10</v>
      </c>
      <c r="H499" s="2">
        <v>1</v>
      </c>
      <c r="I499" s="2" t="s">
        <v>69</v>
      </c>
      <c r="K499" s="2">
        <v>2</v>
      </c>
    </row>
    <row r="500" spans="1:11" x14ac:dyDescent="0.15">
      <c r="A500" s="2">
        <v>15</v>
      </c>
      <c r="B500" s="3">
        <v>41820</v>
      </c>
      <c r="C500" s="2" t="s">
        <v>90</v>
      </c>
      <c r="D500" s="2">
        <v>0.76</v>
      </c>
      <c r="E500" s="2">
        <v>60</v>
      </c>
      <c r="F500" s="2">
        <f>D500*(E500*60)</f>
        <v>2736</v>
      </c>
      <c r="G500" s="2">
        <v>10</v>
      </c>
      <c r="H500" s="2">
        <v>1</v>
      </c>
      <c r="I500" s="2" t="s">
        <v>47</v>
      </c>
      <c r="J500" s="2" t="s">
        <v>48</v>
      </c>
      <c r="K500" s="2">
        <v>100</v>
      </c>
    </row>
    <row r="501" spans="1:11" x14ac:dyDescent="0.15">
      <c r="A501" s="2">
        <v>15</v>
      </c>
      <c r="B501" s="3">
        <v>41820</v>
      </c>
      <c r="C501" s="2" t="s">
        <v>90</v>
      </c>
      <c r="D501" s="2">
        <v>0.76</v>
      </c>
      <c r="E501" s="2">
        <v>60</v>
      </c>
      <c r="F501" s="2">
        <f>D501*(E501*60)</f>
        <v>2736</v>
      </c>
      <c r="G501" s="2">
        <v>10</v>
      </c>
      <c r="H501" s="2">
        <v>1</v>
      </c>
      <c r="I501" s="2" t="s">
        <v>47</v>
      </c>
      <c r="K501" s="2">
        <v>29</v>
      </c>
    </row>
    <row r="502" spans="1:11" x14ac:dyDescent="0.15">
      <c r="A502" s="2">
        <v>15</v>
      </c>
      <c r="B502" s="3">
        <v>41820</v>
      </c>
      <c r="C502" s="2" t="s">
        <v>90</v>
      </c>
      <c r="D502" s="2">
        <v>0.76</v>
      </c>
      <c r="E502" s="2">
        <v>60</v>
      </c>
      <c r="F502" s="2">
        <f>D502*(E502*60)</f>
        <v>2736</v>
      </c>
      <c r="G502" s="2">
        <v>10</v>
      </c>
      <c r="H502" s="2">
        <v>1</v>
      </c>
      <c r="I502" s="2" t="s">
        <v>26</v>
      </c>
      <c r="K502" s="2">
        <v>11</v>
      </c>
    </row>
    <row r="503" spans="1:11" x14ac:dyDescent="0.15">
      <c r="A503" s="2">
        <v>15</v>
      </c>
      <c r="B503" s="3">
        <v>41820</v>
      </c>
      <c r="C503" s="2" t="s">
        <v>90</v>
      </c>
      <c r="D503" s="2">
        <v>0.76</v>
      </c>
      <c r="E503" s="2">
        <v>60</v>
      </c>
      <c r="F503" s="2">
        <f>D503*(E503*60)</f>
        <v>2736</v>
      </c>
      <c r="G503" s="2">
        <v>10</v>
      </c>
      <c r="H503" s="2">
        <v>1</v>
      </c>
      <c r="I503" s="2" t="s">
        <v>29</v>
      </c>
      <c r="J503" s="2" t="s">
        <v>33</v>
      </c>
      <c r="K503" s="2">
        <v>15</v>
      </c>
    </row>
    <row r="504" spans="1:11" x14ac:dyDescent="0.15">
      <c r="A504" s="2">
        <v>15</v>
      </c>
      <c r="B504" s="3">
        <v>41820</v>
      </c>
      <c r="C504" s="2" t="s">
        <v>90</v>
      </c>
      <c r="D504" s="2">
        <v>0.76</v>
      </c>
      <c r="E504" s="2">
        <v>60</v>
      </c>
      <c r="F504" s="2">
        <f>D504*(E504*60)</f>
        <v>2736</v>
      </c>
      <c r="G504" s="2">
        <v>10</v>
      </c>
      <c r="H504" s="2">
        <v>1</v>
      </c>
      <c r="I504" s="2" t="s">
        <v>29</v>
      </c>
      <c r="J504" s="2" t="s">
        <v>31</v>
      </c>
      <c r="K504" s="2">
        <v>1</v>
      </c>
    </row>
    <row r="505" spans="1:11" x14ac:dyDescent="0.15">
      <c r="A505" s="2">
        <v>15</v>
      </c>
      <c r="B505" s="3">
        <v>41820</v>
      </c>
      <c r="C505" s="2" t="s">
        <v>90</v>
      </c>
      <c r="D505" s="2">
        <v>0.76</v>
      </c>
      <c r="E505" s="2">
        <v>60</v>
      </c>
      <c r="F505" s="2">
        <f>D505*(E505*60)</f>
        <v>2736</v>
      </c>
      <c r="G505" s="2">
        <v>10</v>
      </c>
      <c r="H505" s="2">
        <v>1</v>
      </c>
      <c r="I505" s="2" t="s">
        <v>29</v>
      </c>
      <c r="K505" s="2">
        <v>2</v>
      </c>
    </row>
    <row r="506" spans="1:11" x14ac:dyDescent="0.15">
      <c r="A506" s="2">
        <v>15</v>
      </c>
      <c r="B506" s="3">
        <v>41820</v>
      </c>
      <c r="C506" s="2" t="s">
        <v>90</v>
      </c>
      <c r="D506" s="2">
        <v>0.76</v>
      </c>
      <c r="E506" s="2">
        <v>60</v>
      </c>
      <c r="F506" s="2">
        <f>D506*(E506*60)</f>
        <v>2736</v>
      </c>
      <c r="G506" s="2">
        <v>10</v>
      </c>
      <c r="H506" s="2">
        <v>1</v>
      </c>
      <c r="I506" s="2" t="s">
        <v>42</v>
      </c>
      <c r="J506" s="2" t="s">
        <v>43</v>
      </c>
      <c r="K506" s="2">
        <v>7</v>
      </c>
    </row>
    <row r="507" spans="1:11" x14ac:dyDescent="0.15">
      <c r="A507" s="2">
        <v>15</v>
      </c>
      <c r="B507" s="3">
        <v>41820</v>
      </c>
      <c r="C507" s="2" t="s">
        <v>90</v>
      </c>
      <c r="D507" s="2">
        <v>0.76</v>
      </c>
      <c r="E507" s="2">
        <v>60</v>
      </c>
      <c r="F507" s="2">
        <f>D507*(E507*60)</f>
        <v>2736</v>
      </c>
      <c r="G507" s="2">
        <v>10</v>
      </c>
      <c r="H507" s="2">
        <v>1</v>
      </c>
      <c r="I507" s="2" t="s">
        <v>52</v>
      </c>
      <c r="K507" s="2">
        <v>3</v>
      </c>
    </row>
    <row r="508" spans="1:11" x14ac:dyDescent="0.15">
      <c r="A508" s="2">
        <v>15</v>
      </c>
      <c r="B508" s="3">
        <v>41820</v>
      </c>
      <c r="C508" s="2" t="s">
        <v>90</v>
      </c>
      <c r="D508" s="2">
        <v>0.76</v>
      </c>
      <c r="E508" s="2">
        <v>60</v>
      </c>
      <c r="F508" s="2">
        <f>D508*(E508*60)</f>
        <v>2736</v>
      </c>
      <c r="G508" s="2">
        <v>10</v>
      </c>
      <c r="H508" s="2">
        <v>1</v>
      </c>
      <c r="I508" s="2" t="s">
        <v>44</v>
      </c>
      <c r="K508" s="2">
        <v>6</v>
      </c>
    </row>
    <row r="509" spans="1:11" x14ac:dyDescent="0.15">
      <c r="A509" s="2">
        <v>15</v>
      </c>
      <c r="B509" s="3">
        <v>41820</v>
      </c>
      <c r="C509" s="2" t="s">
        <v>90</v>
      </c>
      <c r="D509" s="2">
        <v>0.76</v>
      </c>
      <c r="E509" s="2">
        <v>60</v>
      </c>
      <c r="F509" s="2">
        <f>D509*(E509*60)</f>
        <v>2736</v>
      </c>
      <c r="G509" s="2">
        <v>10</v>
      </c>
      <c r="H509" s="2">
        <v>1</v>
      </c>
      <c r="I509" s="2" t="s">
        <v>36</v>
      </c>
      <c r="K509" s="2">
        <v>4</v>
      </c>
    </row>
    <row r="510" spans="1:11" x14ac:dyDescent="0.15">
      <c r="A510" s="2">
        <v>15</v>
      </c>
      <c r="B510" s="3">
        <v>41820</v>
      </c>
      <c r="C510" s="2" t="s">
        <v>90</v>
      </c>
      <c r="D510" s="2">
        <v>0.76</v>
      </c>
      <c r="E510" s="2">
        <v>60</v>
      </c>
      <c r="F510" s="2">
        <f>D510*(E510*60)</f>
        <v>2736</v>
      </c>
      <c r="G510" s="2">
        <v>10</v>
      </c>
      <c r="H510" s="2">
        <v>1</v>
      </c>
      <c r="I510" s="2" t="s">
        <v>50</v>
      </c>
      <c r="K510" s="2">
        <v>3</v>
      </c>
    </row>
    <row r="511" spans="1:11" x14ac:dyDescent="0.15">
      <c r="A511" s="2">
        <v>15</v>
      </c>
      <c r="B511" s="3">
        <v>41820</v>
      </c>
      <c r="C511" s="2" t="s">
        <v>90</v>
      </c>
      <c r="D511" s="2">
        <v>0.76</v>
      </c>
      <c r="E511" s="2">
        <v>60</v>
      </c>
      <c r="F511" s="2">
        <f>D511*(E511*60)</f>
        <v>2736</v>
      </c>
      <c r="G511" s="2">
        <v>10</v>
      </c>
      <c r="H511" s="2">
        <v>1</v>
      </c>
      <c r="I511" s="2" t="s">
        <v>51</v>
      </c>
      <c r="K511" s="2">
        <v>1</v>
      </c>
    </row>
    <row r="512" spans="1:11" x14ac:dyDescent="0.15">
      <c r="A512" s="2">
        <v>18</v>
      </c>
      <c r="B512" s="3">
        <v>41820</v>
      </c>
      <c r="C512" s="2" t="s">
        <v>91</v>
      </c>
      <c r="D512" s="2">
        <v>0.6</v>
      </c>
      <c r="E512" s="2">
        <v>60</v>
      </c>
      <c r="F512" s="2">
        <f>D512*(E512*60)</f>
        <v>2160</v>
      </c>
      <c r="G512" s="2">
        <v>5</v>
      </c>
      <c r="H512" s="2">
        <v>2</v>
      </c>
      <c r="I512" s="2" t="s">
        <v>24</v>
      </c>
      <c r="K512" s="2">
        <v>2</v>
      </c>
    </row>
    <row r="513" spans="1:11" x14ac:dyDescent="0.15">
      <c r="A513" s="2">
        <v>18</v>
      </c>
      <c r="B513" s="3">
        <v>41820</v>
      </c>
      <c r="C513" s="2" t="s">
        <v>91</v>
      </c>
      <c r="D513" s="2">
        <v>0.6</v>
      </c>
      <c r="E513" s="2">
        <v>60</v>
      </c>
      <c r="F513" s="2">
        <f>D513*(E513*60)</f>
        <v>2160</v>
      </c>
      <c r="G513" s="2">
        <v>5</v>
      </c>
      <c r="H513" s="2">
        <v>2</v>
      </c>
      <c r="I513" s="2" t="s">
        <v>13</v>
      </c>
      <c r="J513" s="2" t="s">
        <v>15</v>
      </c>
      <c r="K513" s="2">
        <v>27</v>
      </c>
    </row>
    <row r="514" spans="1:11" x14ac:dyDescent="0.15">
      <c r="A514" s="2">
        <v>18</v>
      </c>
      <c r="B514" s="3">
        <v>41820</v>
      </c>
      <c r="C514" s="2" t="s">
        <v>91</v>
      </c>
      <c r="D514" s="2">
        <v>0.6</v>
      </c>
      <c r="E514" s="2">
        <v>60</v>
      </c>
      <c r="F514" s="2">
        <f>D514*(E514*60)</f>
        <v>2160</v>
      </c>
      <c r="G514" s="2">
        <v>5</v>
      </c>
      <c r="H514" s="2">
        <v>2</v>
      </c>
      <c r="I514" s="2" t="s">
        <v>68</v>
      </c>
      <c r="K514" s="2">
        <v>1</v>
      </c>
    </row>
    <row r="515" spans="1:11" x14ac:dyDescent="0.15">
      <c r="A515" s="2">
        <v>18</v>
      </c>
      <c r="B515" s="3">
        <v>41820</v>
      </c>
      <c r="C515" s="2" t="s">
        <v>91</v>
      </c>
      <c r="D515" s="2">
        <v>0.6</v>
      </c>
      <c r="E515" s="2">
        <v>60</v>
      </c>
      <c r="F515" s="2">
        <f>D515*(E515*60)</f>
        <v>2160</v>
      </c>
      <c r="G515" s="2">
        <v>5</v>
      </c>
      <c r="H515" s="2">
        <v>2</v>
      </c>
      <c r="I515" s="2" t="s">
        <v>22</v>
      </c>
      <c r="K515" s="2">
        <v>18</v>
      </c>
    </row>
    <row r="516" spans="1:11" x14ac:dyDescent="0.15">
      <c r="A516" s="2">
        <v>18</v>
      </c>
      <c r="B516" s="3">
        <v>41820</v>
      </c>
      <c r="C516" s="2" t="s">
        <v>91</v>
      </c>
      <c r="D516" s="2">
        <v>0.6</v>
      </c>
      <c r="E516" s="2">
        <v>60</v>
      </c>
      <c r="F516" s="2">
        <f>D516*(E516*60)</f>
        <v>2160</v>
      </c>
      <c r="G516" s="2">
        <v>5</v>
      </c>
      <c r="H516" s="2">
        <v>2</v>
      </c>
      <c r="I516" s="2" t="s">
        <v>17</v>
      </c>
      <c r="J516" s="2" t="s">
        <v>18</v>
      </c>
      <c r="K516" s="2">
        <v>50</v>
      </c>
    </row>
    <row r="517" spans="1:11" x14ac:dyDescent="0.15">
      <c r="A517" s="2">
        <v>18</v>
      </c>
      <c r="B517" s="3">
        <v>41820</v>
      </c>
      <c r="C517" s="2" t="s">
        <v>91</v>
      </c>
      <c r="D517" s="2">
        <v>0.6</v>
      </c>
      <c r="E517" s="2">
        <v>60</v>
      </c>
      <c r="F517" s="2">
        <f>D517*(E517*60)</f>
        <v>2160</v>
      </c>
      <c r="G517" s="2">
        <v>5</v>
      </c>
      <c r="H517" s="2">
        <v>2</v>
      </c>
      <c r="I517" s="2" t="s">
        <v>19</v>
      </c>
      <c r="K517" s="2">
        <v>26</v>
      </c>
    </row>
    <row r="518" spans="1:11" x14ac:dyDescent="0.15">
      <c r="A518" s="2">
        <v>18</v>
      </c>
      <c r="B518" s="3">
        <v>41820</v>
      </c>
      <c r="C518" s="2" t="s">
        <v>91</v>
      </c>
      <c r="D518" s="2">
        <v>0.6</v>
      </c>
      <c r="E518" s="2">
        <v>60</v>
      </c>
      <c r="F518" s="2">
        <f>D518*(E518*60)</f>
        <v>2160</v>
      </c>
      <c r="G518" s="2">
        <v>5</v>
      </c>
      <c r="H518" s="2">
        <v>2</v>
      </c>
      <c r="I518" s="2" t="s">
        <v>16</v>
      </c>
      <c r="K518" s="2">
        <v>1</v>
      </c>
    </row>
    <row r="519" spans="1:11" x14ac:dyDescent="0.15">
      <c r="A519" s="2">
        <v>18</v>
      </c>
      <c r="B519" s="3">
        <v>41820</v>
      </c>
      <c r="C519" s="2" t="s">
        <v>91</v>
      </c>
      <c r="D519" s="2">
        <v>0.6</v>
      </c>
      <c r="E519" s="2">
        <v>60</v>
      </c>
      <c r="F519" s="2">
        <f>D519*(E519*60)</f>
        <v>2160</v>
      </c>
      <c r="G519" s="2">
        <v>5</v>
      </c>
      <c r="H519" s="2">
        <v>2</v>
      </c>
      <c r="I519" s="2" t="s">
        <v>6</v>
      </c>
      <c r="K519" s="2">
        <v>3</v>
      </c>
    </row>
    <row r="520" spans="1:11" x14ac:dyDescent="0.15">
      <c r="A520" s="2">
        <v>18</v>
      </c>
      <c r="B520" s="3">
        <v>41820</v>
      </c>
      <c r="C520" s="2" t="s">
        <v>91</v>
      </c>
      <c r="D520" s="2">
        <v>0.6</v>
      </c>
      <c r="E520" s="2">
        <v>60</v>
      </c>
      <c r="F520" s="2">
        <f>D520*(E520*60)</f>
        <v>2160</v>
      </c>
      <c r="G520" s="2">
        <v>5</v>
      </c>
      <c r="H520" s="2">
        <v>2</v>
      </c>
      <c r="I520" s="2" t="s">
        <v>47</v>
      </c>
      <c r="K520" s="2">
        <v>10</v>
      </c>
    </row>
    <row r="521" spans="1:11" x14ac:dyDescent="0.15">
      <c r="A521" s="2">
        <v>18</v>
      </c>
      <c r="B521" s="3">
        <v>41820</v>
      </c>
      <c r="C521" s="2" t="s">
        <v>91</v>
      </c>
      <c r="D521" s="2">
        <v>0.6</v>
      </c>
      <c r="E521" s="2">
        <v>60</v>
      </c>
      <c r="F521" s="2">
        <f>D521*(E521*60)</f>
        <v>2160</v>
      </c>
      <c r="G521" s="2">
        <v>5</v>
      </c>
      <c r="H521" s="2">
        <v>2</v>
      </c>
      <c r="I521" s="2" t="s">
        <v>47</v>
      </c>
      <c r="J521" s="2" t="s">
        <v>48</v>
      </c>
      <c r="K521" s="2">
        <v>41</v>
      </c>
    </row>
    <row r="522" spans="1:11" x14ac:dyDescent="0.15">
      <c r="A522" s="2">
        <v>18</v>
      </c>
      <c r="B522" s="3">
        <v>41820</v>
      </c>
      <c r="C522" s="2" t="s">
        <v>91</v>
      </c>
      <c r="D522" s="2">
        <v>0.6</v>
      </c>
      <c r="E522" s="2">
        <v>60</v>
      </c>
      <c r="F522" s="2">
        <f>D522*(E522*60)</f>
        <v>2160</v>
      </c>
      <c r="G522" s="2">
        <v>5</v>
      </c>
      <c r="H522" s="2">
        <v>2</v>
      </c>
      <c r="I522" s="2" t="s">
        <v>47</v>
      </c>
      <c r="J522" s="2" t="s">
        <v>64</v>
      </c>
      <c r="K522" s="2">
        <v>2</v>
      </c>
    </row>
    <row r="523" spans="1:11" x14ac:dyDescent="0.15">
      <c r="A523" s="2">
        <v>18</v>
      </c>
      <c r="B523" s="3">
        <v>41820</v>
      </c>
      <c r="C523" s="2" t="s">
        <v>91</v>
      </c>
      <c r="D523" s="2">
        <v>0.6</v>
      </c>
      <c r="E523" s="2">
        <v>60</v>
      </c>
      <c r="F523" s="2">
        <f>D523*(E523*60)</f>
        <v>2160</v>
      </c>
      <c r="G523" s="2">
        <v>5</v>
      </c>
      <c r="H523" s="2">
        <v>2</v>
      </c>
      <c r="I523" s="2" t="s">
        <v>26</v>
      </c>
      <c r="K523" s="2">
        <v>10</v>
      </c>
    </row>
    <row r="524" spans="1:11" x14ac:dyDescent="0.15">
      <c r="A524" s="2">
        <v>18</v>
      </c>
      <c r="B524" s="3">
        <v>41820</v>
      </c>
      <c r="C524" s="2" t="s">
        <v>91</v>
      </c>
      <c r="D524" s="2">
        <v>0.6</v>
      </c>
      <c r="E524" s="2">
        <v>60</v>
      </c>
      <c r="F524" s="2">
        <f>D524*(E524*60)</f>
        <v>2160</v>
      </c>
      <c r="G524" s="2">
        <v>5</v>
      </c>
      <c r="H524" s="2">
        <v>2</v>
      </c>
      <c r="I524" s="2" t="s">
        <v>50</v>
      </c>
      <c r="K524" s="2">
        <v>3</v>
      </c>
    </row>
    <row r="525" spans="1:11" x14ac:dyDescent="0.15">
      <c r="A525" s="2">
        <v>18</v>
      </c>
      <c r="B525" s="3">
        <v>41820</v>
      </c>
      <c r="C525" s="2" t="s">
        <v>91</v>
      </c>
      <c r="D525" s="2">
        <v>0.6</v>
      </c>
      <c r="E525" s="2">
        <v>60</v>
      </c>
      <c r="F525" s="2">
        <f>D525*(E525*60)</f>
        <v>2160</v>
      </c>
      <c r="G525" s="2">
        <v>5</v>
      </c>
      <c r="H525" s="2">
        <v>2</v>
      </c>
      <c r="I525" s="2" t="s">
        <v>29</v>
      </c>
      <c r="J525" s="2" t="s">
        <v>67</v>
      </c>
      <c r="K525" s="2">
        <v>5</v>
      </c>
    </row>
    <row r="526" spans="1:11" x14ac:dyDescent="0.15">
      <c r="A526" s="2">
        <v>18</v>
      </c>
      <c r="B526" s="3">
        <v>41820</v>
      </c>
      <c r="C526" s="2" t="s">
        <v>91</v>
      </c>
      <c r="D526" s="2">
        <v>0.6</v>
      </c>
      <c r="E526" s="2">
        <v>60</v>
      </c>
      <c r="F526" s="2">
        <f>D526*(E526*60)</f>
        <v>2160</v>
      </c>
      <c r="G526" s="2">
        <v>5</v>
      </c>
      <c r="H526" s="2">
        <v>2</v>
      </c>
      <c r="I526" s="2" t="s">
        <v>29</v>
      </c>
      <c r="J526" s="2" t="s">
        <v>32</v>
      </c>
      <c r="K526" s="2">
        <v>2</v>
      </c>
    </row>
    <row r="527" spans="1:11" x14ac:dyDescent="0.15">
      <c r="A527" s="2">
        <v>18</v>
      </c>
      <c r="B527" s="3">
        <v>41820</v>
      </c>
      <c r="C527" s="2" t="s">
        <v>91</v>
      </c>
      <c r="D527" s="2">
        <v>0.6</v>
      </c>
      <c r="E527" s="2">
        <v>60</v>
      </c>
      <c r="F527" s="2">
        <f>D527*(E527*60)</f>
        <v>2160</v>
      </c>
      <c r="G527" s="2">
        <v>5</v>
      </c>
      <c r="H527" s="2">
        <v>2</v>
      </c>
      <c r="I527" s="2" t="s">
        <v>42</v>
      </c>
      <c r="J527" s="2" t="s">
        <v>43</v>
      </c>
      <c r="K527" s="2">
        <v>5</v>
      </c>
    </row>
    <row r="528" spans="1:11" x14ac:dyDescent="0.15">
      <c r="A528" s="2">
        <v>18</v>
      </c>
      <c r="B528" s="3">
        <v>41820</v>
      </c>
      <c r="C528" s="2" t="s">
        <v>91</v>
      </c>
      <c r="D528" s="2">
        <v>0.6</v>
      </c>
      <c r="E528" s="2">
        <v>60</v>
      </c>
      <c r="F528" s="2">
        <f>D528*(E528*60)</f>
        <v>2160</v>
      </c>
      <c r="G528" s="2">
        <v>5</v>
      </c>
      <c r="H528" s="2">
        <v>2</v>
      </c>
      <c r="I528" s="2" t="s">
        <v>36</v>
      </c>
      <c r="K528" s="2">
        <v>1</v>
      </c>
    </row>
    <row r="529" spans="1:11" x14ac:dyDescent="0.15">
      <c r="A529" s="2">
        <v>18</v>
      </c>
      <c r="B529" s="3">
        <v>41820</v>
      </c>
      <c r="C529" s="2" t="s">
        <v>91</v>
      </c>
      <c r="D529" s="2">
        <v>0.6</v>
      </c>
      <c r="E529" s="2">
        <v>60</v>
      </c>
      <c r="F529" s="2">
        <f>D529*(E529*60)</f>
        <v>2160</v>
      </c>
      <c r="G529" s="2">
        <v>5</v>
      </c>
      <c r="H529" s="2">
        <v>2</v>
      </c>
      <c r="I529" s="2" t="s">
        <v>89</v>
      </c>
      <c r="K529" s="2">
        <v>1</v>
      </c>
    </row>
    <row r="530" spans="1:11" x14ac:dyDescent="0.15">
      <c r="A530" s="2">
        <v>18</v>
      </c>
      <c r="B530" s="3">
        <v>41820</v>
      </c>
      <c r="C530" s="2" t="s">
        <v>91</v>
      </c>
      <c r="D530" s="2">
        <v>0.6</v>
      </c>
      <c r="E530" s="2">
        <v>60</v>
      </c>
      <c r="F530" s="2">
        <f>D530*(E530*60)</f>
        <v>2160</v>
      </c>
      <c r="G530" s="2">
        <v>5</v>
      </c>
      <c r="H530" s="2">
        <v>2</v>
      </c>
      <c r="I530" s="2" t="s">
        <v>29</v>
      </c>
      <c r="K530" s="2">
        <v>2</v>
      </c>
    </row>
    <row r="531" spans="1:11" x14ac:dyDescent="0.15">
      <c r="A531" s="2">
        <v>18</v>
      </c>
      <c r="B531" s="3">
        <v>41820</v>
      </c>
      <c r="C531" s="2" t="s">
        <v>91</v>
      </c>
      <c r="D531" s="2">
        <v>0.6</v>
      </c>
      <c r="E531" s="2">
        <v>60</v>
      </c>
      <c r="F531" s="2">
        <f>D531*(E531*60)</f>
        <v>2160</v>
      </c>
      <c r="G531" s="2">
        <v>5</v>
      </c>
      <c r="H531" s="2">
        <v>2</v>
      </c>
      <c r="I531" s="2" t="s">
        <v>44</v>
      </c>
      <c r="K531" s="2">
        <v>32</v>
      </c>
    </row>
    <row r="532" spans="1:11" x14ac:dyDescent="0.15">
      <c r="A532" s="2">
        <v>18</v>
      </c>
      <c r="B532" s="3">
        <v>41820</v>
      </c>
      <c r="C532" s="2" t="s">
        <v>91</v>
      </c>
      <c r="D532" s="2">
        <v>0.6</v>
      </c>
      <c r="E532" s="2">
        <v>60</v>
      </c>
      <c r="F532" s="2">
        <f>D532*(E532*60)</f>
        <v>2160</v>
      </c>
      <c r="G532" s="2">
        <v>5</v>
      </c>
      <c r="H532" s="2">
        <v>2</v>
      </c>
      <c r="I532" s="2" t="s">
        <v>51</v>
      </c>
      <c r="K532" s="2">
        <v>5</v>
      </c>
    </row>
  </sheetData>
  <autoFilter ref="A1:L532" xr:uid="{00000000-0001-0000-0000-000000000000}"/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96"/>
  <sheetViews>
    <sheetView workbookViewId="0"/>
  </sheetViews>
  <sheetFormatPr baseColWidth="10" defaultColWidth="8.6640625" defaultRowHeight="14" x14ac:dyDescent="0.15"/>
  <cols>
    <col min="1" max="1" width="9" customWidth="1"/>
  </cols>
  <sheetData>
    <row r="1" spans="1:3" x14ac:dyDescent="0.15">
      <c r="A1" t="s">
        <v>197</v>
      </c>
      <c r="B1" t="s">
        <v>198</v>
      </c>
      <c r="C1" t="s">
        <v>183</v>
      </c>
    </row>
    <row r="2" spans="1:3" ht="16" x14ac:dyDescent="0.15">
      <c r="A2" s="19">
        <v>41730</v>
      </c>
      <c r="B2" s="20">
        <v>54.2</v>
      </c>
      <c r="C2" s="13">
        <v>244</v>
      </c>
    </row>
    <row r="3" spans="1:3" ht="16" x14ac:dyDescent="0.15">
      <c r="A3" s="19">
        <v>41731</v>
      </c>
      <c r="B3" s="20">
        <v>54.8</v>
      </c>
      <c r="C3" s="13">
        <v>248</v>
      </c>
    </row>
    <row r="4" spans="1:3" ht="16" x14ac:dyDescent="0.15">
      <c r="A4" s="19">
        <v>41732</v>
      </c>
      <c r="B4" s="20">
        <v>55.5</v>
      </c>
      <c r="C4" s="13">
        <v>243</v>
      </c>
    </row>
    <row r="5" spans="1:3" ht="16" x14ac:dyDescent="0.15">
      <c r="A5" s="19">
        <v>41733</v>
      </c>
      <c r="B5" s="20">
        <v>55.7</v>
      </c>
      <c r="C5" s="13">
        <v>234</v>
      </c>
    </row>
    <row r="6" spans="1:3" ht="16" x14ac:dyDescent="0.15">
      <c r="A6" s="19">
        <v>41734</v>
      </c>
      <c r="B6" s="20">
        <v>56.1</v>
      </c>
      <c r="C6" s="13">
        <v>233</v>
      </c>
    </row>
    <row r="7" spans="1:3" ht="16" x14ac:dyDescent="0.15">
      <c r="A7" s="19">
        <v>41735</v>
      </c>
      <c r="B7" s="20">
        <v>57.4</v>
      </c>
      <c r="C7" s="13">
        <v>232</v>
      </c>
    </row>
    <row r="8" spans="1:3" ht="16" x14ac:dyDescent="0.15">
      <c r="A8" s="19">
        <v>41736</v>
      </c>
      <c r="B8" s="20">
        <v>58.9</v>
      </c>
      <c r="C8" s="13">
        <v>245</v>
      </c>
    </row>
    <row r="9" spans="1:3" ht="16" x14ac:dyDescent="0.15">
      <c r="A9" s="19">
        <v>41737</v>
      </c>
      <c r="B9" s="20">
        <v>59.2</v>
      </c>
      <c r="C9" s="13">
        <v>374</v>
      </c>
    </row>
    <row r="10" spans="1:3" ht="16" x14ac:dyDescent="0.15">
      <c r="A10" s="19">
        <v>41738</v>
      </c>
      <c r="B10" s="20">
        <v>57.6</v>
      </c>
      <c r="C10" s="13">
        <v>580</v>
      </c>
    </row>
    <row r="11" spans="1:3" ht="16" x14ac:dyDescent="0.15">
      <c r="A11" s="19">
        <v>41739</v>
      </c>
      <c r="B11" s="20">
        <v>56.8</v>
      </c>
      <c r="C11" s="13">
        <v>657</v>
      </c>
    </row>
    <row r="12" spans="1:3" ht="16" x14ac:dyDescent="0.15">
      <c r="A12" s="19">
        <v>41740</v>
      </c>
      <c r="B12" s="20">
        <v>56.3</v>
      </c>
      <c r="C12" s="13">
        <v>652</v>
      </c>
    </row>
    <row r="13" spans="1:3" ht="16" x14ac:dyDescent="0.15">
      <c r="A13" s="19">
        <v>41741</v>
      </c>
      <c r="B13" s="20">
        <v>56.5</v>
      </c>
      <c r="C13" s="13">
        <v>662</v>
      </c>
    </row>
    <row r="14" spans="1:3" ht="16" x14ac:dyDescent="0.15">
      <c r="A14" s="19">
        <v>41742</v>
      </c>
      <c r="B14" s="20">
        <v>56.2</v>
      </c>
      <c r="C14" s="13">
        <v>671</v>
      </c>
    </row>
    <row r="15" spans="1:3" ht="16" x14ac:dyDescent="0.15">
      <c r="A15" s="19">
        <v>41743</v>
      </c>
      <c r="B15" s="20">
        <v>55.8</v>
      </c>
      <c r="C15" s="13">
        <v>1337</v>
      </c>
    </row>
    <row r="16" spans="1:3" ht="16" x14ac:dyDescent="0.15">
      <c r="A16" s="19">
        <v>41744</v>
      </c>
      <c r="B16" s="20">
        <v>56.9</v>
      </c>
      <c r="C16" s="13">
        <v>2708</v>
      </c>
    </row>
    <row r="17" spans="1:3" ht="16" x14ac:dyDescent="0.15">
      <c r="A17" s="19">
        <v>41745</v>
      </c>
      <c r="B17" s="20">
        <v>56.8</v>
      </c>
      <c r="C17" s="13">
        <v>2677</v>
      </c>
    </row>
    <row r="18" spans="1:3" ht="16" x14ac:dyDescent="0.15">
      <c r="A18" s="19">
        <v>41746</v>
      </c>
      <c r="B18" s="20">
        <v>56.1</v>
      </c>
      <c r="C18" s="13">
        <v>2658</v>
      </c>
    </row>
    <row r="19" spans="1:3" ht="16" x14ac:dyDescent="0.15">
      <c r="A19" s="19">
        <v>41747</v>
      </c>
      <c r="B19" s="20">
        <v>56</v>
      </c>
      <c r="C19" s="13">
        <v>2685</v>
      </c>
    </row>
    <row r="20" spans="1:3" ht="16" x14ac:dyDescent="0.15">
      <c r="A20" s="19">
        <v>41748</v>
      </c>
      <c r="B20" s="20">
        <v>55.7</v>
      </c>
      <c r="C20" s="13">
        <v>2670</v>
      </c>
    </row>
    <row r="21" spans="1:3" ht="16" x14ac:dyDescent="0.15">
      <c r="A21" s="19">
        <v>41749</v>
      </c>
      <c r="B21" s="20">
        <v>55.6</v>
      </c>
      <c r="C21" s="13">
        <v>2684</v>
      </c>
    </row>
    <row r="22" spans="1:3" ht="16" x14ac:dyDescent="0.15">
      <c r="A22" s="19">
        <v>41750</v>
      </c>
      <c r="B22" s="20">
        <v>55.3</v>
      </c>
      <c r="C22" s="13">
        <v>2681</v>
      </c>
    </row>
    <row r="23" spans="1:3" ht="16" x14ac:dyDescent="0.15">
      <c r="A23" s="19">
        <v>41751</v>
      </c>
      <c r="B23" s="20">
        <v>54.8</v>
      </c>
      <c r="C23" s="13">
        <v>2682</v>
      </c>
    </row>
    <row r="24" spans="1:3" ht="16" x14ac:dyDescent="0.15">
      <c r="A24" s="19">
        <v>41752</v>
      </c>
      <c r="B24" s="20">
        <v>54.6</v>
      </c>
      <c r="C24" s="13">
        <v>2660</v>
      </c>
    </row>
    <row r="25" spans="1:3" ht="16" x14ac:dyDescent="0.15">
      <c r="A25" s="19">
        <v>41753</v>
      </c>
      <c r="B25" s="20">
        <v>55.2</v>
      </c>
      <c r="C25" s="13">
        <v>2640</v>
      </c>
    </row>
    <row r="26" spans="1:3" ht="16" x14ac:dyDescent="0.15">
      <c r="A26" s="19">
        <v>41754</v>
      </c>
      <c r="B26" s="20">
        <v>54.4</v>
      </c>
      <c r="C26" s="13">
        <v>2636</v>
      </c>
    </row>
    <row r="27" spans="1:3" ht="16" x14ac:dyDescent="0.15">
      <c r="A27" s="19">
        <v>41755</v>
      </c>
      <c r="B27" s="20">
        <v>54.3</v>
      </c>
      <c r="C27" s="13">
        <v>2692</v>
      </c>
    </row>
    <row r="28" spans="1:3" ht="16" x14ac:dyDescent="0.15">
      <c r="A28" s="19">
        <v>41756</v>
      </c>
      <c r="B28" s="20">
        <v>54.3</v>
      </c>
      <c r="C28" s="13">
        <v>2701</v>
      </c>
    </row>
    <row r="29" spans="1:3" ht="16" x14ac:dyDescent="0.15">
      <c r="A29" s="19">
        <v>41757</v>
      </c>
      <c r="B29" s="20">
        <v>54.6</v>
      </c>
      <c r="C29" s="13">
        <v>2694</v>
      </c>
    </row>
    <row r="30" spans="1:3" ht="16" x14ac:dyDescent="0.15">
      <c r="A30" s="19">
        <v>41758</v>
      </c>
      <c r="B30" s="20">
        <v>54.9</v>
      </c>
      <c r="C30" s="13">
        <v>2708</v>
      </c>
    </row>
    <row r="31" spans="1:3" ht="16" x14ac:dyDescent="0.15">
      <c r="A31" s="19">
        <v>41759</v>
      </c>
      <c r="B31" s="20">
        <v>55.4</v>
      </c>
      <c r="C31" s="13">
        <v>2678</v>
      </c>
    </row>
    <row r="32" spans="1:3" ht="16" x14ac:dyDescent="0.15">
      <c r="A32" s="19">
        <v>41760</v>
      </c>
      <c r="B32" s="20">
        <v>55.2</v>
      </c>
      <c r="C32" s="13">
        <v>2282</v>
      </c>
    </row>
    <row r="33" spans="1:3" ht="16" x14ac:dyDescent="0.15">
      <c r="A33" s="19">
        <v>41761</v>
      </c>
      <c r="B33" s="20">
        <v>54.9</v>
      </c>
      <c r="C33" s="13">
        <v>2289</v>
      </c>
    </row>
    <row r="34" spans="1:3" ht="16" x14ac:dyDescent="0.15">
      <c r="A34" s="19">
        <v>41762</v>
      </c>
      <c r="B34" s="20">
        <v>54.8</v>
      </c>
      <c r="C34" s="13">
        <v>2306</v>
      </c>
    </row>
    <row r="35" spans="1:3" ht="16" x14ac:dyDescent="0.15">
      <c r="A35" s="19">
        <v>41763</v>
      </c>
      <c r="B35" s="20">
        <v>54.8</v>
      </c>
      <c r="C35" s="13">
        <v>2300</v>
      </c>
    </row>
    <row r="36" spans="1:3" ht="16" x14ac:dyDescent="0.15">
      <c r="A36" s="19">
        <v>41764</v>
      </c>
      <c r="B36" s="20">
        <v>54.6</v>
      </c>
      <c r="C36" s="13">
        <v>2294</v>
      </c>
    </row>
    <row r="37" spans="1:3" ht="16" x14ac:dyDescent="0.15">
      <c r="A37" s="19">
        <v>41765</v>
      </c>
      <c r="B37" s="20">
        <v>54.3</v>
      </c>
      <c r="C37" s="13">
        <v>2285</v>
      </c>
    </row>
    <row r="38" spans="1:3" ht="16" x14ac:dyDescent="0.15">
      <c r="A38" s="19">
        <v>41766</v>
      </c>
      <c r="B38" s="20">
        <v>54.5</v>
      </c>
      <c r="C38" s="13">
        <v>2282</v>
      </c>
    </row>
    <row r="39" spans="1:3" ht="16" x14ac:dyDescent="0.15">
      <c r="A39" s="19">
        <v>41767</v>
      </c>
      <c r="B39" s="20">
        <v>54.5</v>
      </c>
      <c r="C39" s="13">
        <v>2277</v>
      </c>
    </row>
    <row r="40" spans="1:3" ht="16" x14ac:dyDescent="0.15">
      <c r="A40" s="19">
        <v>41768</v>
      </c>
      <c r="B40" s="20">
        <v>55</v>
      </c>
      <c r="C40" s="13">
        <v>2278</v>
      </c>
    </row>
    <row r="41" spans="1:3" ht="16" x14ac:dyDescent="0.15">
      <c r="A41" s="19">
        <v>41769</v>
      </c>
      <c r="B41" s="20">
        <v>54.7</v>
      </c>
      <c r="C41" s="13">
        <v>2270</v>
      </c>
    </row>
    <row r="42" spans="1:3" ht="16" x14ac:dyDescent="0.15">
      <c r="A42" s="19">
        <v>41770</v>
      </c>
      <c r="B42" s="20">
        <v>55.1</v>
      </c>
      <c r="C42" s="13">
        <v>2268</v>
      </c>
    </row>
    <row r="43" spans="1:3" ht="16" x14ac:dyDescent="0.15">
      <c r="A43" s="19">
        <v>41771</v>
      </c>
      <c r="B43" s="20">
        <v>55.6</v>
      </c>
      <c r="C43" s="13">
        <v>2283</v>
      </c>
    </row>
    <row r="44" spans="1:3" ht="16" x14ac:dyDescent="0.15">
      <c r="A44" s="19">
        <v>41772</v>
      </c>
      <c r="B44" s="20">
        <v>55.9</v>
      </c>
      <c r="C44" s="13">
        <v>2254</v>
      </c>
    </row>
    <row r="45" spans="1:3" ht="16" x14ac:dyDescent="0.15">
      <c r="A45" s="19">
        <v>41773</v>
      </c>
      <c r="B45" s="20">
        <v>56</v>
      </c>
      <c r="C45" s="13">
        <v>2226</v>
      </c>
    </row>
    <row r="46" spans="1:3" ht="16" x14ac:dyDescent="0.15">
      <c r="A46" s="19">
        <v>41774</v>
      </c>
      <c r="B46" s="20">
        <v>55.9</v>
      </c>
      <c r="C46" s="13">
        <v>1711</v>
      </c>
    </row>
    <row r="47" spans="1:3" ht="16" x14ac:dyDescent="0.15">
      <c r="A47" s="19">
        <v>41775</v>
      </c>
      <c r="B47" s="20">
        <v>56</v>
      </c>
      <c r="C47" s="13">
        <v>1236</v>
      </c>
    </row>
    <row r="48" spans="1:3" ht="16" x14ac:dyDescent="0.15">
      <c r="A48" s="19">
        <v>41776</v>
      </c>
      <c r="B48" s="20">
        <v>56.6</v>
      </c>
      <c r="C48" s="13">
        <v>698</v>
      </c>
    </row>
    <row r="49" spans="1:3" ht="16" x14ac:dyDescent="0.15">
      <c r="A49" s="19">
        <v>41777</v>
      </c>
      <c r="B49" s="20">
        <v>57.2</v>
      </c>
      <c r="C49" s="13">
        <v>656</v>
      </c>
    </row>
    <row r="50" spans="1:3" ht="16" x14ac:dyDescent="0.15">
      <c r="A50" s="19">
        <v>41778</v>
      </c>
      <c r="B50" s="20">
        <v>56.8</v>
      </c>
      <c r="C50" s="13">
        <v>652</v>
      </c>
    </row>
    <row r="51" spans="1:3" ht="16" x14ac:dyDescent="0.15">
      <c r="A51" s="19">
        <v>41779</v>
      </c>
      <c r="B51" s="20">
        <v>56.2</v>
      </c>
      <c r="C51" s="13">
        <v>653</v>
      </c>
    </row>
    <row r="52" spans="1:3" ht="16" x14ac:dyDescent="0.15">
      <c r="A52" s="19">
        <v>41780</v>
      </c>
      <c r="B52" s="20">
        <v>57</v>
      </c>
      <c r="C52" s="13">
        <v>650</v>
      </c>
    </row>
    <row r="53" spans="1:3" ht="16" x14ac:dyDescent="0.15">
      <c r="A53" s="19">
        <v>41781</v>
      </c>
      <c r="B53" s="20">
        <v>58.2</v>
      </c>
      <c r="C53" s="13">
        <v>569</v>
      </c>
    </row>
    <row r="54" spans="1:3" ht="16" x14ac:dyDescent="0.15">
      <c r="A54" s="19">
        <v>41782</v>
      </c>
      <c r="B54" s="20">
        <v>58.9</v>
      </c>
      <c r="C54" s="13">
        <v>546</v>
      </c>
    </row>
    <row r="55" spans="1:3" ht="16" x14ac:dyDescent="0.15">
      <c r="A55" s="19">
        <v>41783</v>
      </c>
      <c r="B55" s="20">
        <v>59.3</v>
      </c>
      <c r="C55" s="13">
        <v>548</v>
      </c>
    </row>
    <row r="56" spans="1:3" ht="16" x14ac:dyDescent="0.15">
      <c r="A56" s="19">
        <v>41784</v>
      </c>
      <c r="B56" s="20">
        <v>60</v>
      </c>
      <c r="C56" s="13">
        <v>473</v>
      </c>
    </row>
    <row r="57" spans="1:3" ht="16" x14ac:dyDescent="0.15">
      <c r="A57" s="19">
        <v>41785</v>
      </c>
      <c r="B57" s="20">
        <v>60.7</v>
      </c>
      <c r="C57" s="13">
        <v>425</v>
      </c>
    </row>
    <row r="58" spans="1:3" ht="16" x14ac:dyDescent="0.15">
      <c r="A58" s="19">
        <v>41786</v>
      </c>
      <c r="B58" s="20">
        <v>60.2</v>
      </c>
      <c r="C58" s="13">
        <v>423</v>
      </c>
    </row>
    <row r="59" spans="1:3" ht="16" x14ac:dyDescent="0.15">
      <c r="A59" s="19">
        <v>41787</v>
      </c>
      <c r="B59" s="20">
        <v>59.4</v>
      </c>
      <c r="C59" s="13">
        <v>426</v>
      </c>
    </row>
    <row r="60" spans="1:3" ht="16" x14ac:dyDescent="0.15">
      <c r="A60" s="19">
        <v>41788</v>
      </c>
      <c r="B60" s="20">
        <v>59</v>
      </c>
      <c r="C60" s="13">
        <v>424</v>
      </c>
    </row>
    <row r="61" spans="1:3" ht="16" x14ac:dyDescent="0.15">
      <c r="A61" s="19">
        <v>41789</v>
      </c>
      <c r="B61" s="20">
        <v>59.7</v>
      </c>
      <c r="C61" s="13">
        <v>360</v>
      </c>
    </row>
    <row r="62" spans="1:3" ht="16" x14ac:dyDescent="0.15">
      <c r="A62" s="19">
        <v>41790</v>
      </c>
      <c r="B62" s="20">
        <v>60.5</v>
      </c>
      <c r="C62" s="13">
        <v>324</v>
      </c>
    </row>
    <row r="63" spans="1:3" ht="16" x14ac:dyDescent="0.15">
      <c r="A63" s="19">
        <v>41791</v>
      </c>
      <c r="B63" s="20">
        <v>61</v>
      </c>
      <c r="C63" s="13">
        <v>322</v>
      </c>
    </row>
    <row r="64" spans="1:3" ht="16" x14ac:dyDescent="0.15">
      <c r="A64" s="19">
        <v>41792</v>
      </c>
      <c r="B64" s="20">
        <v>61.4</v>
      </c>
      <c r="C64" s="13">
        <v>335</v>
      </c>
    </row>
    <row r="65" spans="1:3" ht="16" x14ac:dyDescent="0.15">
      <c r="A65" s="19">
        <v>41793</v>
      </c>
      <c r="B65" s="20">
        <v>61.5</v>
      </c>
      <c r="C65" s="13">
        <v>326</v>
      </c>
    </row>
    <row r="66" spans="1:3" ht="16" x14ac:dyDescent="0.15">
      <c r="A66" s="19">
        <v>41794</v>
      </c>
      <c r="B66" s="20">
        <v>62</v>
      </c>
      <c r="C66" s="13">
        <v>291</v>
      </c>
    </row>
    <row r="67" spans="1:3" ht="16" x14ac:dyDescent="0.15">
      <c r="A67" s="19">
        <v>41795</v>
      </c>
      <c r="B67" s="20">
        <v>63.2</v>
      </c>
      <c r="C67" s="13">
        <v>290</v>
      </c>
    </row>
    <row r="68" spans="1:3" ht="16" x14ac:dyDescent="0.15">
      <c r="A68" s="19">
        <v>41796</v>
      </c>
      <c r="B68" s="20">
        <v>63.2</v>
      </c>
      <c r="C68" s="13">
        <v>277</v>
      </c>
    </row>
    <row r="69" spans="1:3" ht="16" x14ac:dyDescent="0.15">
      <c r="A69" s="19">
        <v>41797</v>
      </c>
      <c r="B69" s="20">
        <v>63.5</v>
      </c>
      <c r="C69" s="13">
        <v>263</v>
      </c>
    </row>
    <row r="70" spans="1:3" ht="16" x14ac:dyDescent="0.15">
      <c r="A70" s="19">
        <v>41798</v>
      </c>
      <c r="B70" s="20">
        <v>64.099999999999994</v>
      </c>
      <c r="C70" s="13">
        <v>241</v>
      </c>
    </row>
    <row r="71" spans="1:3" ht="16" x14ac:dyDescent="0.15">
      <c r="A71" s="19">
        <v>41799</v>
      </c>
      <c r="B71" s="20">
        <v>64.5</v>
      </c>
      <c r="C71" s="13">
        <v>243</v>
      </c>
    </row>
    <row r="72" spans="1:3" ht="16" x14ac:dyDescent="0.15">
      <c r="A72" s="19">
        <v>41800</v>
      </c>
      <c r="B72" s="20">
        <v>63.8</v>
      </c>
      <c r="C72" s="13">
        <v>268</v>
      </c>
    </row>
    <row r="73" spans="1:3" ht="16" x14ac:dyDescent="0.15">
      <c r="A73" s="19">
        <v>41801</v>
      </c>
      <c r="B73" s="20">
        <v>63.5</v>
      </c>
      <c r="C73" s="13">
        <v>269</v>
      </c>
    </row>
    <row r="74" spans="1:3" ht="16" x14ac:dyDescent="0.15">
      <c r="A74" s="19">
        <v>41802</v>
      </c>
      <c r="B74" s="20">
        <v>62.7</v>
      </c>
      <c r="C74" s="13">
        <v>291</v>
      </c>
    </row>
    <row r="75" spans="1:3" ht="16" x14ac:dyDescent="0.15">
      <c r="A75" s="19">
        <v>41803</v>
      </c>
      <c r="B75" s="20">
        <v>62.1</v>
      </c>
      <c r="C75" s="13">
        <v>291</v>
      </c>
    </row>
    <row r="76" spans="1:3" ht="16" x14ac:dyDescent="0.15">
      <c r="A76" s="19">
        <v>41804</v>
      </c>
      <c r="B76" s="20">
        <v>61.7</v>
      </c>
      <c r="C76" s="13">
        <v>295</v>
      </c>
    </row>
    <row r="77" spans="1:3" ht="16" x14ac:dyDescent="0.15">
      <c r="A77" s="19">
        <v>41805</v>
      </c>
      <c r="B77" s="20">
        <v>61.7</v>
      </c>
      <c r="C77" s="13">
        <v>282</v>
      </c>
    </row>
    <row r="78" spans="1:3" ht="16" x14ac:dyDescent="0.15">
      <c r="A78" s="19">
        <v>41806</v>
      </c>
      <c r="B78" s="20">
        <v>62.1</v>
      </c>
      <c r="C78" s="13">
        <v>275</v>
      </c>
    </row>
    <row r="79" spans="1:3" ht="16" x14ac:dyDescent="0.15">
      <c r="A79" s="19">
        <v>41807</v>
      </c>
      <c r="B79" s="20">
        <v>61.6</v>
      </c>
      <c r="C79" s="13">
        <v>275</v>
      </c>
    </row>
    <row r="80" spans="1:3" ht="16" x14ac:dyDescent="0.15">
      <c r="A80" s="19">
        <v>41808</v>
      </c>
      <c r="B80" s="20">
        <v>62.2</v>
      </c>
      <c r="C80" s="13">
        <v>256</v>
      </c>
    </row>
    <row r="81" spans="1:3" ht="16" x14ac:dyDescent="0.15">
      <c r="A81" s="19">
        <v>41809</v>
      </c>
      <c r="B81" s="20">
        <v>62.9</v>
      </c>
      <c r="C81" s="13">
        <v>247</v>
      </c>
    </row>
    <row r="82" spans="1:3" ht="16" x14ac:dyDescent="0.15">
      <c r="A82" s="19">
        <v>41810</v>
      </c>
      <c r="B82" s="20">
        <v>63.5</v>
      </c>
      <c r="C82" s="13">
        <v>247</v>
      </c>
    </row>
    <row r="83" spans="1:3" ht="16" x14ac:dyDescent="0.15">
      <c r="A83" s="19">
        <v>41811</v>
      </c>
      <c r="B83" s="20">
        <v>62.6</v>
      </c>
      <c r="C83" s="13">
        <v>243</v>
      </c>
    </row>
    <row r="84" spans="1:3" ht="16" x14ac:dyDescent="0.15">
      <c r="A84" s="19">
        <v>41812</v>
      </c>
      <c r="B84" s="20">
        <v>62.3</v>
      </c>
      <c r="C84" s="13">
        <v>247</v>
      </c>
    </row>
    <row r="85" spans="1:3" ht="16" x14ac:dyDescent="0.15">
      <c r="A85" s="19">
        <v>41813</v>
      </c>
      <c r="B85" s="20">
        <v>63.8</v>
      </c>
      <c r="C85" s="13">
        <v>234</v>
      </c>
    </row>
    <row r="86" spans="1:3" ht="16" x14ac:dyDescent="0.15">
      <c r="A86" s="19">
        <v>41814</v>
      </c>
      <c r="B86" s="20">
        <v>64.599999999999994</v>
      </c>
      <c r="C86" s="13">
        <v>231</v>
      </c>
    </row>
    <row r="87" spans="1:3" ht="16" x14ac:dyDescent="0.15">
      <c r="A87" s="19">
        <v>41815</v>
      </c>
      <c r="B87" s="20">
        <v>64.599999999999994</v>
      </c>
      <c r="C87" s="13">
        <v>230</v>
      </c>
    </row>
    <row r="88" spans="1:3" ht="16" x14ac:dyDescent="0.15">
      <c r="A88" s="19">
        <v>41816</v>
      </c>
      <c r="B88" s="20">
        <v>64.5</v>
      </c>
      <c r="C88" s="13">
        <v>231</v>
      </c>
    </row>
    <row r="89" spans="1:3" ht="16" x14ac:dyDescent="0.15">
      <c r="A89" s="19">
        <v>41817</v>
      </c>
      <c r="B89" s="20">
        <v>64.5</v>
      </c>
      <c r="C89" s="13">
        <v>228</v>
      </c>
    </row>
    <row r="90" spans="1:3" ht="16" x14ac:dyDescent="0.15">
      <c r="A90" s="19">
        <v>41818</v>
      </c>
      <c r="B90" s="20">
        <v>64.8</v>
      </c>
      <c r="C90" s="13">
        <v>263</v>
      </c>
    </row>
    <row r="91" spans="1:3" ht="16" x14ac:dyDescent="0.15">
      <c r="A91" s="19">
        <v>41819</v>
      </c>
      <c r="B91" s="20">
        <v>64.3</v>
      </c>
      <c r="C91" s="13">
        <v>275</v>
      </c>
    </row>
    <row r="92" spans="1:3" ht="16" x14ac:dyDescent="0.15">
      <c r="A92" s="19">
        <v>41820</v>
      </c>
      <c r="B92" s="20">
        <v>64.5</v>
      </c>
      <c r="C92" s="13">
        <v>299</v>
      </c>
    </row>
    <row r="93" spans="1:3" ht="16" x14ac:dyDescent="0.15">
      <c r="A93" s="19">
        <v>41821</v>
      </c>
      <c r="B93" s="20">
        <v>64</v>
      </c>
      <c r="C93" s="13">
        <v>328</v>
      </c>
    </row>
    <row r="94" spans="1:3" ht="16" x14ac:dyDescent="0.15">
      <c r="A94" s="19">
        <v>41822</v>
      </c>
      <c r="B94" s="20">
        <v>64.099999999999994</v>
      </c>
      <c r="C94" s="13">
        <v>324</v>
      </c>
    </row>
    <row r="95" spans="1:3" ht="16" x14ac:dyDescent="0.15">
      <c r="A95" s="19">
        <v>41823</v>
      </c>
      <c r="B95" s="20">
        <v>63.9</v>
      </c>
      <c r="C95" s="13">
        <v>336</v>
      </c>
    </row>
    <row r="96" spans="1:3" ht="16" x14ac:dyDescent="0.15">
      <c r="A96" s="19">
        <v>41824</v>
      </c>
      <c r="B96" s="20">
        <v>64.3</v>
      </c>
      <c r="C96" s="13">
        <v>320</v>
      </c>
    </row>
  </sheetData>
  <pageMargins left="0.70000000000000007" right="0.70000000000000007" top="0.75" bottom="0.75" header="0.30000000000000004" footer="0.30000000000000004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F116"/>
  <sheetViews>
    <sheetView workbookViewId="0"/>
  </sheetViews>
  <sheetFormatPr baseColWidth="10" defaultColWidth="8.6640625" defaultRowHeight="14" x14ac:dyDescent="0.15"/>
  <cols>
    <col min="1" max="1" width="9" customWidth="1"/>
  </cols>
  <sheetData>
    <row r="1" spans="1:32" x14ac:dyDescent="0.15">
      <c r="A1" s="25" t="s">
        <v>70</v>
      </c>
    </row>
    <row r="2" spans="1:32" x14ac:dyDescent="0.15">
      <c r="B2" s="22">
        <v>41733</v>
      </c>
      <c r="E2" t="s">
        <v>199</v>
      </c>
      <c r="G2" s="22">
        <v>41743</v>
      </c>
      <c r="L2" s="22">
        <v>41760</v>
      </c>
      <c r="Q2" s="22">
        <v>41768</v>
      </c>
      <c r="U2" s="22">
        <v>41772</v>
      </c>
      <c r="Y2" s="22">
        <v>41774</v>
      </c>
      <c r="AC2" s="22">
        <v>41820</v>
      </c>
    </row>
    <row r="3" spans="1:32" x14ac:dyDescent="0.15">
      <c r="B3" s="2" t="s">
        <v>47</v>
      </c>
      <c r="C3" s="2" t="s">
        <v>48</v>
      </c>
      <c r="D3" s="2">
        <v>140</v>
      </c>
      <c r="E3">
        <v>0.56000000000000005</v>
      </c>
      <c r="G3" s="2" t="s">
        <v>11</v>
      </c>
      <c r="H3" s="2"/>
      <c r="I3" s="2">
        <v>5</v>
      </c>
      <c r="J3">
        <f t="shared" ref="J3:J29" si="0">(I3/409)</f>
        <v>1.2224938875305624E-2</v>
      </c>
      <c r="L3" s="2" t="s">
        <v>85</v>
      </c>
      <c r="M3" s="2"/>
      <c r="N3" s="2">
        <v>95</v>
      </c>
      <c r="O3">
        <f t="shared" ref="O3:O12" si="1">(N3/204)</f>
        <v>0.46568627450980393</v>
      </c>
      <c r="Q3" s="2" t="s">
        <v>76</v>
      </c>
      <c r="R3" s="2"/>
      <c r="S3" s="2">
        <v>3</v>
      </c>
      <c r="T3" s="9">
        <f t="shared" ref="T3:T14" si="2">S3/200</f>
        <v>1.4999999999999999E-2</v>
      </c>
      <c r="U3" s="2" t="s">
        <v>24</v>
      </c>
      <c r="V3" s="2"/>
      <c r="W3" s="2">
        <v>2</v>
      </c>
      <c r="X3" s="9">
        <f t="shared" ref="X3:X14" si="3">W3/224</f>
        <v>8.9285714285714281E-3</v>
      </c>
      <c r="Y3" s="2" t="s">
        <v>76</v>
      </c>
      <c r="Z3" s="2"/>
      <c r="AA3" s="2">
        <v>6</v>
      </c>
      <c r="AB3" s="9">
        <f t="shared" ref="AB3:AB15" si="4">AA3/232</f>
        <v>2.5862068965517241E-2</v>
      </c>
      <c r="AC3" s="2" t="s">
        <v>26</v>
      </c>
      <c r="AD3" s="2"/>
      <c r="AE3" s="2">
        <v>3</v>
      </c>
      <c r="AF3" s="9">
        <f t="shared" ref="AF3:AF19" si="5">AE3/231</f>
        <v>1.2987012987012988E-2</v>
      </c>
    </row>
    <row r="4" spans="1:32" x14ac:dyDescent="0.15">
      <c r="B4" s="2" t="s">
        <v>47</v>
      </c>
      <c r="C4" s="2"/>
      <c r="D4" s="2">
        <v>20</v>
      </c>
      <c r="E4" s="23">
        <f>(D4/D16)</f>
        <v>7.9365079365079361E-2</v>
      </c>
      <c r="G4" s="2" t="s">
        <v>7</v>
      </c>
      <c r="H4" s="2"/>
      <c r="I4" s="2">
        <v>16</v>
      </c>
      <c r="J4">
        <f t="shared" si="0"/>
        <v>3.9119804400977995E-2</v>
      </c>
      <c r="L4" s="2" t="s">
        <v>17</v>
      </c>
      <c r="M4" s="2" t="s">
        <v>18</v>
      </c>
      <c r="N4" s="2">
        <v>58</v>
      </c>
      <c r="O4">
        <f t="shared" si="1"/>
        <v>0.28431372549019607</v>
      </c>
      <c r="Q4" s="2" t="s">
        <v>13</v>
      </c>
      <c r="R4" s="2" t="s">
        <v>15</v>
      </c>
      <c r="S4" s="2">
        <v>73</v>
      </c>
      <c r="T4" s="9">
        <f t="shared" si="2"/>
        <v>0.36499999999999999</v>
      </c>
      <c r="U4" s="2" t="s">
        <v>13</v>
      </c>
      <c r="V4" s="2" t="s">
        <v>15</v>
      </c>
      <c r="W4" s="2">
        <v>43</v>
      </c>
      <c r="X4" s="9">
        <f t="shared" si="3"/>
        <v>0.19196428571428573</v>
      </c>
      <c r="Y4" s="2" t="s">
        <v>13</v>
      </c>
      <c r="Z4" s="2" t="s">
        <v>15</v>
      </c>
      <c r="AA4" s="2">
        <v>100</v>
      </c>
      <c r="AB4" s="9">
        <f t="shared" si="4"/>
        <v>0.43103448275862066</v>
      </c>
      <c r="AC4" s="2" t="s">
        <v>29</v>
      </c>
      <c r="AD4" s="2"/>
      <c r="AE4" s="2">
        <v>23</v>
      </c>
      <c r="AF4" s="9">
        <f t="shared" si="5"/>
        <v>9.9567099567099568E-2</v>
      </c>
    </row>
    <row r="5" spans="1:32" x14ac:dyDescent="0.15">
      <c r="B5" s="2" t="s">
        <v>26</v>
      </c>
      <c r="C5" s="2"/>
      <c r="D5" s="2">
        <v>32</v>
      </c>
      <c r="E5" s="23">
        <f>(D5/D16)</f>
        <v>0.12698412698412698</v>
      </c>
      <c r="G5" s="2" t="s">
        <v>26</v>
      </c>
      <c r="H5" s="2"/>
      <c r="I5" s="2">
        <v>36</v>
      </c>
      <c r="J5">
        <f t="shared" si="0"/>
        <v>8.8019559902200492E-2</v>
      </c>
      <c r="L5" s="2" t="s">
        <v>22</v>
      </c>
      <c r="M5" s="2"/>
      <c r="N5" s="2">
        <v>10</v>
      </c>
      <c r="O5">
        <f t="shared" si="1"/>
        <v>4.9019607843137254E-2</v>
      </c>
      <c r="Q5" s="2" t="s">
        <v>17</v>
      </c>
      <c r="R5" s="2" t="s">
        <v>18</v>
      </c>
      <c r="S5" s="2">
        <v>29</v>
      </c>
      <c r="T5" s="9">
        <f t="shared" si="2"/>
        <v>0.14499999999999999</v>
      </c>
      <c r="U5" s="2" t="s">
        <v>17</v>
      </c>
      <c r="V5" s="2" t="s">
        <v>18</v>
      </c>
      <c r="W5" s="2">
        <v>34</v>
      </c>
      <c r="X5" s="9">
        <f t="shared" si="3"/>
        <v>0.15178571428571427</v>
      </c>
      <c r="Y5" s="2" t="s">
        <v>47</v>
      </c>
      <c r="Z5" s="2" t="s">
        <v>48</v>
      </c>
      <c r="AA5" s="2">
        <v>40</v>
      </c>
      <c r="AB5" s="9">
        <f t="shared" si="4"/>
        <v>0.17241379310344829</v>
      </c>
      <c r="AC5" s="2" t="s">
        <v>47</v>
      </c>
      <c r="AD5" s="2" t="s">
        <v>48</v>
      </c>
      <c r="AE5" s="2">
        <v>147</v>
      </c>
      <c r="AF5" s="9">
        <f t="shared" si="5"/>
        <v>0.63636363636363635</v>
      </c>
    </row>
    <row r="6" spans="1:32" x14ac:dyDescent="0.15">
      <c r="B6" s="2" t="s">
        <v>28</v>
      </c>
      <c r="C6" s="2"/>
      <c r="D6" s="2">
        <v>6</v>
      </c>
      <c r="E6" s="23">
        <f>(D6/D16)</f>
        <v>2.3809523809523808E-2</v>
      </c>
      <c r="G6" s="2" t="s">
        <v>29</v>
      </c>
      <c r="H6" s="2"/>
      <c r="I6" s="2">
        <v>5</v>
      </c>
      <c r="J6">
        <f t="shared" si="0"/>
        <v>1.2224938875305624E-2</v>
      </c>
      <c r="L6" s="2" t="s">
        <v>47</v>
      </c>
      <c r="M6" s="2" t="s">
        <v>48</v>
      </c>
      <c r="N6" s="2">
        <v>10</v>
      </c>
      <c r="O6">
        <f t="shared" si="1"/>
        <v>4.9019607843137254E-2</v>
      </c>
      <c r="Q6" s="2" t="s">
        <v>23</v>
      </c>
      <c r="R6" s="2"/>
      <c r="S6" s="2">
        <v>17</v>
      </c>
      <c r="T6" s="9">
        <f t="shared" si="2"/>
        <v>8.5000000000000006E-2</v>
      </c>
      <c r="U6" s="2" t="s">
        <v>22</v>
      </c>
      <c r="V6" s="2"/>
      <c r="W6" s="2">
        <v>1</v>
      </c>
      <c r="X6" s="9">
        <f t="shared" si="3"/>
        <v>4.464285714285714E-3</v>
      </c>
      <c r="Y6" s="2" t="s">
        <v>47</v>
      </c>
      <c r="Z6" s="2" t="s">
        <v>64</v>
      </c>
      <c r="AA6" s="2">
        <v>5</v>
      </c>
      <c r="AB6" s="9">
        <f t="shared" si="4"/>
        <v>2.1551724137931036E-2</v>
      </c>
      <c r="AC6" s="2" t="s">
        <v>47</v>
      </c>
      <c r="AD6" s="2"/>
      <c r="AE6" s="2">
        <v>14</v>
      </c>
      <c r="AF6" s="9">
        <f t="shared" si="5"/>
        <v>6.0606060606060608E-2</v>
      </c>
    </row>
    <row r="7" spans="1:32" x14ac:dyDescent="0.15">
      <c r="B7" s="2" t="s">
        <v>42</v>
      </c>
      <c r="C7" s="2" t="s">
        <v>43</v>
      </c>
      <c r="D7" s="2">
        <v>3</v>
      </c>
      <c r="E7" s="23">
        <f>(D7/D16)</f>
        <v>1.1904761904761904E-2</v>
      </c>
      <c r="G7" s="2" t="s">
        <v>24</v>
      </c>
      <c r="H7" s="2"/>
      <c r="I7" s="2">
        <v>44</v>
      </c>
      <c r="J7">
        <f t="shared" si="0"/>
        <v>0.10757946210268948</v>
      </c>
      <c r="L7" s="2" t="s">
        <v>47</v>
      </c>
      <c r="M7" s="2"/>
      <c r="N7" s="2">
        <v>1</v>
      </c>
      <c r="O7">
        <f t="shared" si="1"/>
        <v>4.9019607843137254E-3</v>
      </c>
      <c r="Q7" s="2" t="s">
        <v>22</v>
      </c>
      <c r="R7" s="2"/>
      <c r="S7" s="2">
        <v>4</v>
      </c>
      <c r="T7" s="9">
        <f t="shared" si="2"/>
        <v>0.02</v>
      </c>
      <c r="U7" s="2" t="s">
        <v>23</v>
      </c>
      <c r="V7" s="2"/>
      <c r="W7" s="2">
        <v>73</v>
      </c>
      <c r="X7" s="9">
        <f t="shared" si="3"/>
        <v>0.32589285714285715</v>
      </c>
      <c r="Y7" s="2" t="s">
        <v>47</v>
      </c>
      <c r="Z7" s="2"/>
      <c r="AA7" s="2">
        <v>6</v>
      </c>
      <c r="AB7" s="9">
        <f t="shared" si="4"/>
        <v>2.5862068965517241E-2</v>
      </c>
      <c r="AC7" s="2" t="s">
        <v>13</v>
      </c>
      <c r="AD7" s="2" t="s">
        <v>15</v>
      </c>
      <c r="AE7" s="2">
        <v>4</v>
      </c>
      <c r="AF7" s="9">
        <f t="shared" si="5"/>
        <v>1.7316017316017316E-2</v>
      </c>
    </row>
    <row r="8" spans="1:32" x14ac:dyDescent="0.15">
      <c r="B8" s="2" t="s">
        <v>17</v>
      </c>
      <c r="C8" s="2" t="s">
        <v>18</v>
      </c>
      <c r="D8" s="2">
        <v>24</v>
      </c>
      <c r="E8" s="23">
        <f>24/252</f>
        <v>9.5238095238095233E-2</v>
      </c>
      <c r="G8" s="2" t="s">
        <v>17</v>
      </c>
      <c r="H8" s="2" t="s">
        <v>18</v>
      </c>
      <c r="I8" s="2">
        <v>149</v>
      </c>
      <c r="J8">
        <f t="shared" si="0"/>
        <v>0.36430317848410759</v>
      </c>
      <c r="L8" s="2" t="s">
        <v>24</v>
      </c>
      <c r="M8" s="2"/>
      <c r="N8" s="2">
        <v>9</v>
      </c>
      <c r="O8">
        <f t="shared" si="1"/>
        <v>4.4117647058823532E-2</v>
      </c>
      <c r="Q8" s="2" t="s">
        <v>47</v>
      </c>
      <c r="R8" s="2" t="s">
        <v>48</v>
      </c>
      <c r="S8" s="2">
        <v>49</v>
      </c>
      <c r="T8" s="9">
        <f t="shared" si="2"/>
        <v>0.245</v>
      </c>
      <c r="U8" s="2" t="s">
        <v>47</v>
      </c>
      <c r="V8" s="2" t="s">
        <v>48</v>
      </c>
      <c r="W8" s="2">
        <v>48</v>
      </c>
      <c r="X8" s="9">
        <f t="shared" si="3"/>
        <v>0.21428571428571427</v>
      </c>
      <c r="Y8" s="2" t="s">
        <v>19</v>
      </c>
      <c r="Z8" s="2"/>
      <c r="AA8" s="2">
        <v>21</v>
      </c>
      <c r="AB8" s="9">
        <f t="shared" si="4"/>
        <v>9.0517241379310345E-2</v>
      </c>
      <c r="AC8" s="2" t="s">
        <v>19</v>
      </c>
      <c r="AD8" s="2"/>
      <c r="AE8" s="2">
        <v>1</v>
      </c>
      <c r="AF8" s="9">
        <f t="shared" si="5"/>
        <v>4.329004329004329E-3</v>
      </c>
    </row>
    <row r="9" spans="1:32" x14ac:dyDescent="0.15">
      <c r="B9" s="2" t="s">
        <v>23</v>
      </c>
      <c r="C9" s="2"/>
      <c r="D9" s="2">
        <v>10</v>
      </c>
      <c r="E9" s="23">
        <f>10/252</f>
        <v>3.968253968253968E-2</v>
      </c>
      <c r="G9" s="2" t="s">
        <v>23</v>
      </c>
      <c r="H9" s="2"/>
      <c r="I9" s="2">
        <v>7</v>
      </c>
      <c r="J9">
        <f t="shared" si="0"/>
        <v>1.7114914425427872E-2</v>
      </c>
      <c r="L9" s="2" t="s">
        <v>26</v>
      </c>
      <c r="M9" s="2"/>
      <c r="N9" s="2">
        <v>5</v>
      </c>
      <c r="O9">
        <f t="shared" si="1"/>
        <v>2.4509803921568627E-2</v>
      </c>
      <c r="Q9" s="2" t="s">
        <v>47</v>
      </c>
      <c r="R9" s="2" t="s">
        <v>64</v>
      </c>
      <c r="S9" s="2">
        <v>1</v>
      </c>
      <c r="T9" s="9">
        <f t="shared" si="2"/>
        <v>5.0000000000000001E-3</v>
      </c>
      <c r="U9" s="2" t="s">
        <v>47</v>
      </c>
      <c r="V9" s="2" t="s">
        <v>64</v>
      </c>
      <c r="W9" s="2">
        <v>2</v>
      </c>
      <c r="X9" s="9">
        <f t="shared" si="3"/>
        <v>8.9285714285714281E-3</v>
      </c>
      <c r="Y9" s="2" t="s">
        <v>17</v>
      </c>
      <c r="Z9" s="2" t="s">
        <v>18</v>
      </c>
      <c r="AA9" s="2">
        <v>32</v>
      </c>
      <c r="AB9" s="9">
        <f t="shared" si="4"/>
        <v>0.13793103448275862</v>
      </c>
      <c r="AC9" s="2" t="s">
        <v>17</v>
      </c>
      <c r="AD9" s="2" t="s">
        <v>18</v>
      </c>
      <c r="AE9" s="2">
        <v>5</v>
      </c>
      <c r="AF9" s="9">
        <f t="shared" si="5"/>
        <v>2.1645021645021644E-2</v>
      </c>
    </row>
    <row r="10" spans="1:32" x14ac:dyDescent="0.15">
      <c r="B10" s="2" t="s">
        <v>13</v>
      </c>
      <c r="C10" s="2" t="s">
        <v>15</v>
      </c>
      <c r="D10" s="2">
        <v>10</v>
      </c>
      <c r="E10" s="23">
        <f>10/252</f>
        <v>3.968253968253968E-2</v>
      </c>
      <c r="G10" s="2" t="s">
        <v>16</v>
      </c>
      <c r="H10" s="2"/>
      <c r="I10" s="2">
        <v>13</v>
      </c>
      <c r="J10">
        <f t="shared" si="0"/>
        <v>3.1784841075794622E-2</v>
      </c>
      <c r="K10" s="2"/>
      <c r="L10" s="2" t="s">
        <v>13</v>
      </c>
      <c r="M10" s="2"/>
      <c r="N10" s="2">
        <v>14</v>
      </c>
      <c r="O10">
        <f t="shared" si="1"/>
        <v>6.8627450980392163E-2</v>
      </c>
      <c r="Q10" s="2" t="s">
        <v>47</v>
      </c>
      <c r="R10" s="2"/>
      <c r="S10" s="2">
        <v>1</v>
      </c>
      <c r="T10" s="9">
        <f t="shared" si="2"/>
        <v>5.0000000000000001E-3</v>
      </c>
      <c r="U10" s="2" t="s">
        <v>47</v>
      </c>
      <c r="V10" s="2"/>
      <c r="W10" s="2">
        <v>2</v>
      </c>
      <c r="X10" s="9">
        <f t="shared" si="3"/>
        <v>8.9285714285714281E-3</v>
      </c>
      <c r="Y10" s="2" t="s">
        <v>22</v>
      </c>
      <c r="Z10" s="2"/>
      <c r="AA10" s="2">
        <v>2</v>
      </c>
      <c r="AB10" s="9">
        <f t="shared" si="4"/>
        <v>8.6206896551724137E-3</v>
      </c>
      <c r="AC10" s="2" t="s">
        <v>36</v>
      </c>
      <c r="AD10" s="2"/>
      <c r="AE10" s="2">
        <v>4</v>
      </c>
      <c r="AF10" s="9">
        <f t="shared" si="5"/>
        <v>1.7316017316017316E-2</v>
      </c>
    </row>
    <row r="11" spans="1:32" x14ac:dyDescent="0.15">
      <c r="B11" s="2" t="s">
        <v>47</v>
      </c>
      <c r="C11" s="2" t="s">
        <v>64</v>
      </c>
      <c r="D11" s="2">
        <v>1</v>
      </c>
      <c r="E11" s="23">
        <f>1/252</f>
        <v>3.968253968253968E-3</v>
      </c>
      <c r="G11" s="2" t="s">
        <v>74</v>
      </c>
      <c r="H11" s="2"/>
      <c r="I11" s="2">
        <v>4</v>
      </c>
      <c r="J11">
        <f t="shared" si="0"/>
        <v>9.7799511002444987E-3</v>
      </c>
      <c r="L11" s="2" t="s">
        <v>6</v>
      </c>
      <c r="M11" s="2"/>
      <c r="N11" s="2">
        <v>1</v>
      </c>
      <c r="O11">
        <f t="shared" si="1"/>
        <v>4.9019607843137254E-3</v>
      </c>
      <c r="Q11" s="2" t="s">
        <v>26</v>
      </c>
      <c r="R11" s="2"/>
      <c r="S11" s="2">
        <v>10</v>
      </c>
      <c r="T11" s="9">
        <f t="shared" si="2"/>
        <v>0.05</v>
      </c>
      <c r="U11" s="2" t="s">
        <v>26</v>
      </c>
      <c r="V11" s="2"/>
      <c r="W11" s="2">
        <v>13</v>
      </c>
      <c r="X11" s="9">
        <f t="shared" si="3"/>
        <v>5.8035714285714288E-2</v>
      </c>
      <c r="Y11" s="2" t="s">
        <v>50</v>
      </c>
      <c r="Z11" s="2"/>
      <c r="AA11" s="2">
        <v>3</v>
      </c>
      <c r="AB11" s="9">
        <f t="shared" si="4"/>
        <v>1.2931034482758621E-2</v>
      </c>
      <c r="AC11" s="2" t="s">
        <v>42</v>
      </c>
      <c r="AD11" s="2" t="s">
        <v>43</v>
      </c>
      <c r="AE11" s="2">
        <v>5</v>
      </c>
      <c r="AF11" s="9">
        <f t="shared" si="5"/>
        <v>2.1645021645021644E-2</v>
      </c>
    </row>
    <row r="12" spans="1:32" x14ac:dyDescent="0.15">
      <c r="B12" s="2" t="s">
        <v>29</v>
      </c>
      <c r="C12" s="2" t="s">
        <v>32</v>
      </c>
      <c r="D12" s="2">
        <v>1</v>
      </c>
      <c r="E12" s="23">
        <v>0</v>
      </c>
      <c r="G12" s="2" t="s">
        <v>19</v>
      </c>
      <c r="H12" s="2"/>
      <c r="I12" s="2">
        <v>20</v>
      </c>
      <c r="J12">
        <f t="shared" si="0"/>
        <v>4.8899755501222497E-2</v>
      </c>
      <c r="L12" s="2" t="s">
        <v>50</v>
      </c>
      <c r="M12" s="2"/>
      <c r="N12" s="2">
        <v>1</v>
      </c>
      <c r="O12">
        <f t="shared" si="1"/>
        <v>4.9019607843137254E-3</v>
      </c>
      <c r="Q12" s="2" t="s">
        <v>29</v>
      </c>
      <c r="R12" s="2"/>
      <c r="S12" s="2">
        <v>5</v>
      </c>
      <c r="T12" s="9">
        <f t="shared" si="2"/>
        <v>2.5000000000000001E-2</v>
      </c>
      <c r="U12" s="2" t="s">
        <v>29</v>
      </c>
      <c r="V12" s="2"/>
      <c r="W12" s="2">
        <v>2</v>
      </c>
      <c r="X12" s="9">
        <f t="shared" si="3"/>
        <v>8.9285714285714281E-3</v>
      </c>
      <c r="Y12" s="2" t="s">
        <v>26</v>
      </c>
      <c r="Z12" s="2"/>
      <c r="AA12" s="2">
        <v>11</v>
      </c>
      <c r="AB12" s="9">
        <f t="shared" si="4"/>
        <v>4.7413793103448273E-2</v>
      </c>
      <c r="AC12" s="2" t="s">
        <v>44</v>
      </c>
      <c r="AD12" s="2"/>
      <c r="AE12" s="2">
        <v>6</v>
      </c>
      <c r="AF12" s="9">
        <f t="shared" si="5"/>
        <v>2.5974025974025976E-2</v>
      </c>
    </row>
    <row r="13" spans="1:32" x14ac:dyDescent="0.15">
      <c r="B13" s="2" t="s">
        <v>66</v>
      </c>
      <c r="C13" s="2"/>
      <c r="D13" s="2">
        <v>3</v>
      </c>
      <c r="E13" s="23">
        <v>0.01</v>
      </c>
      <c r="G13" s="2" t="s">
        <v>36</v>
      </c>
      <c r="H13" s="2"/>
      <c r="I13" s="2">
        <v>1</v>
      </c>
      <c r="J13">
        <f t="shared" si="0"/>
        <v>2.4449877750611247E-3</v>
      </c>
      <c r="N13" s="2">
        <v>204</v>
      </c>
      <c r="Q13" s="2" t="s">
        <v>44</v>
      </c>
      <c r="R13" s="2"/>
      <c r="S13" s="2">
        <v>5</v>
      </c>
      <c r="T13" s="9">
        <f t="shared" si="2"/>
        <v>2.5000000000000001E-2</v>
      </c>
      <c r="U13" s="2" t="s">
        <v>44</v>
      </c>
      <c r="V13" s="2"/>
      <c r="W13" s="2">
        <v>3</v>
      </c>
      <c r="X13" s="9">
        <f t="shared" si="3"/>
        <v>1.3392857142857142E-2</v>
      </c>
      <c r="Y13" s="2" t="s">
        <v>29</v>
      </c>
      <c r="Z13" s="2"/>
      <c r="AA13" s="2">
        <v>4</v>
      </c>
      <c r="AB13" s="9">
        <f t="shared" si="4"/>
        <v>1.7241379310344827E-2</v>
      </c>
      <c r="AC13" s="2" t="s">
        <v>29</v>
      </c>
      <c r="AD13" s="2" t="s">
        <v>33</v>
      </c>
      <c r="AE13" s="2">
        <v>12</v>
      </c>
      <c r="AF13" s="9">
        <f t="shared" si="5"/>
        <v>5.1948051948051951E-2</v>
      </c>
    </row>
    <row r="14" spans="1:32" x14ac:dyDescent="0.15">
      <c r="B14" s="2" t="s">
        <v>68</v>
      </c>
      <c r="C14" s="2"/>
      <c r="D14" s="2">
        <v>1</v>
      </c>
      <c r="E14" s="23">
        <v>0</v>
      </c>
      <c r="G14" s="2" t="s">
        <v>68</v>
      </c>
      <c r="H14" s="2"/>
      <c r="I14" s="2">
        <v>3</v>
      </c>
      <c r="J14">
        <f t="shared" si="0"/>
        <v>7.3349633251833741E-3</v>
      </c>
      <c r="Q14" s="2" t="s">
        <v>50</v>
      </c>
      <c r="R14" s="2"/>
      <c r="S14" s="2">
        <v>3</v>
      </c>
      <c r="T14" s="9">
        <f t="shared" si="2"/>
        <v>1.4999999999999999E-2</v>
      </c>
      <c r="U14" s="2" t="s">
        <v>50</v>
      </c>
      <c r="V14" s="2"/>
      <c r="W14" s="2">
        <v>1</v>
      </c>
      <c r="X14" s="9">
        <f t="shared" si="3"/>
        <v>4.464285714285714E-3</v>
      </c>
      <c r="Y14" s="2" t="s">
        <v>36</v>
      </c>
      <c r="Z14" s="2"/>
      <c r="AA14" s="2">
        <v>1</v>
      </c>
      <c r="AB14" s="9">
        <f t="shared" si="4"/>
        <v>4.3103448275862068E-3</v>
      </c>
      <c r="AC14" s="2" t="s">
        <v>29</v>
      </c>
      <c r="AD14" s="2" t="s">
        <v>31</v>
      </c>
      <c r="AE14" s="2">
        <v>1</v>
      </c>
      <c r="AF14" s="9">
        <f t="shared" si="5"/>
        <v>4.329004329004329E-3</v>
      </c>
    </row>
    <row r="15" spans="1:32" x14ac:dyDescent="0.15">
      <c r="B15" s="2" t="s">
        <v>44</v>
      </c>
      <c r="C15" s="2"/>
      <c r="D15" s="2">
        <v>1</v>
      </c>
      <c r="E15" s="23">
        <v>0</v>
      </c>
      <c r="G15" s="2" t="s">
        <v>47</v>
      </c>
      <c r="H15" s="2"/>
      <c r="I15" s="2">
        <v>3</v>
      </c>
      <c r="J15">
        <f t="shared" si="0"/>
        <v>7.3349633251833741E-3</v>
      </c>
      <c r="Q15" s="2"/>
      <c r="R15" s="2"/>
      <c r="S15" s="2"/>
      <c r="U15" s="2"/>
      <c r="V15" s="2"/>
      <c r="W15" s="2"/>
      <c r="Y15" s="2" t="s">
        <v>44</v>
      </c>
      <c r="Z15" s="2"/>
      <c r="AA15" s="2">
        <v>1</v>
      </c>
      <c r="AB15" s="9">
        <f t="shared" si="4"/>
        <v>4.3103448275862068E-3</v>
      </c>
      <c r="AC15" s="2" t="s">
        <v>50</v>
      </c>
      <c r="AD15" s="2"/>
      <c r="AE15" s="2">
        <v>1</v>
      </c>
      <c r="AF15" s="9">
        <f t="shared" si="5"/>
        <v>4.329004329004329E-3</v>
      </c>
    </row>
    <row r="16" spans="1:32" x14ac:dyDescent="0.15">
      <c r="B16" s="2" t="s">
        <v>160</v>
      </c>
      <c r="C16" s="2"/>
      <c r="D16" s="2">
        <f>SUM(D3:D15)</f>
        <v>252</v>
      </c>
      <c r="G16" s="2" t="s">
        <v>47</v>
      </c>
      <c r="H16" s="2" t="s">
        <v>64</v>
      </c>
      <c r="I16" s="2">
        <v>1</v>
      </c>
      <c r="J16">
        <f t="shared" si="0"/>
        <v>2.4449877750611247E-3</v>
      </c>
      <c r="K16" s="2"/>
      <c r="L16" s="2"/>
      <c r="Y16" s="2"/>
      <c r="Z16" s="2"/>
      <c r="AA16" s="2"/>
      <c r="AC16" s="2" t="s">
        <v>46</v>
      </c>
      <c r="AD16" s="2"/>
      <c r="AE16" s="2">
        <v>1</v>
      </c>
      <c r="AF16" s="9">
        <f t="shared" si="5"/>
        <v>4.329004329004329E-3</v>
      </c>
    </row>
    <row r="17" spans="1:32" x14ac:dyDescent="0.15">
      <c r="G17" s="2" t="s">
        <v>47</v>
      </c>
      <c r="H17" s="2" t="s">
        <v>48</v>
      </c>
      <c r="I17" s="2">
        <v>72</v>
      </c>
      <c r="J17">
        <f t="shared" si="0"/>
        <v>0.17603911980440098</v>
      </c>
      <c r="K17" s="2"/>
      <c r="L17" s="2"/>
      <c r="AC17" s="2" t="s">
        <v>66</v>
      </c>
      <c r="AD17" s="2"/>
      <c r="AE17" s="2">
        <v>1</v>
      </c>
      <c r="AF17" s="9">
        <f t="shared" si="5"/>
        <v>4.329004329004329E-3</v>
      </c>
    </row>
    <row r="18" spans="1:32" x14ac:dyDescent="0.15">
      <c r="G18" s="2" t="s">
        <v>13</v>
      </c>
      <c r="H18" s="2" t="s">
        <v>79</v>
      </c>
      <c r="I18" s="2">
        <v>2</v>
      </c>
      <c r="J18">
        <f t="shared" si="0"/>
        <v>4.8899755501222494E-3</v>
      </c>
      <c r="AC18" s="2" t="s">
        <v>24</v>
      </c>
      <c r="AD18" s="2"/>
      <c r="AE18" s="2">
        <v>2</v>
      </c>
      <c r="AF18" s="9">
        <f t="shared" si="5"/>
        <v>8.658008658008658E-3</v>
      </c>
    </row>
    <row r="19" spans="1:32" x14ac:dyDescent="0.15">
      <c r="G19" s="2" t="s">
        <v>13</v>
      </c>
      <c r="H19" s="2" t="s">
        <v>15</v>
      </c>
      <c r="I19" s="2">
        <v>8</v>
      </c>
      <c r="J19">
        <f t="shared" si="0"/>
        <v>1.9559902200488997E-2</v>
      </c>
      <c r="AC19" s="2" t="s">
        <v>74</v>
      </c>
      <c r="AD19" s="2"/>
      <c r="AE19" s="2">
        <v>1</v>
      </c>
      <c r="AF19" s="9">
        <f t="shared" si="5"/>
        <v>4.329004329004329E-3</v>
      </c>
    </row>
    <row r="20" spans="1:32" x14ac:dyDescent="0.15">
      <c r="G20" s="2" t="s">
        <v>74</v>
      </c>
      <c r="H20" s="2"/>
      <c r="I20" s="2">
        <v>1</v>
      </c>
      <c r="J20">
        <f t="shared" si="0"/>
        <v>2.4449877750611247E-3</v>
      </c>
      <c r="K20" s="2"/>
      <c r="L20" s="2"/>
    </row>
    <row r="21" spans="1:32" x14ac:dyDescent="0.15">
      <c r="G21" s="2" t="s">
        <v>6</v>
      </c>
      <c r="H21" s="2"/>
      <c r="I21" s="2">
        <v>4</v>
      </c>
      <c r="J21">
        <f t="shared" si="0"/>
        <v>9.7799511002444987E-3</v>
      </c>
    </row>
    <row r="22" spans="1:32" x14ac:dyDescent="0.15">
      <c r="G22" s="2" t="s">
        <v>42</v>
      </c>
      <c r="H22" s="2"/>
      <c r="I22" s="2">
        <v>1</v>
      </c>
      <c r="J22">
        <f t="shared" si="0"/>
        <v>2.4449877750611247E-3</v>
      </c>
      <c r="K22" s="2"/>
      <c r="L22" s="2"/>
    </row>
    <row r="23" spans="1:32" x14ac:dyDescent="0.15">
      <c r="G23" s="2" t="s">
        <v>42</v>
      </c>
      <c r="H23" s="2" t="s">
        <v>43</v>
      </c>
      <c r="I23" s="2">
        <v>1</v>
      </c>
      <c r="J23">
        <f t="shared" si="0"/>
        <v>2.4449877750611247E-3</v>
      </c>
      <c r="M23" s="2"/>
      <c r="N23" s="2"/>
      <c r="O23" s="2"/>
    </row>
    <row r="24" spans="1:32" x14ac:dyDescent="0.15">
      <c r="G24" s="2" t="s">
        <v>29</v>
      </c>
      <c r="H24" s="2" t="s">
        <v>33</v>
      </c>
      <c r="I24" s="2">
        <v>1</v>
      </c>
      <c r="J24">
        <f t="shared" si="0"/>
        <v>2.4449877750611247E-3</v>
      </c>
      <c r="L24" s="9"/>
      <c r="O24" s="9"/>
    </row>
    <row r="25" spans="1:32" x14ac:dyDescent="0.15">
      <c r="G25" s="2" t="s">
        <v>44</v>
      </c>
      <c r="H25" s="2" t="s">
        <v>45</v>
      </c>
      <c r="I25" s="2">
        <v>2</v>
      </c>
      <c r="J25">
        <f t="shared" si="0"/>
        <v>4.8899755501222494E-3</v>
      </c>
    </row>
    <row r="26" spans="1:32" x14ac:dyDescent="0.15">
      <c r="G26" s="2" t="s">
        <v>36</v>
      </c>
      <c r="H26" s="2"/>
      <c r="I26" s="2">
        <v>1</v>
      </c>
      <c r="J26">
        <f t="shared" si="0"/>
        <v>2.4449877750611247E-3</v>
      </c>
    </row>
    <row r="27" spans="1:32" x14ac:dyDescent="0.15">
      <c r="G27" s="2" t="s">
        <v>28</v>
      </c>
      <c r="H27" s="2"/>
      <c r="I27" s="2">
        <v>5</v>
      </c>
      <c r="J27">
        <f t="shared" si="0"/>
        <v>1.2224938875305624E-2</v>
      </c>
    </row>
    <row r="28" spans="1:32" x14ac:dyDescent="0.15">
      <c r="G28" s="2" t="s">
        <v>66</v>
      </c>
      <c r="H28" s="2"/>
      <c r="I28" s="2">
        <v>2</v>
      </c>
      <c r="J28">
        <f t="shared" si="0"/>
        <v>4.8899755501222494E-3</v>
      </c>
    </row>
    <row r="29" spans="1:32" x14ac:dyDescent="0.15">
      <c r="G29" s="2" t="s">
        <v>44</v>
      </c>
      <c r="H29" s="2"/>
      <c r="I29" s="2">
        <v>2</v>
      </c>
      <c r="J29">
        <f t="shared" si="0"/>
        <v>4.8899755501222494E-3</v>
      </c>
    </row>
    <row r="30" spans="1:32" x14ac:dyDescent="0.15">
      <c r="I30" s="2">
        <v>409</v>
      </c>
    </row>
    <row r="32" spans="1:32" x14ac:dyDescent="0.15">
      <c r="A32" s="26" t="s">
        <v>91</v>
      </c>
    </row>
    <row r="33" spans="1:24" x14ac:dyDescent="0.15">
      <c r="A33" s="22">
        <v>41733</v>
      </c>
      <c r="E33" s="22">
        <v>41738</v>
      </c>
      <c r="I33" s="22">
        <v>41743</v>
      </c>
      <c r="M33" s="22">
        <v>41750</v>
      </c>
      <c r="Q33" s="22">
        <v>41781</v>
      </c>
      <c r="U33" s="22">
        <v>41820</v>
      </c>
    </row>
    <row r="34" spans="1:24" x14ac:dyDescent="0.15">
      <c r="A34" s="2" t="s">
        <v>47</v>
      </c>
      <c r="B34" s="2" t="s">
        <v>48</v>
      </c>
      <c r="C34" s="2">
        <v>195</v>
      </c>
      <c r="D34" s="9">
        <f t="shared" ref="D34:D50" si="6">C34/254</f>
        <v>0.76771653543307083</v>
      </c>
      <c r="E34" s="2" t="s">
        <v>47</v>
      </c>
      <c r="F34" s="2" t="s">
        <v>48</v>
      </c>
      <c r="G34" s="2">
        <v>87</v>
      </c>
      <c r="H34" s="9">
        <f t="shared" ref="H34:H51" si="7">G34/199</f>
        <v>0.43718592964824121</v>
      </c>
      <c r="I34" s="2" t="s">
        <v>29</v>
      </c>
      <c r="J34" s="2"/>
      <c r="K34" s="2">
        <v>4</v>
      </c>
      <c r="L34" s="9">
        <f t="shared" ref="L34:L50" si="8">K34/449</f>
        <v>8.9086859688195987E-3</v>
      </c>
      <c r="M34" s="2" t="s">
        <v>19</v>
      </c>
      <c r="N34" s="2"/>
      <c r="O34" s="2">
        <v>140</v>
      </c>
      <c r="P34" s="9">
        <f t="shared" ref="P34:P45" si="9">O34/258</f>
        <v>0.54263565891472865</v>
      </c>
      <c r="Q34" s="2" t="s">
        <v>76</v>
      </c>
      <c r="R34" s="2"/>
      <c r="S34" s="2">
        <v>8</v>
      </c>
      <c r="T34" s="9">
        <f t="shared" ref="T34:T48" si="10">S34/254</f>
        <v>3.1496062992125984E-2</v>
      </c>
      <c r="U34" s="2" t="s">
        <v>24</v>
      </c>
      <c r="V34" s="2"/>
      <c r="W34" s="2">
        <v>2</v>
      </c>
      <c r="X34" s="9">
        <f t="shared" ref="X34:X53" si="11">W34/242</f>
        <v>8.2644628099173556E-3</v>
      </c>
    </row>
    <row r="35" spans="1:24" x14ac:dyDescent="0.15">
      <c r="A35" s="2" t="s">
        <v>23</v>
      </c>
      <c r="B35" s="2"/>
      <c r="C35" s="2">
        <v>3</v>
      </c>
      <c r="D35" s="9">
        <f t="shared" si="6"/>
        <v>1.1811023622047244E-2</v>
      </c>
      <c r="E35" s="2" t="s">
        <v>22</v>
      </c>
      <c r="F35" s="2"/>
      <c r="G35" s="2">
        <v>7</v>
      </c>
      <c r="H35" s="9">
        <f t="shared" si="7"/>
        <v>3.5175879396984924E-2</v>
      </c>
      <c r="I35" s="2" t="s">
        <v>44</v>
      </c>
      <c r="J35" s="2"/>
      <c r="K35" s="2">
        <v>2</v>
      </c>
      <c r="L35" s="9">
        <f t="shared" si="8"/>
        <v>4.4543429844097994E-3</v>
      </c>
      <c r="M35" s="2" t="s">
        <v>17</v>
      </c>
      <c r="N35" s="2" t="s">
        <v>18</v>
      </c>
      <c r="O35" s="2">
        <v>92</v>
      </c>
      <c r="P35" s="9">
        <f t="shared" si="9"/>
        <v>0.35658914728682173</v>
      </c>
      <c r="Q35" s="2" t="s">
        <v>17</v>
      </c>
      <c r="R35" s="2" t="s">
        <v>18</v>
      </c>
      <c r="S35" s="2">
        <v>45</v>
      </c>
      <c r="T35" s="9">
        <f t="shared" si="10"/>
        <v>0.17716535433070865</v>
      </c>
      <c r="U35" s="2" t="s">
        <v>13</v>
      </c>
      <c r="V35" s="2" t="s">
        <v>15</v>
      </c>
      <c r="W35" s="2">
        <v>27</v>
      </c>
      <c r="X35" s="9">
        <f t="shared" si="11"/>
        <v>0.1115702479338843</v>
      </c>
    </row>
    <row r="36" spans="1:24" x14ac:dyDescent="0.15">
      <c r="A36" s="2" t="s">
        <v>16</v>
      </c>
      <c r="B36" s="2"/>
      <c r="C36" s="2">
        <v>1</v>
      </c>
      <c r="D36" s="9">
        <f t="shared" si="6"/>
        <v>3.937007874015748E-3</v>
      </c>
      <c r="E36" s="2" t="s">
        <v>17</v>
      </c>
      <c r="F36" s="2" t="s">
        <v>18</v>
      </c>
      <c r="G36" s="2">
        <v>30</v>
      </c>
      <c r="H36" s="9">
        <f t="shared" si="7"/>
        <v>0.15075376884422109</v>
      </c>
      <c r="I36" s="2" t="s">
        <v>50</v>
      </c>
      <c r="J36" s="2"/>
      <c r="K36" s="2">
        <v>2</v>
      </c>
      <c r="L36" s="9">
        <f t="shared" si="8"/>
        <v>4.4543429844097994E-3</v>
      </c>
      <c r="M36" s="2" t="s">
        <v>76</v>
      </c>
      <c r="N36" s="2"/>
      <c r="O36" s="2">
        <v>3</v>
      </c>
      <c r="P36" s="9">
        <f t="shared" si="9"/>
        <v>1.1627906976744186E-2</v>
      </c>
      <c r="Q36" s="2" t="s">
        <v>19</v>
      </c>
      <c r="R36" s="2"/>
      <c r="S36" s="2">
        <v>2</v>
      </c>
      <c r="T36" s="9">
        <f t="shared" si="10"/>
        <v>7.874015748031496E-3</v>
      </c>
      <c r="U36" s="2" t="s">
        <v>68</v>
      </c>
      <c r="V36" s="2"/>
      <c r="W36" s="2">
        <v>1</v>
      </c>
      <c r="X36" s="9">
        <f t="shared" si="11"/>
        <v>4.1322314049586778E-3</v>
      </c>
    </row>
    <row r="37" spans="1:24" x14ac:dyDescent="0.15">
      <c r="A37" s="2" t="s">
        <v>17</v>
      </c>
      <c r="B37" s="2" t="s">
        <v>18</v>
      </c>
      <c r="C37" s="2">
        <v>4</v>
      </c>
      <c r="D37" s="9">
        <f t="shared" si="6"/>
        <v>1.5748031496062992E-2</v>
      </c>
      <c r="E37" s="2" t="s">
        <v>26</v>
      </c>
      <c r="F37" s="2"/>
      <c r="G37" s="2">
        <v>8</v>
      </c>
      <c r="H37" s="9">
        <f t="shared" si="7"/>
        <v>4.0201005025125629E-2</v>
      </c>
      <c r="I37" s="2" t="s">
        <v>76</v>
      </c>
      <c r="J37" s="2"/>
      <c r="K37" s="2">
        <f>37+25</f>
        <v>62</v>
      </c>
      <c r="L37" s="9">
        <f t="shared" si="8"/>
        <v>0.13808463251670378</v>
      </c>
      <c r="M37" s="2" t="s">
        <v>68</v>
      </c>
      <c r="N37" s="2"/>
      <c r="O37" s="2">
        <v>1</v>
      </c>
      <c r="P37" s="9">
        <f t="shared" si="9"/>
        <v>3.875968992248062E-3</v>
      </c>
      <c r="Q37" s="2" t="s">
        <v>13</v>
      </c>
      <c r="R37" s="2" t="s">
        <v>15</v>
      </c>
      <c r="S37" s="2">
        <v>11</v>
      </c>
      <c r="T37" s="9">
        <f t="shared" si="10"/>
        <v>4.3307086614173228E-2</v>
      </c>
      <c r="U37" s="2" t="s">
        <v>22</v>
      </c>
      <c r="V37" s="2"/>
      <c r="W37" s="2">
        <v>18</v>
      </c>
      <c r="X37" s="9">
        <f t="shared" si="11"/>
        <v>7.43801652892562E-2</v>
      </c>
    </row>
    <row r="38" spans="1:24" x14ac:dyDescent="0.15">
      <c r="A38" s="2" t="s">
        <v>68</v>
      </c>
      <c r="B38" s="2"/>
      <c r="C38" s="2">
        <v>3</v>
      </c>
      <c r="D38" s="9">
        <f t="shared" si="6"/>
        <v>1.1811023622047244E-2</v>
      </c>
      <c r="E38" s="2" t="s">
        <v>13</v>
      </c>
      <c r="F38" s="2" t="s">
        <v>15</v>
      </c>
      <c r="G38" s="2">
        <v>14</v>
      </c>
      <c r="H38" s="9">
        <f t="shared" si="7"/>
        <v>7.0351758793969849E-2</v>
      </c>
      <c r="I38" s="2" t="s">
        <v>13</v>
      </c>
      <c r="J38" s="2" t="s">
        <v>15</v>
      </c>
      <c r="K38" s="2">
        <v>55</v>
      </c>
      <c r="L38" s="9">
        <f t="shared" si="8"/>
        <v>0.12249443207126949</v>
      </c>
      <c r="M38" s="2" t="s">
        <v>22</v>
      </c>
      <c r="N38" s="2"/>
      <c r="O38" s="2">
        <v>1</v>
      </c>
      <c r="P38" s="9">
        <f t="shared" si="9"/>
        <v>3.875968992248062E-3</v>
      </c>
      <c r="Q38" s="2" t="s">
        <v>68</v>
      </c>
      <c r="R38" s="2"/>
      <c r="S38" s="2">
        <v>2</v>
      </c>
      <c r="T38" s="9">
        <f t="shared" si="10"/>
        <v>7.874015748031496E-3</v>
      </c>
      <c r="U38" s="2" t="s">
        <v>17</v>
      </c>
      <c r="V38" s="2" t="s">
        <v>18</v>
      </c>
      <c r="W38" s="2">
        <v>50</v>
      </c>
      <c r="X38" s="9">
        <f t="shared" si="11"/>
        <v>0.20661157024793389</v>
      </c>
    </row>
    <row r="39" spans="1:24" x14ac:dyDescent="0.15">
      <c r="A39" s="2" t="s">
        <v>7</v>
      </c>
      <c r="B39" s="2"/>
      <c r="C39" s="2">
        <v>9</v>
      </c>
      <c r="D39" s="9">
        <f t="shared" si="6"/>
        <v>3.5433070866141732E-2</v>
      </c>
      <c r="E39" s="2" t="s">
        <v>77</v>
      </c>
      <c r="F39" s="2"/>
      <c r="G39" s="2">
        <v>1</v>
      </c>
      <c r="H39" s="9">
        <f t="shared" si="7"/>
        <v>5.0251256281407036E-3</v>
      </c>
      <c r="I39" s="2" t="s">
        <v>17</v>
      </c>
      <c r="J39" s="2" t="s">
        <v>18</v>
      </c>
      <c r="K39" s="2">
        <f>85+110</f>
        <v>195</v>
      </c>
      <c r="L39" s="9">
        <f t="shared" si="8"/>
        <v>0.43429844097995546</v>
      </c>
      <c r="M39" s="2" t="s">
        <v>13</v>
      </c>
      <c r="N39" s="2" t="s">
        <v>15</v>
      </c>
      <c r="O39" s="2">
        <v>9</v>
      </c>
      <c r="P39" s="9">
        <f t="shared" si="9"/>
        <v>3.4883720930232558E-2</v>
      </c>
      <c r="Q39" s="2" t="s">
        <v>47</v>
      </c>
      <c r="R39" s="2" t="s">
        <v>48</v>
      </c>
      <c r="S39" s="2">
        <v>121</v>
      </c>
      <c r="T39" s="9">
        <f t="shared" si="10"/>
        <v>0.4763779527559055</v>
      </c>
      <c r="U39" s="2" t="s">
        <v>19</v>
      </c>
      <c r="V39" s="2"/>
      <c r="W39" s="2">
        <v>26</v>
      </c>
      <c r="X39" s="9">
        <f t="shared" si="11"/>
        <v>0.10743801652892562</v>
      </c>
    </row>
    <row r="40" spans="1:24" x14ac:dyDescent="0.15">
      <c r="A40" s="2" t="s">
        <v>26</v>
      </c>
      <c r="B40" s="2"/>
      <c r="C40" s="2">
        <v>19</v>
      </c>
      <c r="D40" s="9">
        <f t="shared" si="6"/>
        <v>7.4803149606299218E-2</v>
      </c>
      <c r="E40" s="2" t="s">
        <v>44</v>
      </c>
      <c r="F40" s="2"/>
      <c r="G40" s="2">
        <v>4</v>
      </c>
      <c r="H40" s="9">
        <f t="shared" si="7"/>
        <v>2.0100502512562814E-2</v>
      </c>
      <c r="I40" s="2" t="s">
        <v>22</v>
      </c>
      <c r="J40" s="2"/>
      <c r="K40" s="2">
        <v>26</v>
      </c>
      <c r="L40" s="9">
        <f t="shared" si="8"/>
        <v>5.7906458797327393E-2</v>
      </c>
      <c r="M40" s="2" t="s">
        <v>47</v>
      </c>
      <c r="N40" s="2" t="s">
        <v>48</v>
      </c>
      <c r="O40" s="2">
        <v>6</v>
      </c>
      <c r="P40" s="9">
        <f t="shared" si="9"/>
        <v>2.3255813953488372E-2</v>
      </c>
      <c r="Q40" s="2" t="s">
        <v>47</v>
      </c>
      <c r="R40" s="2" t="s">
        <v>64</v>
      </c>
      <c r="S40" s="2">
        <v>2</v>
      </c>
      <c r="T40" s="9">
        <f t="shared" si="10"/>
        <v>7.874015748031496E-3</v>
      </c>
      <c r="U40" s="2" t="s">
        <v>16</v>
      </c>
      <c r="V40" s="2"/>
      <c r="W40" s="2">
        <v>1</v>
      </c>
      <c r="X40" s="9">
        <f t="shared" si="11"/>
        <v>4.1322314049586778E-3</v>
      </c>
    </row>
    <row r="41" spans="1:24" x14ac:dyDescent="0.15">
      <c r="A41" s="2" t="s">
        <v>29</v>
      </c>
      <c r="B41" s="2" t="s">
        <v>33</v>
      </c>
      <c r="C41" s="2">
        <v>1</v>
      </c>
      <c r="D41" s="9">
        <f t="shared" si="6"/>
        <v>3.937007874015748E-3</v>
      </c>
      <c r="E41" s="2" t="s">
        <v>68</v>
      </c>
      <c r="F41" s="2"/>
      <c r="G41" s="2">
        <v>2</v>
      </c>
      <c r="H41" s="9">
        <f t="shared" si="7"/>
        <v>1.0050251256281407E-2</v>
      </c>
      <c r="I41" s="2" t="s">
        <v>23</v>
      </c>
      <c r="J41" s="2"/>
      <c r="K41" s="2">
        <v>13</v>
      </c>
      <c r="L41" s="9">
        <f t="shared" si="8"/>
        <v>2.8953229398663696E-2</v>
      </c>
      <c r="M41" s="2" t="s">
        <v>44</v>
      </c>
      <c r="N41" s="2"/>
      <c r="O41" s="2">
        <v>2</v>
      </c>
      <c r="P41" s="9">
        <f t="shared" si="9"/>
        <v>7.7519379844961239E-3</v>
      </c>
      <c r="Q41" s="2" t="s">
        <v>47</v>
      </c>
      <c r="R41" s="2"/>
      <c r="S41" s="2">
        <v>2</v>
      </c>
      <c r="T41" s="9">
        <f t="shared" si="10"/>
        <v>7.874015748031496E-3</v>
      </c>
      <c r="U41" s="2" t="s">
        <v>6</v>
      </c>
      <c r="V41" s="2"/>
      <c r="W41" s="2">
        <v>3</v>
      </c>
      <c r="X41" s="9">
        <f t="shared" si="11"/>
        <v>1.2396694214876033E-2</v>
      </c>
    </row>
    <row r="42" spans="1:24" x14ac:dyDescent="0.15">
      <c r="A42" s="2" t="s">
        <v>47</v>
      </c>
      <c r="B42" s="2"/>
      <c r="C42" s="2">
        <v>6</v>
      </c>
      <c r="D42" s="9">
        <f t="shared" si="6"/>
        <v>2.3622047244094488E-2</v>
      </c>
      <c r="E42" s="2" t="s">
        <v>24</v>
      </c>
      <c r="F42" s="2"/>
      <c r="G42" s="2">
        <v>35</v>
      </c>
      <c r="H42" s="9">
        <f t="shared" si="7"/>
        <v>0.17587939698492464</v>
      </c>
      <c r="I42" s="2" t="s">
        <v>47</v>
      </c>
      <c r="J42" s="2" t="s">
        <v>48</v>
      </c>
      <c r="K42" s="2">
        <v>30</v>
      </c>
      <c r="L42" s="9">
        <f t="shared" si="8"/>
        <v>6.6815144766147E-2</v>
      </c>
      <c r="M42" s="2" t="s">
        <v>26</v>
      </c>
      <c r="N42" s="2"/>
      <c r="O42" s="2">
        <v>1</v>
      </c>
      <c r="P42" s="9">
        <f t="shared" si="9"/>
        <v>3.875968992248062E-3</v>
      </c>
      <c r="Q42" s="2" t="s">
        <v>26</v>
      </c>
      <c r="R42" s="2"/>
      <c r="S42" s="2">
        <v>22</v>
      </c>
      <c r="T42" s="9">
        <f t="shared" si="10"/>
        <v>8.6614173228346455E-2</v>
      </c>
      <c r="U42" s="2" t="s">
        <v>47</v>
      </c>
      <c r="V42" s="2"/>
      <c r="W42" s="2">
        <v>10</v>
      </c>
      <c r="X42" s="9">
        <f t="shared" si="11"/>
        <v>4.1322314049586778E-2</v>
      </c>
    </row>
    <row r="43" spans="1:24" x14ac:dyDescent="0.15">
      <c r="A43" s="2" t="s">
        <v>72</v>
      </c>
      <c r="B43" s="2"/>
      <c r="C43" s="2">
        <v>1</v>
      </c>
      <c r="D43" s="9">
        <f t="shared" si="6"/>
        <v>3.937007874015748E-3</v>
      </c>
      <c r="E43" s="2" t="s">
        <v>6</v>
      </c>
      <c r="F43" s="2"/>
      <c r="G43" s="2">
        <v>2</v>
      </c>
      <c r="H43" s="9">
        <f t="shared" si="7"/>
        <v>1.0050251256281407E-2</v>
      </c>
      <c r="I43" s="2" t="s">
        <v>47</v>
      </c>
      <c r="J43" s="2"/>
      <c r="K43" s="2">
        <v>1</v>
      </c>
      <c r="L43" s="9">
        <f t="shared" si="8"/>
        <v>2.2271714922048997E-3</v>
      </c>
      <c r="M43" s="2" t="s">
        <v>50</v>
      </c>
      <c r="N43" s="2"/>
      <c r="O43" s="2">
        <v>1</v>
      </c>
      <c r="P43" s="9">
        <f t="shared" si="9"/>
        <v>3.875968992248062E-3</v>
      </c>
      <c r="Q43" s="2" t="s">
        <v>29</v>
      </c>
      <c r="R43" s="2" t="s">
        <v>67</v>
      </c>
      <c r="S43" s="2">
        <v>1</v>
      </c>
      <c r="T43" s="9">
        <f t="shared" si="10"/>
        <v>3.937007874015748E-3</v>
      </c>
      <c r="U43" s="2" t="s">
        <v>47</v>
      </c>
      <c r="V43" s="2" t="s">
        <v>48</v>
      </c>
      <c r="W43" s="2">
        <v>41</v>
      </c>
      <c r="X43" s="9">
        <f t="shared" si="11"/>
        <v>0.16942148760330578</v>
      </c>
    </row>
    <row r="44" spans="1:24" x14ac:dyDescent="0.15">
      <c r="A44" s="2" t="s">
        <v>73</v>
      </c>
      <c r="B44" s="2"/>
      <c r="C44" s="2">
        <v>4</v>
      </c>
      <c r="D44" s="9">
        <f t="shared" si="6"/>
        <v>1.5748031496062992E-2</v>
      </c>
      <c r="E44" s="2" t="s">
        <v>36</v>
      </c>
      <c r="F44" s="2" t="s">
        <v>39</v>
      </c>
      <c r="G44" s="2">
        <v>1</v>
      </c>
      <c r="H44" s="9">
        <f t="shared" si="7"/>
        <v>5.0251256281407036E-3</v>
      </c>
      <c r="I44" s="2" t="s">
        <v>26</v>
      </c>
      <c r="J44" s="2"/>
      <c r="K44" s="2">
        <v>9</v>
      </c>
      <c r="L44" s="9">
        <f t="shared" si="8"/>
        <v>2.0044543429844099E-2</v>
      </c>
      <c r="M44" s="2" t="s">
        <v>29</v>
      </c>
      <c r="N44" s="2" t="s">
        <v>67</v>
      </c>
      <c r="O44" s="2">
        <v>1</v>
      </c>
      <c r="P44" s="9">
        <f t="shared" si="9"/>
        <v>3.875968992248062E-3</v>
      </c>
      <c r="Q44" s="2" t="s">
        <v>29</v>
      </c>
      <c r="R44" s="2"/>
      <c r="S44" s="2">
        <v>8</v>
      </c>
      <c r="T44" s="9">
        <f t="shared" si="10"/>
        <v>3.1496062992125984E-2</v>
      </c>
      <c r="U44" s="2" t="s">
        <v>47</v>
      </c>
      <c r="V44" s="2" t="s">
        <v>64</v>
      </c>
      <c r="W44" s="2">
        <v>2</v>
      </c>
      <c r="X44" s="9">
        <f t="shared" si="11"/>
        <v>8.2644628099173556E-3</v>
      </c>
    </row>
    <row r="45" spans="1:24" x14ac:dyDescent="0.15">
      <c r="A45" s="2" t="s">
        <v>50</v>
      </c>
      <c r="B45" s="2"/>
      <c r="C45" s="2">
        <v>3</v>
      </c>
      <c r="D45" s="9">
        <f t="shared" si="6"/>
        <v>1.1811023622047244E-2</v>
      </c>
      <c r="E45" s="2" t="s">
        <v>42</v>
      </c>
      <c r="F45" s="2" t="s">
        <v>43</v>
      </c>
      <c r="G45" s="2">
        <v>1</v>
      </c>
      <c r="H45" s="9">
        <f t="shared" si="7"/>
        <v>5.0251256281407036E-3</v>
      </c>
      <c r="I45" s="2" t="s">
        <v>19</v>
      </c>
      <c r="J45" s="2"/>
      <c r="K45" s="2">
        <v>10</v>
      </c>
      <c r="L45" s="9">
        <f t="shared" si="8"/>
        <v>2.2271714922048998E-2</v>
      </c>
      <c r="M45" s="2" t="s">
        <v>28</v>
      </c>
      <c r="N45" s="2"/>
      <c r="O45" s="2">
        <v>1</v>
      </c>
      <c r="P45" s="9">
        <f t="shared" si="9"/>
        <v>3.875968992248062E-3</v>
      </c>
      <c r="Q45" s="2" t="s">
        <v>42</v>
      </c>
      <c r="R45" s="2" t="s">
        <v>43</v>
      </c>
      <c r="S45" s="2">
        <v>6</v>
      </c>
      <c r="T45" s="9">
        <f t="shared" si="10"/>
        <v>2.3622047244094488E-2</v>
      </c>
      <c r="U45" s="2" t="s">
        <v>26</v>
      </c>
      <c r="V45" s="2"/>
      <c r="W45" s="2">
        <v>10</v>
      </c>
      <c r="X45" s="9">
        <f t="shared" si="11"/>
        <v>4.1322314049586778E-2</v>
      </c>
    </row>
    <row r="46" spans="1:24" x14ac:dyDescent="0.15">
      <c r="A46" s="2" t="s">
        <v>36</v>
      </c>
      <c r="B46" s="2"/>
      <c r="C46" s="2">
        <v>1</v>
      </c>
      <c r="D46" s="9">
        <f t="shared" si="6"/>
        <v>3.937007874015748E-3</v>
      </c>
      <c r="E46" s="2" t="s">
        <v>29</v>
      </c>
      <c r="F46" s="2" t="s">
        <v>33</v>
      </c>
      <c r="G46" s="2">
        <v>2</v>
      </c>
      <c r="H46" s="9">
        <f t="shared" si="7"/>
        <v>1.0050251256281407E-2</v>
      </c>
      <c r="I46" s="2" t="s">
        <v>47</v>
      </c>
      <c r="J46" s="2" t="s">
        <v>48</v>
      </c>
      <c r="K46" s="2">
        <v>35</v>
      </c>
      <c r="L46" s="9">
        <f t="shared" si="8"/>
        <v>7.7951002227171495E-2</v>
      </c>
      <c r="Q46" s="2" t="s">
        <v>44</v>
      </c>
      <c r="R46" s="2"/>
      <c r="S46" s="2">
        <v>5</v>
      </c>
      <c r="T46" s="9">
        <f t="shared" si="10"/>
        <v>1.968503937007874E-2</v>
      </c>
      <c r="U46" s="2" t="s">
        <v>50</v>
      </c>
      <c r="V46" s="2"/>
      <c r="W46" s="2">
        <v>3</v>
      </c>
      <c r="X46" s="9">
        <f t="shared" si="11"/>
        <v>1.2396694214876033E-2</v>
      </c>
    </row>
    <row r="47" spans="1:24" x14ac:dyDescent="0.15">
      <c r="A47" s="2" t="s">
        <v>42</v>
      </c>
      <c r="B47" s="2" t="s">
        <v>43</v>
      </c>
      <c r="C47" s="2">
        <v>1</v>
      </c>
      <c r="D47" s="9">
        <f t="shared" si="6"/>
        <v>3.937007874015748E-3</v>
      </c>
      <c r="E47" s="2" t="s">
        <v>47</v>
      </c>
      <c r="F47" s="2"/>
      <c r="G47" s="2">
        <v>1</v>
      </c>
      <c r="H47" s="9">
        <f t="shared" si="7"/>
        <v>5.0251256281407036E-3</v>
      </c>
      <c r="I47" s="2" t="s">
        <v>47</v>
      </c>
      <c r="J47" s="2" t="s">
        <v>64</v>
      </c>
      <c r="K47" s="2">
        <v>1</v>
      </c>
      <c r="L47" s="9">
        <f t="shared" si="8"/>
        <v>2.2271714922048997E-3</v>
      </c>
      <c r="Q47" s="2" t="s">
        <v>50</v>
      </c>
      <c r="R47" s="2"/>
      <c r="S47" s="2">
        <v>18</v>
      </c>
      <c r="T47" s="9">
        <f t="shared" si="10"/>
        <v>7.0866141732283464E-2</v>
      </c>
      <c r="U47" s="2" t="s">
        <v>29</v>
      </c>
      <c r="V47" s="2" t="s">
        <v>67</v>
      </c>
      <c r="W47" s="2">
        <v>5</v>
      </c>
      <c r="X47" s="9">
        <f t="shared" si="11"/>
        <v>2.0661157024793389E-2</v>
      </c>
    </row>
    <row r="48" spans="1:24" x14ac:dyDescent="0.15">
      <c r="A48" s="2" t="s">
        <v>19</v>
      </c>
      <c r="B48" s="2"/>
      <c r="C48" s="2">
        <v>1</v>
      </c>
      <c r="D48" s="9">
        <f t="shared" si="6"/>
        <v>3.937007874015748E-3</v>
      </c>
      <c r="E48" s="2" t="s">
        <v>66</v>
      </c>
      <c r="F48" s="2"/>
      <c r="G48" s="2">
        <v>1</v>
      </c>
      <c r="H48" s="9">
        <f t="shared" si="7"/>
        <v>5.0251256281407036E-3</v>
      </c>
      <c r="I48" s="2" t="s">
        <v>29</v>
      </c>
      <c r="J48" s="2" t="s">
        <v>67</v>
      </c>
      <c r="K48" s="2">
        <v>1</v>
      </c>
      <c r="L48" s="9">
        <f t="shared" si="8"/>
        <v>2.2271714922048997E-3</v>
      </c>
      <c r="Q48" s="2" t="s">
        <v>25</v>
      </c>
      <c r="R48" s="2"/>
      <c r="S48" s="2">
        <v>1</v>
      </c>
      <c r="T48" s="9">
        <f t="shared" si="10"/>
        <v>3.937007874015748E-3</v>
      </c>
      <c r="U48" s="2" t="s">
        <v>29</v>
      </c>
      <c r="V48" s="2" t="s">
        <v>32</v>
      </c>
      <c r="W48" s="2">
        <v>2</v>
      </c>
      <c r="X48" s="9">
        <f t="shared" si="11"/>
        <v>8.2644628099173556E-3</v>
      </c>
    </row>
    <row r="49" spans="1:24" x14ac:dyDescent="0.15">
      <c r="A49" s="2" t="s">
        <v>44</v>
      </c>
      <c r="B49" s="2"/>
      <c r="C49" s="2">
        <v>1</v>
      </c>
      <c r="D49" s="9">
        <f t="shared" si="6"/>
        <v>3.937007874015748E-3</v>
      </c>
      <c r="E49" s="2" t="s">
        <v>19</v>
      </c>
      <c r="F49" s="2"/>
      <c r="G49" s="2">
        <v>1</v>
      </c>
      <c r="H49" s="9">
        <f t="shared" si="7"/>
        <v>5.0251256281407036E-3</v>
      </c>
      <c r="I49" s="2" t="s">
        <v>29</v>
      </c>
      <c r="J49" s="2" t="s">
        <v>32</v>
      </c>
      <c r="K49" s="2">
        <v>1</v>
      </c>
      <c r="L49" s="9">
        <f t="shared" si="8"/>
        <v>2.2271714922048997E-3</v>
      </c>
      <c r="Q49" s="2"/>
      <c r="R49" s="2"/>
      <c r="S49" s="2"/>
      <c r="U49" s="2" t="s">
        <v>42</v>
      </c>
      <c r="V49" s="2" t="s">
        <v>43</v>
      </c>
      <c r="W49" s="2">
        <v>5</v>
      </c>
      <c r="X49" s="9">
        <f t="shared" si="11"/>
        <v>2.0661157024793389E-2</v>
      </c>
    </row>
    <row r="50" spans="1:24" x14ac:dyDescent="0.15">
      <c r="A50" s="2" t="s">
        <v>74</v>
      </c>
      <c r="B50" s="2"/>
      <c r="C50" s="2">
        <v>1</v>
      </c>
      <c r="D50" s="9">
        <f t="shared" si="6"/>
        <v>3.937007874015748E-3</v>
      </c>
      <c r="E50" s="2" t="s">
        <v>65</v>
      </c>
      <c r="F50" s="2"/>
      <c r="G50" s="2">
        <v>1</v>
      </c>
      <c r="H50" s="9">
        <f t="shared" si="7"/>
        <v>5.0251256281407036E-3</v>
      </c>
      <c r="I50" s="2" t="s">
        <v>28</v>
      </c>
      <c r="J50" s="2"/>
      <c r="K50" s="2">
        <v>2</v>
      </c>
      <c r="L50" s="9">
        <f t="shared" si="8"/>
        <v>4.4543429844097994E-3</v>
      </c>
      <c r="U50" s="2" t="s">
        <v>36</v>
      </c>
      <c r="V50" s="2"/>
      <c r="W50" s="2">
        <v>1</v>
      </c>
      <c r="X50" s="9">
        <f t="shared" si="11"/>
        <v>4.1322314049586778E-3</v>
      </c>
    </row>
    <row r="51" spans="1:24" x14ac:dyDescent="0.15">
      <c r="A51" s="2"/>
      <c r="B51" s="2"/>
      <c r="C51" s="2"/>
      <c r="E51" s="2" t="s">
        <v>20</v>
      </c>
      <c r="F51" s="2" t="s">
        <v>78</v>
      </c>
      <c r="G51" s="2">
        <v>1</v>
      </c>
      <c r="H51" s="9">
        <f t="shared" si="7"/>
        <v>5.0251256281407036E-3</v>
      </c>
      <c r="U51" s="2" t="s">
        <v>89</v>
      </c>
      <c r="V51" s="2"/>
      <c r="W51" s="2">
        <v>1</v>
      </c>
      <c r="X51" s="9">
        <f t="shared" si="11"/>
        <v>4.1322314049586778E-3</v>
      </c>
    </row>
    <row r="52" spans="1:24" x14ac:dyDescent="0.15">
      <c r="E52" s="2"/>
      <c r="F52" s="2"/>
      <c r="G52" s="2"/>
      <c r="U52" s="2" t="s">
        <v>29</v>
      </c>
      <c r="V52" s="2"/>
      <c r="W52" s="2">
        <v>2</v>
      </c>
      <c r="X52" s="9">
        <f t="shared" si="11"/>
        <v>8.2644628099173556E-3</v>
      </c>
    </row>
    <row r="53" spans="1:24" x14ac:dyDescent="0.15">
      <c r="A53" s="25" t="s">
        <v>63</v>
      </c>
      <c r="I53" s="2"/>
      <c r="J53" s="2"/>
      <c r="K53" s="2"/>
      <c r="U53" s="2" t="s">
        <v>44</v>
      </c>
      <c r="V53" s="2"/>
      <c r="W53" s="2">
        <v>32</v>
      </c>
      <c r="X53" s="9">
        <f t="shared" si="11"/>
        <v>0.13223140495867769</v>
      </c>
    </row>
    <row r="54" spans="1:24" x14ac:dyDescent="0.15">
      <c r="A54" s="22">
        <v>41733</v>
      </c>
      <c r="F54" s="22">
        <v>41743</v>
      </c>
      <c r="J54" s="24">
        <v>42115</v>
      </c>
      <c r="N54" s="22">
        <v>41781</v>
      </c>
      <c r="R54" s="22">
        <v>42185</v>
      </c>
      <c r="U54" s="2"/>
      <c r="V54" s="2"/>
      <c r="W54" s="2"/>
    </row>
    <row r="55" spans="1:24" x14ac:dyDescent="0.15">
      <c r="A55" s="2" t="s">
        <v>47</v>
      </c>
      <c r="B55" s="2" t="s">
        <v>48</v>
      </c>
      <c r="C55" s="2">
        <v>187</v>
      </c>
      <c r="D55" s="2">
        <f t="shared" ref="D55:D74" si="12">C55/442</f>
        <v>0.42307692307692307</v>
      </c>
      <c r="E55" s="2"/>
      <c r="F55" s="2" t="s">
        <v>76</v>
      </c>
      <c r="G55" s="2"/>
      <c r="H55" s="2">
        <v>77</v>
      </c>
      <c r="I55" s="2">
        <f t="shared" ref="I55:I73" si="13">H55/401</f>
        <v>0.19201995012468828</v>
      </c>
      <c r="J55" s="2" t="s">
        <v>24</v>
      </c>
      <c r="K55" s="2"/>
      <c r="L55" s="2">
        <v>2</v>
      </c>
      <c r="M55" s="9">
        <f t="shared" ref="M55:M62" si="14">L55/206</f>
        <v>9.7087378640776691E-3</v>
      </c>
      <c r="N55" s="2" t="s">
        <v>24</v>
      </c>
      <c r="O55" s="2"/>
      <c r="P55" s="2">
        <v>6</v>
      </c>
      <c r="Q55" s="9">
        <f t="shared" ref="Q55:Q69" si="15">P55/219</f>
        <v>2.7397260273972601E-2</v>
      </c>
      <c r="R55" s="2" t="s">
        <v>76</v>
      </c>
      <c r="S55" s="2"/>
      <c r="T55" s="2">
        <v>1</v>
      </c>
      <c r="U55" s="9">
        <f t="shared" ref="U55:U71" si="16">T55/204</f>
        <v>4.9019607843137254E-3</v>
      </c>
    </row>
    <row r="56" spans="1:24" x14ac:dyDescent="0.15">
      <c r="A56" s="2" t="s">
        <v>47</v>
      </c>
      <c r="B56" s="2" t="s">
        <v>64</v>
      </c>
      <c r="C56" s="2">
        <v>13</v>
      </c>
      <c r="D56" s="2">
        <f t="shared" si="12"/>
        <v>2.9411764705882353E-2</v>
      </c>
      <c r="E56" s="2"/>
      <c r="F56" s="2" t="s">
        <v>17</v>
      </c>
      <c r="G56" s="2" t="s">
        <v>18</v>
      </c>
      <c r="H56" s="2">
        <v>105</v>
      </c>
      <c r="I56" s="2">
        <f t="shared" si="13"/>
        <v>0.26184538653366585</v>
      </c>
      <c r="J56" s="2" t="s">
        <v>13</v>
      </c>
      <c r="K56" s="2" t="s">
        <v>15</v>
      </c>
      <c r="L56" s="2">
        <v>7</v>
      </c>
      <c r="M56" s="9">
        <f t="shared" si="14"/>
        <v>3.3980582524271843E-2</v>
      </c>
      <c r="N56" s="2" t="s">
        <v>47</v>
      </c>
      <c r="O56" s="2" t="s">
        <v>48</v>
      </c>
      <c r="P56" s="2">
        <v>50</v>
      </c>
      <c r="Q56" s="9">
        <f t="shared" si="15"/>
        <v>0.22831050228310501</v>
      </c>
      <c r="R56" s="2" t="s">
        <v>13</v>
      </c>
      <c r="S56" s="2" t="s">
        <v>15</v>
      </c>
      <c r="T56" s="2">
        <v>12</v>
      </c>
      <c r="U56" s="9">
        <f t="shared" si="16"/>
        <v>5.8823529411764705E-2</v>
      </c>
    </row>
    <row r="57" spans="1:24" x14ac:dyDescent="0.15">
      <c r="A57" s="2" t="s">
        <v>26</v>
      </c>
      <c r="B57" s="2"/>
      <c r="C57" s="2">
        <v>108</v>
      </c>
      <c r="D57" s="2">
        <f t="shared" si="12"/>
        <v>0.24434389140271492</v>
      </c>
      <c r="E57" s="2"/>
      <c r="F57" s="2" t="s">
        <v>22</v>
      </c>
      <c r="G57" s="2"/>
      <c r="H57" s="2">
        <v>2</v>
      </c>
      <c r="I57" s="2">
        <f t="shared" si="13"/>
        <v>4.9875311720698253E-3</v>
      </c>
      <c r="J57" s="2" t="s">
        <v>17</v>
      </c>
      <c r="K57" s="2" t="s">
        <v>18</v>
      </c>
      <c r="L57" s="2">
        <v>60</v>
      </c>
      <c r="M57" s="9">
        <f t="shared" si="14"/>
        <v>0.29126213592233008</v>
      </c>
      <c r="N57" s="2" t="s">
        <v>26</v>
      </c>
      <c r="O57" s="2"/>
      <c r="P57" s="2">
        <v>7</v>
      </c>
      <c r="Q57" s="9">
        <f t="shared" si="15"/>
        <v>3.1963470319634701E-2</v>
      </c>
      <c r="R57" s="2" t="s">
        <v>74</v>
      </c>
      <c r="S57" s="2"/>
      <c r="T57" s="2">
        <v>2</v>
      </c>
      <c r="U57" s="9">
        <f t="shared" si="16"/>
        <v>9.8039215686274508E-3</v>
      </c>
    </row>
    <row r="58" spans="1:24" x14ac:dyDescent="0.15">
      <c r="A58" s="2" t="s">
        <v>24</v>
      </c>
      <c r="B58" s="2"/>
      <c r="C58" s="2">
        <v>46</v>
      </c>
      <c r="D58" s="2">
        <f t="shared" si="12"/>
        <v>0.10407239819004525</v>
      </c>
      <c r="E58" s="2"/>
      <c r="F58" s="2" t="s">
        <v>19</v>
      </c>
      <c r="G58" s="2"/>
      <c r="H58" s="2">
        <v>18</v>
      </c>
      <c r="I58" s="2">
        <f t="shared" si="13"/>
        <v>4.488778054862843E-2</v>
      </c>
      <c r="J58" s="2" t="s">
        <v>23</v>
      </c>
      <c r="K58" s="2"/>
      <c r="L58" s="2">
        <v>130</v>
      </c>
      <c r="M58" s="9">
        <f t="shared" si="14"/>
        <v>0.6310679611650486</v>
      </c>
      <c r="N58" s="2" t="s">
        <v>13</v>
      </c>
      <c r="O58" s="2" t="s">
        <v>15</v>
      </c>
      <c r="P58" s="2">
        <v>8</v>
      </c>
      <c r="Q58" s="9">
        <f t="shared" si="15"/>
        <v>3.6529680365296802E-2</v>
      </c>
      <c r="R58" s="2" t="s">
        <v>68</v>
      </c>
      <c r="S58" s="2"/>
      <c r="T58" s="2">
        <v>1</v>
      </c>
      <c r="U58" s="9">
        <f t="shared" si="16"/>
        <v>4.9019607843137254E-3</v>
      </c>
    </row>
    <row r="59" spans="1:24" x14ac:dyDescent="0.15">
      <c r="A59" s="2" t="s">
        <v>17</v>
      </c>
      <c r="B59" s="2" t="s">
        <v>18</v>
      </c>
      <c r="C59" s="2">
        <v>14</v>
      </c>
      <c r="D59" s="2">
        <f t="shared" si="12"/>
        <v>3.1674208144796379E-2</v>
      </c>
      <c r="E59" s="2"/>
      <c r="F59" s="2" t="s">
        <v>13</v>
      </c>
      <c r="G59" s="2" t="s">
        <v>15</v>
      </c>
      <c r="H59" s="2">
        <v>32</v>
      </c>
      <c r="I59" s="2">
        <f t="shared" si="13"/>
        <v>7.9800498753117205E-2</v>
      </c>
      <c r="J59" s="2" t="s">
        <v>47</v>
      </c>
      <c r="K59" s="2" t="s">
        <v>48</v>
      </c>
      <c r="L59" s="2">
        <v>3</v>
      </c>
      <c r="M59" s="9">
        <f t="shared" si="14"/>
        <v>1.4563106796116505E-2</v>
      </c>
      <c r="N59" s="2" t="s">
        <v>17</v>
      </c>
      <c r="O59" s="2" t="s">
        <v>18</v>
      </c>
      <c r="P59" s="2">
        <v>120</v>
      </c>
      <c r="Q59" s="9">
        <f t="shared" si="15"/>
        <v>0.54794520547945202</v>
      </c>
      <c r="R59" s="2" t="s">
        <v>22</v>
      </c>
      <c r="S59" s="2"/>
      <c r="T59" s="2">
        <v>23</v>
      </c>
      <c r="U59" s="9">
        <f t="shared" si="16"/>
        <v>0.11274509803921569</v>
      </c>
    </row>
    <row r="60" spans="1:24" x14ac:dyDescent="0.15">
      <c r="A60" s="2" t="s">
        <v>47</v>
      </c>
      <c r="B60" s="2"/>
      <c r="C60" s="2">
        <v>16</v>
      </c>
      <c r="D60" s="2">
        <f t="shared" si="12"/>
        <v>3.6199095022624438E-2</v>
      </c>
      <c r="E60" s="2"/>
      <c r="F60" s="2" t="s">
        <v>16</v>
      </c>
      <c r="G60" s="2"/>
      <c r="H60" s="2">
        <v>3</v>
      </c>
      <c r="I60" s="2">
        <f t="shared" si="13"/>
        <v>7.481296758104738E-3</v>
      </c>
      <c r="J60" s="2" t="s">
        <v>47</v>
      </c>
      <c r="K60" s="2"/>
      <c r="L60" s="2">
        <v>1</v>
      </c>
      <c r="M60" s="9">
        <f t="shared" si="14"/>
        <v>4.8543689320388345E-3</v>
      </c>
      <c r="N60" s="2" t="s">
        <v>29</v>
      </c>
      <c r="O60" s="2" t="s">
        <v>67</v>
      </c>
      <c r="P60" s="2">
        <v>2</v>
      </c>
      <c r="Q60" s="9">
        <f t="shared" si="15"/>
        <v>9.1324200913242004E-3</v>
      </c>
      <c r="R60" s="2" t="s">
        <v>47</v>
      </c>
      <c r="S60" s="2" t="s">
        <v>48</v>
      </c>
      <c r="T60" s="2">
        <v>71</v>
      </c>
      <c r="U60" s="9">
        <f t="shared" si="16"/>
        <v>0.34803921568627449</v>
      </c>
    </row>
    <row r="61" spans="1:24" x14ac:dyDescent="0.15">
      <c r="A61" s="2" t="s">
        <v>65</v>
      </c>
      <c r="B61" s="2"/>
      <c r="C61" s="2">
        <v>5</v>
      </c>
      <c r="D61" s="2">
        <f t="shared" si="12"/>
        <v>1.1312217194570135E-2</v>
      </c>
      <c r="F61" s="2" t="s">
        <v>47</v>
      </c>
      <c r="G61" s="2" t="s">
        <v>48</v>
      </c>
      <c r="H61" s="2">
        <v>125</v>
      </c>
      <c r="I61" s="2">
        <f t="shared" si="13"/>
        <v>0.3117206982543641</v>
      </c>
      <c r="J61" s="2" t="s">
        <v>36</v>
      </c>
      <c r="K61" s="2"/>
      <c r="L61" s="2">
        <v>1</v>
      </c>
      <c r="M61" s="9">
        <f t="shared" si="14"/>
        <v>4.8543689320388345E-3</v>
      </c>
      <c r="N61" s="2" t="s">
        <v>19</v>
      </c>
      <c r="O61" s="2"/>
      <c r="P61" s="2">
        <v>4</v>
      </c>
      <c r="Q61" s="9">
        <f t="shared" si="15"/>
        <v>1.8264840182648401E-2</v>
      </c>
      <c r="R61" s="2" t="s">
        <v>47</v>
      </c>
      <c r="S61" s="2" t="s">
        <v>64</v>
      </c>
      <c r="T61" s="2">
        <v>9</v>
      </c>
      <c r="U61" s="9">
        <f t="shared" si="16"/>
        <v>4.4117647058823532E-2</v>
      </c>
    </row>
    <row r="62" spans="1:24" x14ac:dyDescent="0.15">
      <c r="A62" s="2" t="s">
        <v>44</v>
      </c>
      <c r="B62" s="2"/>
      <c r="C62" s="2">
        <v>3</v>
      </c>
      <c r="D62" s="2">
        <f t="shared" si="12"/>
        <v>6.7873303167420816E-3</v>
      </c>
      <c r="F62" s="2" t="s">
        <v>47</v>
      </c>
      <c r="G62" s="2"/>
      <c r="H62" s="2">
        <v>13</v>
      </c>
      <c r="I62" s="2">
        <f t="shared" si="13"/>
        <v>3.2418952618453865E-2</v>
      </c>
      <c r="J62" s="2" t="s">
        <v>7</v>
      </c>
      <c r="K62" s="2"/>
      <c r="L62" s="2">
        <v>2</v>
      </c>
      <c r="M62" s="9">
        <f t="shared" si="14"/>
        <v>9.7087378640776691E-3</v>
      </c>
      <c r="N62" s="2" t="s">
        <v>44</v>
      </c>
      <c r="O62" s="2"/>
      <c r="P62" s="2">
        <v>4</v>
      </c>
      <c r="Q62" s="9">
        <f t="shared" si="15"/>
        <v>1.8264840182648401E-2</v>
      </c>
      <c r="R62" s="2" t="s">
        <v>26</v>
      </c>
      <c r="S62" s="2"/>
      <c r="T62" s="2">
        <v>20</v>
      </c>
      <c r="U62" s="9">
        <f t="shared" si="16"/>
        <v>9.8039215686274508E-2</v>
      </c>
    </row>
    <row r="63" spans="1:24" x14ac:dyDescent="0.15">
      <c r="A63" s="2" t="s">
        <v>50</v>
      </c>
      <c r="B63" s="2"/>
      <c r="C63" s="2">
        <v>8</v>
      </c>
      <c r="D63" s="2">
        <f t="shared" si="12"/>
        <v>1.8099547511312219E-2</v>
      </c>
      <c r="F63" s="2" t="s">
        <v>29</v>
      </c>
      <c r="G63" s="2" t="s">
        <v>33</v>
      </c>
      <c r="H63" s="2">
        <v>4</v>
      </c>
      <c r="I63" s="2">
        <f t="shared" si="13"/>
        <v>9.9750623441396506E-3</v>
      </c>
      <c r="J63" s="2"/>
      <c r="K63" s="2"/>
      <c r="L63" s="2"/>
      <c r="N63" s="2" t="s">
        <v>23</v>
      </c>
      <c r="O63" s="2"/>
      <c r="P63" s="2">
        <v>9</v>
      </c>
      <c r="Q63" s="9">
        <f t="shared" si="15"/>
        <v>4.1095890410958902E-2</v>
      </c>
      <c r="R63" s="2" t="s">
        <v>29</v>
      </c>
      <c r="S63" s="2"/>
      <c r="T63" s="2">
        <v>7</v>
      </c>
      <c r="U63" s="9">
        <f t="shared" si="16"/>
        <v>3.4313725490196081E-2</v>
      </c>
    </row>
    <row r="64" spans="1:24" x14ac:dyDescent="0.15">
      <c r="A64" s="2" t="s">
        <v>66</v>
      </c>
      <c r="B64" s="2"/>
      <c r="C64" s="2">
        <v>5</v>
      </c>
      <c r="D64" s="2">
        <f t="shared" si="12"/>
        <v>1.1312217194570135E-2</v>
      </c>
      <c r="F64" s="2" t="s">
        <v>26</v>
      </c>
      <c r="G64" s="2"/>
      <c r="H64" s="2">
        <v>3</v>
      </c>
      <c r="I64" s="2">
        <f t="shared" si="13"/>
        <v>7.481296758104738E-3</v>
      </c>
      <c r="N64" s="2" t="s">
        <v>47</v>
      </c>
      <c r="O64" s="2"/>
      <c r="P64" s="2">
        <v>2</v>
      </c>
      <c r="Q64" s="9">
        <f t="shared" si="15"/>
        <v>9.1324200913242004E-3</v>
      </c>
      <c r="R64" s="2" t="s">
        <v>29</v>
      </c>
      <c r="S64" s="2" t="s">
        <v>33</v>
      </c>
      <c r="T64" s="2">
        <v>9</v>
      </c>
      <c r="U64" s="9">
        <f t="shared" si="16"/>
        <v>4.4117647058823532E-2</v>
      </c>
    </row>
    <row r="65" spans="1:21" x14ac:dyDescent="0.15">
      <c r="A65" s="2" t="s">
        <v>29</v>
      </c>
      <c r="B65" s="2" t="s">
        <v>67</v>
      </c>
      <c r="C65" s="2">
        <v>2</v>
      </c>
      <c r="D65" s="2">
        <f t="shared" si="12"/>
        <v>4.5248868778280547E-3</v>
      </c>
      <c r="F65" s="2" t="s">
        <v>50</v>
      </c>
      <c r="G65" s="2"/>
      <c r="H65" s="2">
        <v>1</v>
      </c>
      <c r="I65" s="2">
        <f t="shared" si="13"/>
        <v>2.4937655860349127E-3</v>
      </c>
      <c r="N65" s="2" t="s">
        <v>28</v>
      </c>
      <c r="O65" s="2"/>
      <c r="P65" s="2">
        <v>2</v>
      </c>
      <c r="Q65" s="9">
        <f t="shared" si="15"/>
        <v>9.1324200913242004E-3</v>
      </c>
      <c r="R65" s="2" t="s">
        <v>36</v>
      </c>
      <c r="S65" s="2"/>
      <c r="T65" s="2">
        <v>3</v>
      </c>
      <c r="U65" s="9">
        <f t="shared" si="16"/>
        <v>1.4705882352941176E-2</v>
      </c>
    </row>
    <row r="66" spans="1:21" x14ac:dyDescent="0.15">
      <c r="A66" s="2" t="s">
        <v>19</v>
      </c>
      <c r="B66" s="2"/>
      <c r="C66" s="2">
        <v>3</v>
      </c>
      <c r="D66" s="2">
        <f t="shared" si="12"/>
        <v>6.7873303167420816E-3</v>
      </c>
      <c r="F66" s="2" t="s">
        <v>44</v>
      </c>
      <c r="G66" s="2"/>
      <c r="H66" s="2">
        <v>3</v>
      </c>
      <c r="I66" s="2">
        <f t="shared" si="13"/>
        <v>7.481296758104738E-3</v>
      </c>
      <c r="N66" s="2" t="s">
        <v>16</v>
      </c>
      <c r="O66" s="2"/>
      <c r="P66" s="2">
        <v>1</v>
      </c>
      <c r="Q66" s="9">
        <f t="shared" si="15"/>
        <v>4.5662100456621002E-3</v>
      </c>
      <c r="R66" s="2" t="s">
        <v>19</v>
      </c>
      <c r="S66" s="2"/>
      <c r="T66" s="2">
        <v>2</v>
      </c>
      <c r="U66" s="9">
        <f t="shared" si="16"/>
        <v>9.8039215686274508E-3</v>
      </c>
    </row>
    <row r="67" spans="1:21" x14ac:dyDescent="0.15">
      <c r="A67" s="2" t="s">
        <v>42</v>
      </c>
      <c r="B67" s="2" t="s">
        <v>43</v>
      </c>
      <c r="C67" s="2">
        <v>4</v>
      </c>
      <c r="D67" s="2">
        <f t="shared" si="12"/>
        <v>9.0497737556561094E-3</v>
      </c>
      <c r="E67" s="2"/>
      <c r="F67" s="2" t="s">
        <v>36</v>
      </c>
      <c r="G67" s="2"/>
      <c r="H67" s="2">
        <v>1</v>
      </c>
      <c r="I67" s="2">
        <f t="shared" si="13"/>
        <v>2.4937655860349127E-3</v>
      </c>
      <c r="N67" s="2" t="s">
        <v>47</v>
      </c>
      <c r="O67" s="2" t="s">
        <v>64</v>
      </c>
      <c r="P67" s="2">
        <v>1</v>
      </c>
      <c r="Q67" s="9">
        <f t="shared" si="15"/>
        <v>4.5662100456621002E-3</v>
      </c>
      <c r="R67" s="2" t="s">
        <v>47</v>
      </c>
      <c r="S67" s="2"/>
      <c r="T67" s="2">
        <v>3</v>
      </c>
      <c r="U67" s="9">
        <f t="shared" si="16"/>
        <v>1.4705882352941176E-2</v>
      </c>
    </row>
    <row r="68" spans="1:21" x14ac:dyDescent="0.15">
      <c r="A68" s="2" t="s">
        <v>28</v>
      </c>
      <c r="B68" s="2"/>
      <c r="C68" s="2">
        <v>3</v>
      </c>
      <c r="D68" s="2">
        <f t="shared" si="12"/>
        <v>6.7873303167420816E-3</v>
      </c>
      <c r="E68" s="2"/>
      <c r="F68" s="2" t="s">
        <v>7</v>
      </c>
      <c r="G68" s="2"/>
      <c r="H68" s="2">
        <v>3</v>
      </c>
      <c r="I68" s="2">
        <f t="shared" si="13"/>
        <v>7.481296758104738E-3</v>
      </c>
      <c r="N68" s="2" t="s">
        <v>29</v>
      </c>
      <c r="O68" s="2" t="s">
        <v>33</v>
      </c>
      <c r="P68" s="2">
        <v>1</v>
      </c>
      <c r="Q68" s="9">
        <f t="shared" si="15"/>
        <v>4.5662100456621002E-3</v>
      </c>
      <c r="R68" s="2" t="s">
        <v>42</v>
      </c>
      <c r="S68" s="2" t="s">
        <v>43</v>
      </c>
      <c r="T68" s="2">
        <v>2</v>
      </c>
      <c r="U68" s="9">
        <f t="shared" si="16"/>
        <v>9.8039215686274508E-3</v>
      </c>
    </row>
    <row r="69" spans="1:21" x14ac:dyDescent="0.15">
      <c r="A69" s="2" t="s">
        <v>29</v>
      </c>
      <c r="B69" s="2" t="s">
        <v>33</v>
      </c>
      <c r="C69" s="2">
        <v>4</v>
      </c>
      <c r="D69" s="2">
        <f t="shared" si="12"/>
        <v>9.0497737556561094E-3</v>
      </c>
      <c r="F69" s="2" t="s">
        <v>74</v>
      </c>
      <c r="G69" s="2"/>
      <c r="H69" s="2">
        <v>1</v>
      </c>
      <c r="I69" s="2">
        <f t="shared" si="13"/>
        <v>2.4937655860349127E-3</v>
      </c>
      <c r="N69" s="2" t="s">
        <v>51</v>
      </c>
      <c r="O69" s="2"/>
      <c r="P69" s="2">
        <v>2</v>
      </c>
      <c r="Q69" s="9">
        <f t="shared" si="15"/>
        <v>9.1324200913242004E-3</v>
      </c>
      <c r="R69" s="2" t="s">
        <v>50</v>
      </c>
      <c r="S69" s="2"/>
      <c r="T69" s="2">
        <v>5</v>
      </c>
      <c r="U69" s="9">
        <f t="shared" si="16"/>
        <v>2.4509803921568627E-2</v>
      </c>
    </row>
    <row r="70" spans="1:21" x14ac:dyDescent="0.15">
      <c r="A70" s="2" t="s">
        <v>13</v>
      </c>
      <c r="B70" s="2" t="s">
        <v>15</v>
      </c>
      <c r="C70" s="2">
        <v>12</v>
      </c>
      <c r="D70" s="2">
        <f t="shared" si="12"/>
        <v>2.7149321266968326E-2</v>
      </c>
      <c r="E70" s="2"/>
      <c r="F70" s="2" t="s">
        <v>23</v>
      </c>
      <c r="G70" s="2"/>
      <c r="H70" s="2">
        <v>4</v>
      </c>
      <c r="I70" s="2">
        <f t="shared" si="13"/>
        <v>9.9750623441396506E-3</v>
      </c>
      <c r="R70" s="2" t="s">
        <v>28</v>
      </c>
      <c r="S70" s="2"/>
      <c r="T70" s="2">
        <v>5</v>
      </c>
      <c r="U70" s="9">
        <f t="shared" si="16"/>
        <v>2.4509803921568627E-2</v>
      </c>
    </row>
    <row r="71" spans="1:21" x14ac:dyDescent="0.15">
      <c r="A71" s="2" t="s">
        <v>19</v>
      </c>
      <c r="B71" s="2"/>
      <c r="C71" s="2">
        <v>2</v>
      </c>
      <c r="D71" s="2">
        <f t="shared" si="12"/>
        <v>4.5248868778280547E-3</v>
      </c>
      <c r="F71" s="2" t="s">
        <v>66</v>
      </c>
      <c r="G71" s="2"/>
      <c r="H71" s="2">
        <v>4</v>
      </c>
      <c r="I71" s="2">
        <f t="shared" si="13"/>
        <v>9.9750623441396506E-3</v>
      </c>
      <c r="R71" s="2" t="s">
        <v>44</v>
      </c>
      <c r="S71" s="2"/>
      <c r="T71" s="2">
        <v>29</v>
      </c>
      <c r="U71" s="9">
        <f t="shared" si="16"/>
        <v>0.14215686274509803</v>
      </c>
    </row>
    <row r="72" spans="1:21" x14ac:dyDescent="0.15">
      <c r="A72" s="2" t="s">
        <v>36</v>
      </c>
      <c r="B72" s="2"/>
      <c r="C72" s="2">
        <v>3</v>
      </c>
      <c r="D72" s="2">
        <f t="shared" si="12"/>
        <v>6.7873303167420816E-3</v>
      </c>
      <c r="F72" s="2" t="s">
        <v>29</v>
      </c>
      <c r="G72" s="2" t="s">
        <v>32</v>
      </c>
      <c r="H72" s="2">
        <v>1</v>
      </c>
      <c r="I72" s="2">
        <f t="shared" si="13"/>
        <v>2.4937655860349127E-3</v>
      </c>
    </row>
    <row r="73" spans="1:21" x14ac:dyDescent="0.15">
      <c r="A73" s="2" t="s">
        <v>68</v>
      </c>
      <c r="B73" s="2"/>
      <c r="C73" s="2">
        <v>2</v>
      </c>
      <c r="D73" s="2">
        <f t="shared" si="12"/>
        <v>4.5248868778280547E-3</v>
      </c>
      <c r="F73" s="2" t="s">
        <v>28</v>
      </c>
      <c r="G73" s="2"/>
      <c r="H73" s="2">
        <v>1</v>
      </c>
      <c r="I73" s="2">
        <f t="shared" si="13"/>
        <v>2.4937655860349127E-3</v>
      </c>
    </row>
    <row r="74" spans="1:21" x14ac:dyDescent="0.15">
      <c r="A74" s="2" t="s">
        <v>23</v>
      </c>
      <c r="B74" s="2"/>
      <c r="C74" s="2">
        <v>2</v>
      </c>
      <c r="D74" s="2">
        <f t="shared" si="12"/>
        <v>4.5248868778280547E-3</v>
      </c>
      <c r="F74" s="2"/>
      <c r="G74" s="2"/>
      <c r="H74" s="2"/>
    </row>
    <row r="77" spans="1:21" x14ac:dyDescent="0.15">
      <c r="A77" s="25" t="s">
        <v>200</v>
      </c>
    </row>
    <row r="78" spans="1:21" x14ac:dyDescent="0.15">
      <c r="A78" s="25" t="s">
        <v>115</v>
      </c>
      <c r="F78" s="2"/>
      <c r="G78" s="2"/>
    </row>
    <row r="79" spans="1:21" x14ac:dyDescent="0.15">
      <c r="A79" s="22">
        <v>41760</v>
      </c>
      <c r="E79" s="22">
        <v>41768</v>
      </c>
      <c r="F79" s="2"/>
      <c r="G79" s="2"/>
      <c r="I79" s="22">
        <v>41772</v>
      </c>
      <c r="M79" s="22">
        <v>41774</v>
      </c>
    </row>
    <row r="80" spans="1:21" x14ac:dyDescent="0.15">
      <c r="A80" s="2" t="s">
        <v>22</v>
      </c>
      <c r="B80" s="2"/>
      <c r="C80" s="2">
        <v>5</v>
      </c>
      <c r="D80" s="9">
        <f t="shared" ref="D80:D95" si="17">C80/216</f>
        <v>2.3148148148148147E-2</v>
      </c>
      <c r="E80" s="2" t="s">
        <v>47</v>
      </c>
      <c r="F80" s="2" t="s">
        <v>48</v>
      </c>
      <c r="G80" s="2">
        <v>45</v>
      </c>
      <c r="H80" s="9">
        <f t="shared" ref="H80:H93" si="18">G80/200</f>
        <v>0.22500000000000001</v>
      </c>
      <c r="I80" s="2" t="s">
        <v>76</v>
      </c>
      <c r="J80" s="2"/>
      <c r="K80" s="2">
        <v>3</v>
      </c>
      <c r="L80" s="9">
        <f t="shared" ref="L80:L92" si="19">K80/168</f>
        <v>1.7857142857142856E-2</v>
      </c>
      <c r="M80" s="2" t="s">
        <v>76</v>
      </c>
      <c r="N80" s="2"/>
      <c r="O80" s="2">
        <v>4</v>
      </c>
      <c r="P80" s="9">
        <f t="shared" ref="P80:P95" si="20">O80/235</f>
        <v>1.7021276595744681E-2</v>
      </c>
    </row>
    <row r="81" spans="1:16" x14ac:dyDescent="0.15">
      <c r="A81" s="2" t="s">
        <v>19</v>
      </c>
      <c r="B81" s="2"/>
      <c r="C81" s="2">
        <v>73</v>
      </c>
      <c r="D81" s="9">
        <f t="shared" si="17"/>
        <v>0.33796296296296297</v>
      </c>
      <c r="E81" s="2" t="s">
        <v>19</v>
      </c>
      <c r="F81" s="2"/>
      <c r="G81" s="2">
        <v>38</v>
      </c>
      <c r="H81" s="9">
        <f t="shared" si="18"/>
        <v>0.19</v>
      </c>
      <c r="I81" s="2" t="s">
        <v>16</v>
      </c>
      <c r="J81" s="2"/>
      <c r="K81" s="2">
        <v>1</v>
      </c>
      <c r="L81" s="9">
        <f t="shared" si="19"/>
        <v>5.9523809523809521E-3</v>
      </c>
      <c r="M81" s="2" t="s">
        <v>19</v>
      </c>
      <c r="N81" s="2"/>
      <c r="O81" s="2">
        <v>40</v>
      </c>
      <c r="P81" s="9">
        <f t="shared" si="20"/>
        <v>0.1702127659574468</v>
      </c>
    </row>
    <row r="82" spans="1:16" x14ac:dyDescent="0.15">
      <c r="A82" s="2" t="s">
        <v>17</v>
      </c>
      <c r="B82" s="2" t="s">
        <v>18</v>
      </c>
      <c r="C82" s="2">
        <v>51</v>
      </c>
      <c r="D82" s="9">
        <f t="shared" si="17"/>
        <v>0.2361111111111111</v>
      </c>
      <c r="E82" s="2" t="s">
        <v>13</v>
      </c>
      <c r="F82" s="2" t="s">
        <v>15</v>
      </c>
      <c r="G82" s="2">
        <v>34</v>
      </c>
      <c r="H82" s="9">
        <f t="shared" si="18"/>
        <v>0.17</v>
      </c>
      <c r="I82" s="2" t="s">
        <v>17</v>
      </c>
      <c r="J82" s="2" t="s">
        <v>18</v>
      </c>
      <c r="K82" s="2">
        <v>47</v>
      </c>
      <c r="L82" s="9">
        <f t="shared" si="19"/>
        <v>0.27976190476190477</v>
      </c>
      <c r="M82" s="2" t="s">
        <v>17</v>
      </c>
      <c r="N82" s="2" t="s">
        <v>18</v>
      </c>
      <c r="O82" s="2">
        <v>43</v>
      </c>
      <c r="P82" s="9">
        <f t="shared" si="20"/>
        <v>0.18297872340425531</v>
      </c>
    </row>
    <row r="83" spans="1:16" x14ac:dyDescent="0.15">
      <c r="A83" s="2" t="s">
        <v>47</v>
      </c>
      <c r="B83" s="2" t="s">
        <v>48</v>
      </c>
      <c r="C83" s="2">
        <v>33</v>
      </c>
      <c r="D83" s="9">
        <f t="shared" si="17"/>
        <v>0.15277777777777779</v>
      </c>
      <c r="E83" s="2" t="s">
        <v>29</v>
      </c>
      <c r="F83" s="2"/>
      <c r="G83" s="2">
        <v>4</v>
      </c>
      <c r="H83" s="9">
        <f t="shared" si="18"/>
        <v>0.02</v>
      </c>
      <c r="I83" s="2" t="s">
        <v>19</v>
      </c>
      <c r="J83" s="2"/>
      <c r="K83" s="2">
        <v>49</v>
      </c>
      <c r="L83" s="9">
        <f t="shared" si="19"/>
        <v>0.29166666666666669</v>
      </c>
      <c r="M83" s="2" t="s">
        <v>22</v>
      </c>
      <c r="N83" s="2"/>
      <c r="O83" s="2">
        <v>13</v>
      </c>
      <c r="P83" s="9">
        <f t="shared" si="20"/>
        <v>5.5319148936170209E-2</v>
      </c>
    </row>
    <row r="84" spans="1:16" x14ac:dyDescent="0.15">
      <c r="A84" s="2" t="s">
        <v>44</v>
      </c>
      <c r="B84" s="2"/>
      <c r="C84" s="2">
        <v>2</v>
      </c>
      <c r="D84" s="9">
        <f t="shared" si="17"/>
        <v>9.2592592592592587E-3</v>
      </c>
      <c r="E84" s="2" t="s">
        <v>17</v>
      </c>
      <c r="F84" s="2" t="s">
        <v>18</v>
      </c>
      <c r="G84" s="2">
        <v>52</v>
      </c>
      <c r="H84" s="9">
        <f t="shared" si="18"/>
        <v>0.26</v>
      </c>
      <c r="I84" s="2" t="s">
        <v>22</v>
      </c>
      <c r="J84" s="2"/>
      <c r="K84" s="2">
        <v>2</v>
      </c>
      <c r="L84" s="9">
        <f t="shared" si="19"/>
        <v>1.1904761904761904E-2</v>
      </c>
      <c r="M84" s="2" t="s">
        <v>13</v>
      </c>
      <c r="N84" s="2" t="s">
        <v>15</v>
      </c>
      <c r="O84" s="2">
        <v>24</v>
      </c>
      <c r="P84" s="9">
        <f t="shared" si="20"/>
        <v>0.10212765957446808</v>
      </c>
    </row>
    <row r="85" spans="1:16" x14ac:dyDescent="0.15">
      <c r="A85" s="2" t="s">
        <v>26</v>
      </c>
      <c r="B85" s="2"/>
      <c r="C85" s="2">
        <v>12</v>
      </c>
      <c r="D85" s="9">
        <f t="shared" si="17"/>
        <v>5.5555555555555552E-2</v>
      </c>
      <c r="E85" s="2" t="s">
        <v>76</v>
      </c>
      <c r="F85" s="2"/>
      <c r="G85" s="2">
        <v>6</v>
      </c>
      <c r="H85" s="9">
        <f t="shared" si="18"/>
        <v>0.03</v>
      </c>
      <c r="I85" s="2" t="s">
        <v>47</v>
      </c>
      <c r="J85" s="2" t="s">
        <v>48</v>
      </c>
      <c r="K85" s="2">
        <v>45</v>
      </c>
      <c r="L85" s="9">
        <f t="shared" si="19"/>
        <v>0.26785714285714285</v>
      </c>
      <c r="M85" s="2" t="s">
        <v>47</v>
      </c>
      <c r="N85" s="2" t="s">
        <v>48</v>
      </c>
      <c r="O85" s="2">
        <v>53</v>
      </c>
      <c r="P85" s="9">
        <f t="shared" si="20"/>
        <v>0.22553191489361701</v>
      </c>
    </row>
    <row r="86" spans="1:16" x14ac:dyDescent="0.15">
      <c r="A86" s="2" t="s">
        <v>13</v>
      </c>
      <c r="B86" s="2" t="s">
        <v>15</v>
      </c>
      <c r="C86" s="2">
        <v>21</v>
      </c>
      <c r="D86" s="9">
        <f t="shared" si="17"/>
        <v>9.7222222222222224E-2</v>
      </c>
      <c r="E86" s="2" t="s">
        <v>26</v>
      </c>
      <c r="F86" s="2"/>
      <c r="G86" s="2">
        <v>7</v>
      </c>
      <c r="H86" s="9">
        <f t="shared" si="18"/>
        <v>3.5000000000000003E-2</v>
      </c>
      <c r="I86" s="2" t="s">
        <v>47</v>
      </c>
      <c r="J86" s="2"/>
      <c r="K86" s="2">
        <v>4</v>
      </c>
      <c r="L86" s="9">
        <f t="shared" si="19"/>
        <v>2.3809523809523808E-2</v>
      </c>
      <c r="M86" s="2" t="s">
        <v>47</v>
      </c>
      <c r="N86" s="2"/>
      <c r="O86" s="2">
        <v>1</v>
      </c>
      <c r="P86" s="9">
        <f t="shared" si="20"/>
        <v>4.2553191489361703E-3</v>
      </c>
    </row>
    <row r="87" spans="1:16" x14ac:dyDescent="0.15">
      <c r="A87" s="2" t="s">
        <v>47</v>
      </c>
      <c r="B87" s="2"/>
      <c r="C87" s="2">
        <v>5</v>
      </c>
      <c r="D87" s="9">
        <f t="shared" si="17"/>
        <v>2.3148148148148147E-2</v>
      </c>
      <c r="E87" s="2" t="s">
        <v>41</v>
      </c>
      <c r="F87" s="2"/>
      <c r="G87" s="2">
        <v>1</v>
      </c>
      <c r="H87" s="9">
        <f t="shared" si="18"/>
        <v>5.0000000000000001E-3</v>
      </c>
      <c r="I87" s="2" t="s">
        <v>26</v>
      </c>
      <c r="J87" s="2"/>
      <c r="K87" s="2">
        <v>5</v>
      </c>
      <c r="L87" s="9">
        <f t="shared" si="19"/>
        <v>2.976190476190476E-2</v>
      </c>
      <c r="M87" s="2" t="s">
        <v>47</v>
      </c>
      <c r="N87" s="2" t="s">
        <v>64</v>
      </c>
      <c r="O87" s="2">
        <v>3</v>
      </c>
      <c r="P87" s="9">
        <f t="shared" si="20"/>
        <v>1.276595744680851E-2</v>
      </c>
    </row>
    <row r="88" spans="1:16" x14ac:dyDescent="0.15">
      <c r="A88" s="2" t="s">
        <v>16</v>
      </c>
      <c r="B88" s="2"/>
      <c r="C88" s="2">
        <v>1</v>
      </c>
      <c r="D88" s="9">
        <f t="shared" si="17"/>
        <v>4.6296296296296294E-3</v>
      </c>
      <c r="E88" s="2" t="s">
        <v>22</v>
      </c>
      <c r="F88" s="2"/>
      <c r="G88" s="2">
        <v>3</v>
      </c>
      <c r="H88" s="9">
        <f t="shared" si="18"/>
        <v>1.4999999999999999E-2</v>
      </c>
      <c r="I88" s="2" t="s">
        <v>50</v>
      </c>
      <c r="J88" s="2"/>
      <c r="K88" s="2">
        <v>3</v>
      </c>
      <c r="L88" s="9">
        <f t="shared" si="19"/>
        <v>1.7857142857142856E-2</v>
      </c>
      <c r="M88" s="2" t="s">
        <v>26</v>
      </c>
      <c r="N88" s="2"/>
      <c r="O88" s="2">
        <v>45</v>
      </c>
      <c r="P88" s="9">
        <f t="shared" si="20"/>
        <v>0.19148936170212766</v>
      </c>
    </row>
    <row r="89" spans="1:16" x14ac:dyDescent="0.15">
      <c r="A89" s="2" t="s">
        <v>29</v>
      </c>
      <c r="B89" s="2" t="s">
        <v>67</v>
      </c>
      <c r="C89" s="2">
        <v>2</v>
      </c>
      <c r="D89" s="9">
        <f t="shared" si="17"/>
        <v>9.2592592592592587E-3</v>
      </c>
      <c r="E89" s="2" t="s">
        <v>47</v>
      </c>
      <c r="F89" s="2" t="s">
        <v>64</v>
      </c>
      <c r="G89" s="2">
        <v>1</v>
      </c>
      <c r="H89" s="9">
        <f t="shared" si="18"/>
        <v>5.0000000000000001E-3</v>
      </c>
      <c r="I89" s="2" t="s">
        <v>29</v>
      </c>
      <c r="J89" s="2" t="s">
        <v>33</v>
      </c>
      <c r="K89" s="2">
        <v>1</v>
      </c>
      <c r="L89" s="9">
        <f t="shared" si="19"/>
        <v>5.9523809523809521E-3</v>
      </c>
      <c r="M89" s="2" t="s">
        <v>50</v>
      </c>
      <c r="N89" s="2"/>
      <c r="O89" s="2">
        <v>2</v>
      </c>
      <c r="P89" s="9">
        <f t="shared" si="20"/>
        <v>8.5106382978723406E-3</v>
      </c>
    </row>
    <row r="90" spans="1:16" x14ac:dyDescent="0.15">
      <c r="A90" s="2" t="s">
        <v>42</v>
      </c>
      <c r="B90" s="2" t="s">
        <v>43</v>
      </c>
      <c r="C90" s="2">
        <v>3</v>
      </c>
      <c r="D90" s="9">
        <f t="shared" si="17"/>
        <v>1.3888888888888888E-2</v>
      </c>
      <c r="E90" s="2" t="s">
        <v>44</v>
      </c>
      <c r="F90" s="2"/>
      <c r="G90" s="2">
        <v>1</v>
      </c>
      <c r="H90" s="9">
        <f t="shared" si="18"/>
        <v>5.0000000000000001E-3</v>
      </c>
      <c r="I90" s="2" t="s">
        <v>42</v>
      </c>
      <c r="J90" s="2" t="s">
        <v>43</v>
      </c>
      <c r="K90" s="2">
        <v>5</v>
      </c>
      <c r="L90" s="9">
        <f t="shared" si="19"/>
        <v>2.976190476190476E-2</v>
      </c>
      <c r="M90" s="2" t="s">
        <v>29</v>
      </c>
      <c r="N90" s="2" t="s">
        <v>67</v>
      </c>
      <c r="O90" s="2">
        <v>1</v>
      </c>
      <c r="P90" s="9">
        <f t="shared" si="20"/>
        <v>4.2553191489361703E-3</v>
      </c>
    </row>
    <row r="91" spans="1:16" x14ac:dyDescent="0.15">
      <c r="A91" s="2" t="s">
        <v>50</v>
      </c>
      <c r="B91" s="2"/>
      <c r="C91" s="2">
        <v>2</v>
      </c>
      <c r="D91" s="9">
        <f t="shared" si="17"/>
        <v>9.2592592592592587E-3</v>
      </c>
      <c r="E91" s="2" t="s">
        <v>50</v>
      </c>
      <c r="F91" s="2"/>
      <c r="G91" s="2">
        <v>6</v>
      </c>
      <c r="H91" s="9">
        <f t="shared" si="18"/>
        <v>0.03</v>
      </c>
      <c r="I91" s="2" t="s">
        <v>44</v>
      </c>
      <c r="J91" s="2"/>
      <c r="K91" s="2">
        <v>2</v>
      </c>
      <c r="L91" s="9">
        <f t="shared" si="19"/>
        <v>1.1904761904761904E-2</v>
      </c>
      <c r="M91" s="2" t="s">
        <v>29</v>
      </c>
      <c r="N91" s="2"/>
      <c r="O91" s="2">
        <v>2</v>
      </c>
      <c r="P91" s="9">
        <f t="shared" si="20"/>
        <v>8.5106382978723406E-3</v>
      </c>
    </row>
    <row r="92" spans="1:16" x14ac:dyDescent="0.15">
      <c r="A92" s="2" t="s">
        <v>29</v>
      </c>
      <c r="B92" s="2" t="s">
        <v>33</v>
      </c>
      <c r="C92" s="2">
        <v>2</v>
      </c>
      <c r="D92" s="9">
        <f t="shared" si="17"/>
        <v>9.2592592592592587E-3</v>
      </c>
      <c r="E92" s="2" t="s">
        <v>46</v>
      </c>
      <c r="F92" s="2"/>
      <c r="G92" s="2">
        <v>1</v>
      </c>
      <c r="H92" s="9">
        <f t="shared" si="18"/>
        <v>5.0000000000000001E-3</v>
      </c>
      <c r="I92" s="2" t="s">
        <v>36</v>
      </c>
      <c r="J92" s="2" t="s">
        <v>40</v>
      </c>
      <c r="K92" s="2">
        <v>1</v>
      </c>
      <c r="L92" s="9">
        <f t="shared" si="19"/>
        <v>5.9523809523809521E-3</v>
      </c>
      <c r="M92" s="2" t="s">
        <v>36</v>
      </c>
      <c r="N92" s="2"/>
      <c r="O92" s="2">
        <v>1</v>
      </c>
      <c r="P92" s="9">
        <f t="shared" si="20"/>
        <v>4.2553191489361703E-3</v>
      </c>
    </row>
    <row r="93" spans="1:16" x14ac:dyDescent="0.15">
      <c r="A93" s="2" t="s">
        <v>76</v>
      </c>
      <c r="B93" s="2"/>
      <c r="C93" s="2">
        <v>1</v>
      </c>
      <c r="D93" s="9">
        <f t="shared" si="17"/>
        <v>4.6296296296296294E-3</v>
      </c>
      <c r="E93" s="2" t="s">
        <v>6</v>
      </c>
      <c r="F93" s="2"/>
      <c r="G93" s="2">
        <v>1</v>
      </c>
      <c r="H93" s="9">
        <f t="shared" si="18"/>
        <v>5.0000000000000001E-3</v>
      </c>
      <c r="M93" s="2" t="s">
        <v>42</v>
      </c>
      <c r="N93" s="2" t="s">
        <v>43</v>
      </c>
      <c r="O93" s="2">
        <v>1</v>
      </c>
      <c r="P93" s="9">
        <f t="shared" si="20"/>
        <v>4.2553191489361703E-3</v>
      </c>
    </row>
    <row r="94" spans="1:16" x14ac:dyDescent="0.15">
      <c r="A94" s="2" t="s">
        <v>36</v>
      </c>
      <c r="B94" s="2" t="s">
        <v>39</v>
      </c>
      <c r="C94" s="2">
        <v>2</v>
      </c>
      <c r="D94" s="9">
        <f t="shared" si="17"/>
        <v>9.2592592592592587E-3</v>
      </c>
      <c r="E94" s="2"/>
      <c r="F94" s="2"/>
      <c r="G94" s="2"/>
      <c r="M94" s="2" t="s">
        <v>28</v>
      </c>
      <c r="N94" s="2"/>
      <c r="O94" s="2">
        <v>1</v>
      </c>
      <c r="P94" s="9">
        <f t="shared" si="20"/>
        <v>4.2553191489361703E-3</v>
      </c>
    </row>
    <row r="95" spans="1:16" x14ac:dyDescent="0.15">
      <c r="A95" s="2" t="s">
        <v>36</v>
      </c>
      <c r="B95" s="2" t="s">
        <v>38</v>
      </c>
      <c r="C95" s="2">
        <v>1</v>
      </c>
      <c r="D95" s="9">
        <f t="shared" si="17"/>
        <v>4.6296296296296294E-3</v>
      </c>
      <c r="M95" s="2" t="s">
        <v>25</v>
      </c>
      <c r="N95" s="2"/>
      <c r="O95" s="2">
        <v>1</v>
      </c>
      <c r="P95" s="9">
        <f t="shared" si="20"/>
        <v>4.2553191489361703E-3</v>
      </c>
    </row>
    <row r="96" spans="1:16" x14ac:dyDescent="0.15">
      <c r="A96" s="2"/>
      <c r="B96" s="2"/>
      <c r="C96" s="2"/>
      <c r="M96" s="2"/>
      <c r="N96" s="2"/>
      <c r="O96" s="2"/>
    </row>
    <row r="97" spans="1:16" x14ac:dyDescent="0.15">
      <c r="A97" s="25" t="s">
        <v>117</v>
      </c>
    </row>
    <row r="98" spans="1:16" x14ac:dyDescent="0.15">
      <c r="A98" s="22">
        <v>41760</v>
      </c>
      <c r="E98" s="22">
        <v>41768</v>
      </c>
      <c r="I98" s="22">
        <v>41772</v>
      </c>
      <c r="M98" s="22">
        <v>41774</v>
      </c>
    </row>
    <row r="99" spans="1:16" x14ac:dyDescent="0.15">
      <c r="A99" s="2" t="s">
        <v>76</v>
      </c>
      <c r="B99" s="2"/>
      <c r="C99" s="2">
        <v>4</v>
      </c>
      <c r="D99" s="9">
        <f t="shared" ref="D99:D114" si="21">C99/216</f>
        <v>1.8518518518518517E-2</v>
      </c>
      <c r="E99" s="2" t="s">
        <v>76</v>
      </c>
      <c r="F99" s="2"/>
      <c r="G99" s="2">
        <v>12</v>
      </c>
      <c r="H99" s="9">
        <f t="shared" ref="H99:H115" si="22">G99/208</f>
        <v>5.7692307692307696E-2</v>
      </c>
      <c r="I99" s="2" t="s">
        <v>76</v>
      </c>
      <c r="J99" s="2"/>
      <c r="K99" s="2">
        <v>16</v>
      </c>
      <c r="L99" s="9">
        <f t="shared" ref="L99:L113" si="23">K99/201</f>
        <v>7.9601990049751242E-2</v>
      </c>
      <c r="M99" s="2" t="s">
        <v>24</v>
      </c>
      <c r="N99" s="2"/>
      <c r="O99" s="2">
        <v>4</v>
      </c>
      <c r="P99" s="9">
        <f t="shared" ref="P99:P111" si="24">O99/209</f>
        <v>1.9138755980861243E-2</v>
      </c>
    </row>
    <row r="100" spans="1:16" x14ac:dyDescent="0.15">
      <c r="A100" s="2" t="s">
        <v>13</v>
      </c>
      <c r="B100" s="2" t="s">
        <v>15</v>
      </c>
      <c r="C100" s="2">
        <v>19</v>
      </c>
      <c r="D100" s="9">
        <f t="shared" si="21"/>
        <v>8.7962962962962965E-2</v>
      </c>
      <c r="E100" s="2" t="s">
        <v>74</v>
      </c>
      <c r="F100" s="2"/>
      <c r="G100" s="2">
        <v>1</v>
      </c>
      <c r="H100" s="9">
        <f t="shared" si="22"/>
        <v>4.807692307692308E-3</v>
      </c>
      <c r="I100" s="2" t="s">
        <v>17</v>
      </c>
      <c r="J100" s="2" t="s">
        <v>18</v>
      </c>
      <c r="K100" s="2">
        <v>30</v>
      </c>
      <c r="L100" s="9">
        <f t="shared" si="23"/>
        <v>0.14925373134328357</v>
      </c>
      <c r="M100" s="2" t="s">
        <v>16</v>
      </c>
      <c r="N100" s="2"/>
      <c r="O100" s="2">
        <v>1</v>
      </c>
      <c r="P100" s="9">
        <f t="shared" si="24"/>
        <v>4.7846889952153108E-3</v>
      </c>
    </row>
    <row r="101" spans="1:16" x14ac:dyDescent="0.15">
      <c r="A101" s="2" t="s">
        <v>83</v>
      </c>
      <c r="B101" s="2"/>
      <c r="C101" s="2">
        <v>1</v>
      </c>
      <c r="D101" s="9">
        <f t="shared" si="21"/>
        <v>4.6296296296296294E-3</v>
      </c>
      <c r="E101" s="2" t="s">
        <v>17</v>
      </c>
      <c r="F101" s="2" t="s">
        <v>18</v>
      </c>
      <c r="G101" s="2">
        <v>25</v>
      </c>
      <c r="H101" s="9">
        <f t="shared" si="22"/>
        <v>0.1201923076923077</v>
      </c>
      <c r="I101" s="2" t="s">
        <v>19</v>
      </c>
      <c r="J101" s="2"/>
      <c r="K101" s="2">
        <v>31</v>
      </c>
      <c r="L101" s="9">
        <f t="shared" si="23"/>
        <v>0.15422885572139303</v>
      </c>
      <c r="M101" s="2" t="s">
        <v>22</v>
      </c>
      <c r="N101" s="2"/>
      <c r="O101" s="2">
        <v>3</v>
      </c>
      <c r="P101" s="9">
        <f t="shared" si="24"/>
        <v>1.4354066985645933E-2</v>
      </c>
    </row>
    <row r="102" spans="1:16" x14ac:dyDescent="0.15">
      <c r="A102" s="2" t="s">
        <v>19</v>
      </c>
      <c r="B102" s="2"/>
      <c r="C102" s="2">
        <v>84</v>
      </c>
      <c r="D102" s="9">
        <f t="shared" si="21"/>
        <v>0.3888888888888889</v>
      </c>
      <c r="E102" s="2" t="s">
        <v>19</v>
      </c>
      <c r="F102" s="2"/>
      <c r="G102" s="2">
        <v>21</v>
      </c>
      <c r="H102" s="9">
        <f t="shared" si="22"/>
        <v>0.10096153846153846</v>
      </c>
      <c r="I102" s="2" t="s">
        <v>74</v>
      </c>
      <c r="J102" s="2"/>
      <c r="K102" s="2">
        <v>1</v>
      </c>
      <c r="L102" s="9">
        <f t="shared" si="23"/>
        <v>4.9751243781094526E-3</v>
      </c>
      <c r="M102" s="2" t="s">
        <v>19</v>
      </c>
      <c r="N102" s="2"/>
      <c r="O102" s="2">
        <v>49</v>
      </c>
      <c r="P102" s="9">
        <f t="shared" si="24"/>
        <v>0.23444976076555024</v>
      </c>
    </row>
    <row r="103" spans="1:16" x14ac:dyDescent="0.15">
      <c r="A103" s="2" t="s">
        <v>17</v>
      </c>
      <c r="B103" s="2" t="s">
        <v>18</v>
      </c>
      <c r="C103" s="2">
        <v>36</v>
      </c>
      <c r="D103" s="9">
        <f t="shared" si="21"/>
        <v>0.16666666666666666</v>
      </c>
      <c r="E103" s="2" t="s">
        <v>22</v>
      </c>
      <c r="F103" s="2"/>
      <c r="G103" s="2">
        <v>1</v>
      </c>
      <c r="H103" s="9">
        <f t="shared" si="22"/>
        <v>4.807692307692308E-3</v>
      </c>
      <c r="I103" s="2" t="s">
        <v>13</v>
      </c>
      <c r="J103" s="2" t="s">
        <v>15</v>
      </c>
      <c r="K103" s="2">
        <v>1</v>
      </c>
      <c r="L103" s="9">
        <f t="shared" si="23"/>
        <v>4.9751243781094526E-3</v>
      </c>
      <c r="M103" s="2" t="s">
        <v>17</v>
      </c>
      <c r="N103" s="2" t="s">
        <v>18</v>
      </c>
      <c r="O103" s="2">
        <v>29</v>
      </c>
      <c r="P103" s="9">
        <f t="shared" si="24"/>
        <v>0.13875598086124402</v>
      </c>
    </row>
    <row r="104" spans="1:16" x14ac:dyDescent="0.15">
      <c r="A104" s="2" t="s">
        <v>22</v>
      </c>
      <c r="B104" s="2"/>
      <c r="C104" s="2">
        <v>3</v>
      </c>
      <c r="D104" s="9">
        <f t="shared" si="21"/>
        <v>1.3888888888888888E-2</v>
      </c>
      <c r="E104" s="2" t="s">
        <v>13</v>
      </c>
      <c r="F104" s="2" t="s">
        <v>15</v>
      </c>
      <c r="G104" s="2">
        <v>5</v>
      </c>
      <c r="H104" s="9">
        <f t="shared" si="22"/>
        <v>2.403846153846154E-2</v>
      </c>
      <c r="I104" s="2" t="s">
        <v>47</v>
      </c>
      <c r="J104" s="2" t="s">
        <v>48</v>
      </c>
      <c r="K104" s="2">
        <v>82</v>
      </c>
      <c r="L104" s="9">
        <f t="shared" si="23"/>
        <v>0.4079601990049751</v>
      </c>
      <c r="M104" s="2" t="s">
        <v>13</v>
      </c>
      <c r="N104" s="2" t="s">
        <v>15</v>
      </c>
      <c r="O104" s="2">
        <v>54</v>
      </c>
      <c r="P104" s="9">
        <f t="shared" si="24"/>
        <v>0.25837320574162681</v>
      </c>
    </row>
    <row r="105" spans="1:16" x14ac:dyDescent="0.15">
      <c r="A105" s="2" t="s">
        <v>47</v>
      </c>
      <c r="B105" s="2" t="s">
        <v>48</v>
      </c>
      <c r="C105" s="2">
        <v>37</v>
      </c>
      <c r="D105" s="9">
        <f t="shared" si="21"/>
        <v>0.17129629629629631</v>
      </c>
      <c r="E105" s="2" t="s">
        <v>47</v>
      </c>
      <c r="F105" s="2" t="s">
        <v>48</v>
      </c>
      <c r="G105" s="2">
        <v>93</v>
      </c>
      <c r="H105" s="9">
        <f t="shared" si="22"/>
        <v>0.44711538461538464</v>
      </c>
      <c r="I105" s="2" t="s">
        <v>47</v>
      </c>
      <c r="J105" s="2"/>
      <c r="K105" s="2">
        <v>5</v>
      </c>
      <c r="L105" s="9">
        <f t="shared" si="23"/>
        <v>2.4875621890547265E-2</v>
      </c>
      <c r="M105" s="2" t="s">
        <v>65</v>
      </c>
      <c r="N105" s="2" t="s">
        <v>10</v>
      </c>
      <c r="O105" s="2">
        <v>1</v>
      </c>
      <c r="P105" s="9">
        <f t="shared" si="24"/>
        <v>4.7846889952153108E-3</v>
      </c>
    </row>
    <row r="106" spans="1:16" x14ac:dyDescent="0.15">
      <c r="A106" s="2" t="s">
        <v>47</v>
      </c>
      <c r="B106" s="2" t="s">
        <v>64</v>
      </c>
      <c r="C106" s="2">
        <v>2</v>
      </c>
      <c r="D106" s="9">
        <f t="shared" si="21"/>
        <v>9.2592592592592587E-3</v>
      </c>
      <c r="E106" s="2" t="s">
        <v>47</v>
      </c>
      <c r="F106" s="2" t="s">
        <v>64</v>
      </c>
      <c r="G106" s="2">
        <v>2</v>
      </c>
      <c r="H106" s="9">
        <f t="shared" si="22"/>
        <v>9.6153846153846159E-3</v>
      </c>
      <c r="I106" s="2" t="s">
        <v>47</v>
      </c>
      <c r="J106" s="2" t="s">
        <v>64</v>
      </c>
      <c r="K106" s="2">
        <v>1</v>
      </c>
      <c r="L106" s="9">
        <f t="shared" si="23"/>
        <v>4.9751243781094526E-3</v>
      </c>
      <c r="M106" s="2" t="s">
        <v>47</v>
      </c>
      <c r="N106" s="2" t="s">
        <v>48</v>
      </c>
      <c r="O106" s="2">
        <v>52</v>
      </c>
      <c r="P106" s="9">
        <f t="shared" si="24"/>
        <v>0.24880382775119617</v>
      </c>
    </row>
    <row r="107" spans="1:16" x14ac:dyDescent="0.15">
      <c r="A107" s="2" t="s">
        <v>47</v>
      </c>
      <c r="B107" s="2"/>
      <c r="C107" s="2">
        <v>8</v>
      </c>
      <c r="D107" s="9">
        <f t="shared" si="21"/>
        <v>3.7037037037037035E-2</v>
      </c>
      <c r="E107" s="2" t="s">
        <v>47</v>
      </c>
      <c r="F107" s="2"/>
      <c r="G107" s="2">
        <v>6</v>
      </c>
      <c r="H107" s="9">
        <f t="shared" si="22"/>
        <v>2.8846153846153848E-2</v>
      </c>
      <c r="I107" s="2" t="s">
        <v>26</v>
      </c>
      <c r="J107" s="2"/>
      <c r="K107" s="2">
        <v>1</v>
      </c>
      <c r="L107" s="9">
        <f t="shared" si="23"/>
        <v>4.9751243781094526E-3</v>
      </c>
      <c r="M107" s="2" t="s">
        <v>47</v>
      </c>
      <c r="N107" s="2" t="s">
        <v>64</v>
      </c>
      <c r="O107" s="2">
        <v>1</v>
      </c>
      <c r="P107" s="9">
        <f t="shared" si="24"/>
        <v>4.7846889952153108E-3</v>
      </c>
    </row>
    <row r="108" spans="1:16" x14ac:dyDescent="0.15">
      <c r="A108" s="2" t="s">
        <v>26</v>
      </c>
      <c r="B108" s="2"/>
      <c r="C108" s="2">
        <v>12</v>
      </c>
      <c r="D108" s="9">
        <f t="shared" si="21"/>
        <v>5.5555555555555552E-2</v>
      </c>
      <c r="E108" s="2" t="s">
        <v>26</v>
      </c>
      <c r="F108" s="2"/>
      <c r="G108" s="2">
        <v>4</v>
      </c>
      <c r="H108" s="9">
        <f t="shared" si="22"/>
        <v>1.9230769230769232E-2</v>
      </c>
      <c r="I108" s="2" t="s">
        <v>50</v>
      </c>
      <c r="J108" s="2"/>
      <c r="K108" s="2">
        <v>16</v>
      </c>
      <c r="L108" s="9">
        <f t="shared" si="23"/>
        <v>7.9601990049751242E-2</v>
      </c>
      <c r="M108" s="2" t="s">
        <v>47</v>
      </c>
      <c r="N108" s="2"/>
      <c r="O108" s="2">
        <v>1</v>
      </c>
      <c r="P108" s="9">
        <f t="shared" si="24"/>
        <v>4.7846889952153108E-3</v>
      </c>
    </row>
    <row r="109" spans="1:16" x14ac:dyDescent="0.15">
      <c r="A109" s="2" t="s">
        <v>50</v>
      </c>
      <c r="B109" s="2"/>
      <c r="C109" s="2">
        <v>5</v>
      </c>
      <c r="D109" s="9">
        <f t="shared" si="21"/>
        <v>2.3148148148148147E-2</v>
      </c>
      <c r="E109" s="2" t="s">
        <v>50</v>
      </c>
      <c r="F109" s="2"/>
      <c r="G109" s="2">
        <v>20</v>
      </c>
      <c r="H109" s="9">
        <f t="shared" si="22"/>
        <v>9.6153846153846159E-2</v>
      </c>
      <c r="I109" s="2" t="s">
        <v>29</v>
      </c>
      <c r="J109" s="2" t="s">
        <v>33</v>
      </c>
      <c r="K109" s="2">
        <v>2</v>
      </c>
      <c r="L109" s="9">
        <f t="shared" si="23"/>
        <v>9.9502487562189053E-3</v>
      </c>
      <c r="M109" s="2" t="s">
        <v>26</v>
      </c>
      <c r="N109" s="2"/>
      <c r="O109" s="2">
        <v>10</v>
      </c>
      <c r="P109" s="9">
        <f t="shared" si="24"/>
        <v>4.784688995215311E-2</v>
      </c>
    </row>
    <row r="110" spans="1:16" x14ac:dyDescent="0.15">
      <c r="A110" s="2" t="s">
        <v>41</v>
      </c>
      <c r="B110" s="2"/>
      <c r="C110" s="2">
        <v>1</v>
      </c>
      <c r="D110" s="9">
        <f t="shared" si="21"/>
        <v>4.6296296296296294E-3</v>
      </c>
      <c r="E110" s="2" t="s">
        <v>66</v>
      </c>
      <c r="F110" s="2"/>
      <c r="G110" s="2">
        <v>1</v>
      </c>
      <c r="H110" s="9">
        <f t="shared" si="22"/>
        <v>4.807692307692308E-3</v>
      </c>
      <c r="I110" s="2" t="s">
        <v>66</v>
      </c>
      <c r="J110" s="2"/>
      <c r="K110" s="2">
        <v>2</v>
      </c>
      <c r="L110" s="9">
        <f t="shared" si="23"/>
        <v>9.9502487562189053E-3</v>
      </c>
      <c r="M110" s="2" t="s">
        <v>50</v>
      </c>
      <c r="N110" s="2"/>
      <c r="O110" s="2">
        <v>2</v>
      </c>
      <c r="P110" s="9">
        <f t="shared" si="24"/>
        <v>9.5693779904306216E-3</v>
      </c>
    </row>
    <row r="111" spans="1:16" x14ac:dyDescent="0.15">
      <c r="A111" s="2" t="s">
        <v>29</v>
      </c>
      <c r="B111" s="2" t="s">
        <v>34</v>
      </c>
      <c r="C111" s="2">
        <v>1</v>
      </c>
      <c r="D111" s="9">
        <f t="shared" si="21"/>
        <v>4.6296296296296294E-3</v>
      </c>
      <c r="E111" s="2" t="s">
        <v>42</v>
      </c>
      <c r="F111" s="2" t="s">
        <v>43</v>
      </c>
      <c r="G111" s="2">
        <v>8</v>
      </c>
      <c r="H111" s="9">
        <f t="shared" si="22"/>
        <v>3.8461538461538464E-2</v>
      </c>
      <c r="I111" s="2" t="s">
        <v>36</v>
      </c>
      <c r="J111" s="2" t="s">
        <v>39</v>
      </c>
      <c r="K111" s="2">
        <v>1</v>
      </c>
      <c r="L111" s="9">
        <f t="shared" si="23"/>
        <v>4.9751243781094526E-3</v>
      </c>
      <c r="M111" s="2" t="s">
        <v>29</v>
      </c>
      <c r="N111" s="2" t="s">
        <v>67</v>
      </c>
      <c r="O111" s="2">
        <v>2</v>
      </c>
      <c r="P111" s="9">
        <f t="shared" si="24"/>
        <v>9.5693779904306216E-3</v>
      </c>
    </row>
    <row r="112" spans="1:16" x14ac:dyDescent="0.15">
      <c r="A112" s="2" t="s">
        <v>66</v>
      </c>
      <c r="B112" s="2"/>
      <c r="C112" s="2">
        <v>1</v>
      </c>
      <c r="D112" s="9">
        <f t="shared" si="21"/>
        <v>4.6296296296296294E-3</v>
      </c>
      <c r="E112" s="2" t="s">
        <v>29</v>
      </c>
      <c r="F112" s="2" t="s">
        <v>32</v>
      </c>
      <c r="G112" s="2">
        <v>4</v>
      </c>
      <c r="H112" s="9">
        <f t="shared" si="22"/>
        <v>1.9230769230769232E-2</v>
      </c>
      <c r="I112" s="2" t="s">
        <v>36</v>
      </c>
      <c r="J112" s="2" t="s">
        <v>40</v>
      </c>
      <c r="K112" s="2">
        <v>6</v>
      </c>
      <c r="L112" s="9">
        <f t="shared" si="23"/>
        <v>2.9850746268656716E-2</v>
      </c>
      <c r="M112" s="2"/>
      <c r="N112" s="2"/>
      <c r="O112" s="2"/>
    </row>
    <row r="113" spans="1:12" x14ac:dyDescent="0.15">
      <c r="A113" s="2" t="s">
        <v>42</v>
      </c>
      <c r="B113" s="2" t="s">
        <v>43</v>
      </c>
      <c r="C113" s="2">
        <v>1</v>
      </c>
      <c r="D113" s="9">
        <f t="shared" si="21"/>
        <v>4.6296296296296294E-3</v>
      </c>
      <c r="E113" s="2" t="s">
        <v>29</v>
      </c>
      <c r="F113" s="2"/>
      <c r="G113" s="2">
        <v>1</v>
      </c>
      <c r="H113" s="9">
        <f t="shared" si="22"/>
        <v>4.807692307692308E-3</v>
      </c>
      <c r="I113" s="2" t="s">
        <v>42</v>
      </c>
      <c r="J113" s="2" t="s">
        <v>43</v>
      </c>
      <c r="K113" s="2">
        <v>6</v>
      </c>
      <c r="L113" s="9">
        <f t="shared" si="23"/>
        <v>2.9850746268656716E-2</v>
      </c>
    </row>
    <row r="114" spans="1:12" x14ac:dyDescent="0.15">
      <c r="A114" s="2" t="s">
        <v>44</v>
      </c>
      <c r="B114" s="2"/>
      <c r="C114" s="2">
        <v>1</v>
      </c>
      <c r="D114" s="9">
        <f t="shared" si="21"/>
        <v>4.6296296296296294E-3</v>
      </c>
      <c r="E114" s="2" t="s">
        <v>29</v>
      </c>
      <c r="F114" s="2" t="s">
        <v>33</v>
      </c>
      <c r="G114" s="2">
        <v>3</v>
      </c>
      <c r="H114" s="9">
        <f t="shared" si="22"/>
        <v>1.4423076923076924E-2</v>
      </c>
      <c r="I114" s="2"/>
      <c r="J114" s="2"/>
      <c r="K114" s="2"/>
    </row>
    <row r="115" spans="1:12" x14ac:dyDescent="0.15">
      <c r="A115" s="2"/>
      <c r="B115" s="2"/>
      <c r="C115" s="2"/>
      <c r="E115" s="2" t="s">
        <v>36</v>
      </c>
      <c r="F115" s="2" t="s">
        <v>40</v>
      </c>
      <c r="G115" s="2">
        <v>1</v>
      </c>
      <c r="H115" s="9">
        <f t="shared" si="22"/>
        <v>4.807692307692308E-3</v>
      </c>
    </row>
    <row r="116" spans="1:12" x14ac:dyDescent="0.15">
      <c r="E116" s="2"/>
      <c r="F116" s="2"/>
      <c r="G116" s="2"/>
    </row>
  </sheetData>
  <pageMargins left="0.70000000000000007" right="0.70000000000000007" top="0.75" bottom="0.75" header="0.30000000000000004" footer="0.3000000000000000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25"/>
  <sheetViews>
    <sheetView workbookViewId="0"/>
  </sheetViews>
  <sheetFormatPr baseColWidth="10" defaultColWidth="8.6640625" defaultRowHeight="14" x14ac:dyDescent="0.15"/>
  <cols>
    <col min="1" max="1" width="9.1640625" style="2" customWidth="1"/>
    <col min="2" max="1024" width="8.6640625" style="2" customWidth="1"/>
    <col min="1025" max="1025" width="9" customWidth="1"/>
  </cols>
  <sheetData>
    <row r="1" spans="1:14" x14ac:dyDescent="0.15">
      <c r="A1" s="2" t="s">
        <v>56</v>
      </c>
      <c r="B1" s="2" t="s">
        <v>57</v>
      </c>
    </row>
    <row r="2" spans="1:14" x14ac:dyDescent="0.15">
      <c r="A2" s="3">
        <v>41733</v>
      </c>
      <c r="B2" s="2" t="s">
        <v>63</v>
      </c>
      <c r="D2" s="2" t="s">
        <v>71</v>
      </c>
      <c r="H2" s="2" t="s">
        <v>70</v>
      </c>
    </row>
    <row r="3" spans="1:14" x14ac:dyDescent="0.15">
      <c r="A3" s="3">
        <v>41738</v>
      </c>
      <c r="B3" s="2" t="s">
        <v>75</v>
      </c>
      <c r="D3" s="2" t="s">
        <v>71</v>
      </c>
    </row>
    <row r="4" spans="1:14" x14ac:dyDescent="0.15">
      <c r="A4" s="3">
        <v>41743</v>
      </c>
      <c r="B4" s="2" t="s">
        <v>63</v>
      </c>
      <c r="D4" s="2" t="s">
        <v>71</v>
      </c>
      <c r="H4" s="2" t="s">
        <v>70</v>
      </c>
    </row>
    <row r="5" spans="1:14" x14ac:dyDescent="0.15">
      <c r="A5" s="3">
        <v>41750</v>
      </c>
      <c r="B5" s="2" t="s">
        <v>92</v>
      </c>
      <c r="E5" s="2" t="s">
        <v>71</v>
      </c>
    </row>
    <row r="6" spans="1:14" x14ac:dyDescent="0.15">
      <c r="A6" s="3">
        <v>41760</v>
      </c>
      <c r="H6" s="2" t="s">
        <v>70</v>
      </c>
      <c r="J6" s="2" t="s">
        <v>82</v>
      </c>
      <c r="N6" s="2" t="s">
        <v>86</v>
      </c>
    </row>
    <row r="7" spans="1:14" x14ac:dyDescent="0.15">
      <c r="A7" s="3">
        <v>41768</v>
      </c>
      <c r="H7" s="2" t="s">
        <v>70</v>
      </c>
      <c r="J7" s="2" t="s">
        <v>82</v>
      </c>
      <c r="L7" s="2" t="s">
        <v>87</v>
      </c>
      <c r="N7" s="2" t="s">
        <v>86</v>
      </c>
    </row>
    <row r="8" spans="1:14" x14ac:dyDescent="0.15">
      <c r="A8" s="3">
        <v>41772</v>
      </c>
      <c r="H8" s="2" t="s">
        <v>70</v>
      </c>
      <c r="J8" s="2" t="s">
        <v>82</v>
      </c>
      <c r="L8" s="2" t="s">
        <v>87</v>
      </c>
      <c r="N8" s="2" t="s">
        <v>86</v>
      </c>
    </row>
    <row r="9" spans="1:14" x14ac:dyDescent="0.15">
      <c r="A9" s="3">
        <v>41774</v>
      </c>
      <c r="B9" s="2" t="s">
        <v>88</v>
      </c>
      <c r="H9" s="2" t="s">
        <v>70</v>
      </c>
      <c r="J9" s="2" t="s">
        <v>82</v>
      </c>
      <c r="N9" s="2" t="s">
        <v>86</v>
      </c>
    </row>
    <row r="10" spans="1:14" x14ac:dyDescent="0.15">
      <c r="A10" s="3">
        <v>41781</v>
      </c>
      <c r="B10" s="2" t="s">
        <v>63</v>
      </c>
      <c r="D10" s="2" t="s">
        <v>71</v>
      </c>
    </row>
    <row r="11" spans="1:14" x14ac:dyDescent="0.15">
      <c r="A11" s="3">
        <v>41820</v>
      </c>
      <c r="B11" s="2" t="s">
        <v>63</v>
      </c>
      <c r="D11" s="2" t="s">
        <v>71</v>
      </c>
      <c r="F11" s="2" t="s">
        <v>90</v>
      </c>
      <c r="H11" s="2" t="s">
        <v>70</v>
      </c>
    </row>
    <row r="16" spans="1:14" x14ac:dyDescent="0.15">
      <c r="A16" s="3">
        <v>41733</v>
      </c>
      <c r="B16" s="2" t="s">
        <v>93</v>
      </c>
      <c r="D16" s="2" t="s">
        <v>94</v>
      </c>
      <c r="H16" s="2" t="s">
        <v>95</v>
      </c>
    </row>
    <row r="17" spans="1:14" x14ac:dyDescent="0.15">
      <c r="A17" s="3">
        <v>41738</v>
      </c>
      <c r="D17" s="2" t="s">
        <v>94</v>
      </c>
    </row>
    <row r="18" spans="1:14" x14ac:dyDescent="0.15">
      <c r="A18" s="3">
        <v>41743</v>
      </c>
      <c r="B18" s="2" t="s">
        <v>96</v>
      </c>
      <c r="D18" s="2" t="s">
        <v>94</v>
      </c>
      <c r="H18" s="2" t="s">
        <v>95</v>
      </c>
    </row>
    <row r="19" spans="1:14" x14ac:dyDescent="0.15">
      <c r="A19" s="3">
        <v>41750</v>
      </c>
      <c r="B19" s="2" t="s">
        <v>96</v>
      </c>
      <c r="D19" s="2" t="s">
        <v>94</v>
      </c>
    </row>
    <row r="20" spans="1:14" x14ac:dyDescent="0.15">
      <c r="A20" s="3">
        <v>41760</v>
      </c>
      <c r="H20" s="2" t="s">
        <v>95</v>
      </c>
      <c r="J20" s="2" t="s">
        <v>97</v>
      </c>
      <c r="N20" s="2" t="s">
        <v>98</v>
      </c>
    </row>
    <row r="21" spans="1:14" x14ac:dyDescent="0.15">
      <c r="A21" s="3">
        <v>41768</v>
      </c>
      <c r="H21" s="2" t="s">
        <v>95</v>
      </c>
      <c r="J21" s="2" t="s">
        <v>97</v>
      </c>
      <c r="L21" s="2" t="s">
        <v>99</v>
      </c>
      <c r="N21" s="2" t="s">
        <v>98</v>
      </c>
    </row>
    <row r="22" spans="1:14" x14ac:dyDescent="0.15">
      <c r="A22" s="3">
        <v>41772</v>
      </c>
      <c r="H22" s="2" t="s">
        <v>95</v>
      </c>
      <c r="J22" s="2" t="s">
        <v>97</v>
      </c>
      <c r="L22" s="2" t="s">
        <v>99</v>
      </c>
      <c r="N22" s="2" t="s">
        <v>98</v>
      </c>
    </row>
    <row r="23" spans="1:14" x14ac:dyDescent="0.15">
      <c r="A23" s="3">
        <v>41774</v>
      </c>
      <c r="H23" s="2" t="s">
        <v>95</v>
      </c>
      <c r="J23" s="2" t="s">
        <v>97</v>
      </c>
      <c r="N23" s="2" t="s">
        <v>98</v>
      </c>
    </row>
    <row r="24" spans="1:14" x14ac:dyDescent="0.15">
      <c r="A24" s="3">
        <v>41781</v>
      </c>
      <c r="B24" s="2" t="s">
        <v>96</v>
      </c>
      <c r="D24" s="2" t="s">
        <v>94</v>
      </c>
    </row>
    <row r="25" spans="1:14" x14ac:dyDescent="0.15">
      <c r="A25" s="3">
        <v>41820</v>
      </c>
      <c r="B25" s="2" t="s">
        <v>96</v>
      </c>
      <c r="D25" s="2" t="s">
        <v>94</v>
      </c>
      <c r="F25" s="2" t="s">
        <v>100</v>
      </c>
      <c r="H25" s="2" t="s">
        <v>95</v>
      </c>
    </row>
  </sheetData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62"/>
  <sheetViews>
    <sheetView workbookViewId="0"/>
  </sheetViews>
  <sheetFormatPr baseColWidth="10" defaultColWidth="8.6640625" defaultRowHeight="15" x14ac:dyDescent="0.2"/>
  <cols>
    <col min="1" max="2" width="8.33203125" style="1" customWidth="1"/>
    <col min="3" max="3" width="17.5" style="1" customWidth="1"/>
    <col min="4" max="4" width="16.83203125" style="1" customWidth="1"/>
    <col min="5" max="7" width="8.33203125" style="1" customWidth="1"/>
    <col min="8" max="8" width="16.6640625" style="1" customWidth="1"/>
    <col min="9" max="1024" width="8.33203125" style="1" customWidth="1"/>
    <col min="1025" max="1025" width="9" customWidth="1"/>
  </cols>
  <sheetData>
    <row r="1" spans="2:9" x14ac:dyDescent="0.2">
      <c r="B1" s="1" t="s">
        <v>0</v>
      </c>
      <c r="C1" s="1" t="s">
        <v>1</v>
      </c>
      <c r="D1" s="1" t="s">
        <v>2</v>
      </c>
      <c r="E1" s="1" t="s">
        <v>3</v>
      </c>
    </row>
    <row r="4" spans="2:9" x14ac:dyDescent="0.2">
      <c r="B4" s="1" t="s">
        <v>4</v>
      </c>
      <c r="D4" s="1" t="s">
        <v>5</v>
      </c>
      <c r="E4" s="1">
        <v>18</v>
      </c>
    </row>
    <row r="5" spans="2:9" x14ac:dyDescent="0.2">
      <c r="H5" s="1" t="s">
        <v>203</v>
      </c>
    </row>
    <row r="6" spans="2:9" x14ac:dyDescent="0.2">
      <c r="B6" s="1" t="s">
        <v>6</v>
      </c>
      <c r="D6" s="1" t="s">
        <v>5</v>
      </c>
      <c r="E6" s="1">
        <v>15</v>
      </c>
      <c r="H6" s="1" t="s">
        <v>4</v>
      </c>
      <c r="I6" s="1">
        <f>E4/7699</f>
        <v>2.3379659696064425E-3</v>
      </c>
    </row>
    <row r="7" spans="2:9" x14ac:dyDescent="0.2">
      <c r="B7" s="1" t="s">
        <v>7</v>
      </c>
      <c r="D7" s="1" t="s">
        <v>5</v>
      </c>
      <c r="E7" s="1">
        <f>SUM(15+6+9)</f>
        <v>30</v>
      </c>
      <c r="H7" s="1" t="s">
        <v>6</v>
      </c>
      <c r="I7" s="1">
        <f>E6/7699</f>
        <v>1.9483049746720352E-3</v>
      </c>
    </row>
    <row r="8" spans="2:9" x14ac:dyDescent="0.2">
      <c r="B8" s="1" t="s">
        <v>8</v>
      </c>
      <c r="C8" s="1" t="s">
        <v>9</v>
      </c>
      <c r="D8" s="1" t="s">
        <v>10</v>
      </c>
      <c r="E8" s="1">
        <v>8</v>
      </c>
      <c r="H8" s="1" t="s">
        <v>7</v>
      </c>
      <c r="I8" s="1">
        <f>E7/7699</f>
        <v>3.8966099493440705E-3</v>
      </c>
    </row>
    <row r="9" spans="2:9" x14ac:dyDescent="0.2">
      <c r="B9" s="1" t="s">
        <v>11</v>
      </c>
      <c r="D9" s="1" t="s">
        <v>5</v>
      </c>
      <c r="E9" s="1">
        <v>5</v>
      </c>
      <c r="H9" s="1" t="s">
        <v>8</v>
      </c>
      <c r="I9" s="1">
        <f>E8/7699</f>
        <v>1.0390959864917521E-3</v>
      </c>
    </row>
    <row r="10" spans="2:9" x14ac:dyDescent="0.2">
      <c r="H10" s="1" t="s">
        <v>11</v>
      </c>
      <c r="I10" s="1">
        <f>E9/7699</f>
        <v>6.4943499155734508E-4</v>
      </c>
    </row>
    <row r="11" spans="2:9" x14ac:dyDescent="0.2">
      <c r="B11" s="1" t="s">
        <v>12</v>
      </c>
      <c r="E11" s="1">
        <v>12</v>
      </c>
      <c r="H11" s="1" t="s">
        <v>12</v>
      </c>
      <c r="I11" s="1">
        <f t="shared" ref="I11:I20" si="0">E11/7699</f>
        <v>1.5586439797376282E-3</v>
      </c>
    </row>
    <row r="12" spans="2:9" x14ac:dyDescent="0.2">
      <c r="C12" s="1" t="s">
        <v>13</v>
      </c>
      <c r="D12" s="1" t="s">
        <v>14</v>
      </c>
      <c r="E12" s="1">
        <v>2</v>
      </c>
      <c r="H12" s="1" t="s">
        <v>14</v>
      </c>
      <c r="I12" s="1">
        <f t="shared" si="0"/>
        <v>2.5977399662293802E-4</v>
      </c>
    </row>
    <row r="13" spans="2:9" x14ac:dyDescent="0.2">
      <c r="C13" s="1" t="s">
        <v>13</v>
      </c>
      <c r="E13" s="1">
        <f>SUM(6+6+10+3+14+17+2+6+15+40+15+7+9+19+26+73+45+34+44+31+54+148+24+8+11+16+7+27)</f>
        <v>717</v>
      </c>
      <c r="H13" s="1" t="s">
        <v>15</v>
      </c>
      <c r="I13" s="1">
        <f t="shared" si="0"/>
        <v>9.3128977789323289E-2</v>
      </c>
    </row>
    <row r="14" spans="2:9" x14ac:dyDescent="0.2">
      <c r="C14" s="1" t="s">
        <v>16</v>
      </c>
      <c r="D14" s="1" t="s">
        <v>5</v>
      </c>
      <c r="E14" s="1">
        <v>22</v>
      </c>
      <c r="H14" s="1" t="s">
        <v>16</v>
      </c>
      <c r="I14" s="1">
        <f t="shared" si="0"/>
        <v>2.8575139628523186E-3</v>
      </c>
    </row>
    <row r="15" spans="2:9" x14ac:dyDescent="0.2">
      <c r="C15" s="1" t="s">
        <v>17</v>
      </c>
      <c r="D15" s="1" t="s">
        <v>18</v>
      </c>
      <c r="E15" s="1">
        <f>SUM(14+28+23+30+55+32+33+43+58+91+110+85+50+60+92+36+58+29+51+25+29+28+52+30+34+68+47+220)</f>
        <v>1511</v>
      </c>
      <c r="H15" s="1" t="s">
        <v>17</v>
      </c>
      <c r="I15" s="1">
        <f t="shared" si="0"/>
        <v>0.19625925444862968</v>
      </c>
    </row>
    <row r="16" spans="2:9" x14ac:dyDescent="0.2">
      <c r="C16" s="1" t="s">
        <v>19</v>
      </c>
      <c r="D16" s="1" t="s">
        <v>5</v>
      </c>
      <c r="E16" s="1">
        <f>SUM(56+140+84+73+21+33+38+31+35+49+49+21+49+26)</f>
        <v>705</v>
      </c>
      <c r="H16" s="1" t="s">
        <v>19</v>
      </c>
      <c r="I16" s="1">
        <f t="shared" si="0"/>
        <v>9.1570333809585666E-2</v>
      </c>
    </row>
    <row r="17" spans="2:9" x14ac:dyDescent="0.2">
      <c r="C17" s="1" t="s">
        <v>20</v>
      </c>
      <c r="D17" s="1" t="s">
        <v>21</v>
      </c>
      <c r="E17" s="1">
        <v>1</v>
      </c>
      <c r="H17" s="1" t="s">
        <v>20</v>
      </c>
      <c r="I17" s="1">
        <f t="shared" si="0"/>
        <v>1.2988699831146901E-4</v>
      </c>
    </row>
    <row r="18" spans="2:9" x14ac:dyDescent="0.2">
      <c r="C18" s="1" t="s">
        <v>22</v>
      </c>
      <c r="D18" s="1" t="s">
        <v>5</v>
      </c>
      <c r="E18" s="1">
        <f>SUM(88+13+23+18)</f>
        <v>142</v>
      </c>
      <c r="H18" s="1" t="s">
        <v>22</v>
      </c>
      <c r="I18" s="1">
        <f t="shared" si="0"/>
        <v>1.8443953760228601E-2</v>
      </c>
    </row>
    <row r="19" spans="2:9" x14ac:dyDescent="0.2">
      <c r="C19" s="1" t="s">
        <v>23</v>
      </c>
      <c r="D19" s="1" t="s">
        <v>5</v>
      </c>
      <c r="E19" s="1">
        <f>SUM(22+13+134+95+17+73+22)</f>
        <v>376</v>
      </c>
      <c r="H19" s="1" t="s">
        <v>23</v>
      </c>
      <c r="I19" s="1">
        <f t="shared" si="0"/>
        <v>4.883751136511235E-2</v>
      </c>
    </row>
    <row r="20" spans="2:9" x14ac:dyDescent="0.2">
      <c r="C20" s="1" t="s">
        <v>24</v>
      </c>
      <c r="D20" s="1" t="s">
        <v>5</v>
      </c>
      <c r="E20" s="1">
        <f>SUM(11+35+35+26+18+28+2+9+12+16)</f>
        <v>192</v>
      </c>
      <c r="H20" s="1" t="s">
        <v>24</v>
      </c>
      <c r="I20" s="1">
        <f t="shared" si="0"/>
        <v>2.4938303675802052E-2</v>
      </c>
    </row>
    <row r="21" spans="2:9" x14ac:dyDescent="0.2">
      <c r="H21" s="1" t="s">
        <v>25</v>
      </c>
      <c r="I21" s="1">
        <f t="shared" ref="I21:I46" si="1">E22/7699</f>
        <v>2.5977399662293802E-4</v>
      </c>
    </row>
    <row r="22" spans="2:9" x14ac:dyDescent="0.2">
      <c r="B22" s="1" t="s">
        <v>25</v>
      </c>
      <c r="C22" s="1" t="s">
        <v>5</v>
      </c>
      <c r="E22" s="1">
        <v>2</v>
      </c>
      <c r="H22" s="1" t="s">
        <v>26</v>
      </c>
      <c r="I22" s="1">
        <f t="shared" si="1"/>
        <v>7.4295363034160275E-2</v>
      </c>
    </row>
    <row r="23" spans="2:9" x14ac:dyDescent="0.2">
      <c r="C23" s="1" t="s">
        <v>26</v>
      </c>
      <c r="D23" s="1" t="s">
        <v>5</v>
      </c>
      <c r="E23" s="1">
        <f>SUM(10+46+62+32+19+13+10+25+15+7+12+129+28+13+29+14+45+7+22+34)</f>
        <v>572</v>
      </c>
      <c r="H23" s="1" t="s">
        <v>27</v>
      </c>
      <c r="I23" s="1">
        <f t="shared" si="1"/>
        <v>2.5977399662293802E-4</v>
      </c>
    </row>
    <row r="24" spans="2:9" x14ac:dyDescent="0.2">
      <c r="C24" s="1" t="s">
        <v>27</v>
      </c>
      <c r="D24" s="1" t="s">
        <v>5</v>
      </c>
      <c r="E24" s="1">
        <v>2</v>
      </c>
      <c r="H24" s="1" t="s">
        <v>28</v>
      </c>
      <c r="I24" s="1">
        <f t="shared" si="1"/>
        <v>3.5069489544096635E-3</v>
      </c>
    </row>
    <row r="25" spans="2:9" x14ac:dyDescent="0.2">
      <c r="C25" s="1" t="s">
        <v>28</v>
      </c>
      <c r="D25" s="1" t="s">
        <v>5</v>
      </c>
      <c r="E25" s="1">
        <v>27</v>
      </c>
      <c r="H25" s="1" t="s">
        <v>29</v>
      </c>
      <c r="I25" s="1">
        <f t="shared" si="1"/>
        <v>9.3518638784257698E-3</v>
      </c>
    </row>
    <row r="26" spans="2:9" x14ac:dyDescent="0.2">
      <c r="C26" s="1" t="s">
        <v>29</v>
      </c>
      <c r="D26" s="1" t="s">
        <v>30</v>
      </c>
      <c r="E26" s="1">
        <f>SUM(24+6+8+7+23+2+2)</f>
        <v>72</v>
      </c>
      <c r="H26" s="1" t="s">
        <v>31</v>
      </c>
      <c r="I26" s="1">
        <f t="shared" si="1"/>
        <v>3.8966099493440706E-4</v>
      </c>
    </row>
    <row r="27" spans="2:9" x14ac:dyDescent="0.2">
      <c r="D27" s="1" t="s">
        <v>31</v>
      </c>
      <c r="E27" s="1">
        <v>3</v>
      </c>
      <c r="H27" s="1" t="s">
        <v>32</v>
      </c>
      <c r="I27" s="1">
        <f t="shared" si="1"/>
        <v>1.1689829848032212E-3</v>
      </c>
    </row>
    <row r="28" spans="2:9" x14ac:dyDescent="0.2">
      <c r="D28" s="1" t="s">
        <v>32</v>
      </c>
      <c r="E28" s="1">
        <v>9</v>
      </c>
      <c r="H28" s="1" t="s">
        <v>33</v>
      </c>
      <c r="I28" s="1">
        <f t="shared" si="1"/>
        <v>7.7932198986881409E-3</v>
      </c>
    </row>
    <row r="29" spans="2:9" x14ac:dyDescent="0.2">
      <c r="D29" s="1" t="s">
        <v>33</v>
      </c>
      <c r="E29" s="1">
        <f>SUM(4+1+2+4+1+2+5+2+3+9+12+15)</f>
        <v>60</v>
      </c>
      <c r="H29" s="1" t="s">
        <v>34</v>
      </c>
      <c r="I29" s="1">
        <f t="shared" si="1"/>
        <v>1.2988699831146901E-4</v>
      </c>
    </row>
    <row r="30" spans="2:9" x14ac:dyDescent="0.2">
      <c r="D30" s="1" t="s">
        <v>34</v>
      </c>
      <c r="E30" s="1">
        <v>1</v>
      </c>
      <c r="H30" s="1" t="s">
        <v>35</v>
      </c>
      <c r="I30" s="1">
        <f t="shared" si="1"/>
        <v>2.5977399662293803E-3</v>
      </c>
    </row>
    <row r="31" spans="2:9" x14ac:dyDescent="0.2">
      <c r="D31" s="1" t="s">
        <v>35</v>
      </c>
      <c r="E31" s="1">
        <v>20</v>
      </c>
      <c r="H31" s="1" t="s">
        <v>36</v>
      </c>
      <c r="I31" s="1">
        <f t="shared" si="1"/>
        <v>2.8575139628523186E-3</v>
      </c>
    </row>
    <row r="32" spans="2:9" x14ac:dyDescent="0.2">
      <c r="C32" s="1" t="s">
        <v>36</v>
      </c>
      <c r="D32" s="1" t="s">
        <v>37</v>
      </c>
      <c r="E32" s="1">
        <v>22</v>
      </c>
      <c r="H32" s="1" t="s">
        <v>38</v>
      </c>
      <c r="I32" s="1">
        <f t="shared" si="1"/>
        <v>2.5977399662293802E-4</v>
      </c>
    </row>
    <row r="33" spans="2:9" x14ac:dyDescent="0.2">
      <c r="D33" s="1" t="s">
        <v>38</v>
      </c>
      <c r="E33" s="1">
        <v>2</v>
      </c>
      <c r="H33" s="1" t="s">
        <v>39</v>
      </c>
      <c r="I33" s="1">
        <f t="shared" si="1"/>
        <v>6.4943499155734508E-4</v>
      </c>
    </row>
    <row r="34" spans="2:9" x14ac:dyDescent="0.2">
      <c r="D34" s="1" t="s">
        <v>39</v>
      </c>
      <c r="E34" s="1">
        <v>5</v>
      </c>
      <c r="H34" s="1" t="s">
        <v>40</v>
      </c>
      <c r="I34" s="1">
        <f t="shared" si="1"/>
        <v>1.0390959864917521E-3</v>
      </c>
    </row>
    <row r="35" spans="2:9" x14ac:dyDescent="0.2">
      <c r="D35" s="1" t="s">
        <v>40</v>
      </c>
      <c r="E35" s="1">
        <v>8</v>
      </c>
      <c r="H35" s="1" t="s">
        <v>41</v>
      </c>
      <c r="I35" s="1">
        <f t="shared" si="1"/>
        <v>2.5977399662293802E-4</v>
      </c>
    </row>
    <row r="36" spans="2:9" x14ac:dyDescent="0.2">
      <c r="C36" s="1" t="s">
        <v>41</v>
      </c>
      <c r="D36" s="1" t="s">
        <v>5</v>
      </c>
      <c r="E36" s="1">
        <v>2</v>
      </c>
      <c r="H36" s="1" t="s">
        <v>42</v>
      </c>
      <c r="I36" s="1">
        <f t="shared" si="1"/>
        <v>1.2988699831146901E-4</v>
      </c>
    </row>
    <row r="37" spans="2:9" x14ac:dyDescent="0.2">
      <c r="C37" s="1" t="s">
        <v>42</v>
      </c>
      <c r="D37" s="1" t="s">
        <v>30</v>
      </c>
      <c r="E37" s="1">
        <v>1</v>
      </c>
      <c r="H37" s="1" t="s">
        <v>43</v>
      </c>
      <c r="I37" s="1">
        <f t="shared" si="1"/>
        <v>7.9231068969996109E-3</v>
      </c>
    </row>
    <row r="38" spans="2:9" x14ac:dyDescent="0.2">
      <c r="D38" s="1" t="s">
        <v>43</v>
      </c>
      <c r="E38" s="1">
        <f>SUM(8+3+12+6+7+6+14+5)</f>
        <v>61</v>
      </c>
      <c r="H38" s="1" t="s">
        <v>44</v>
      </c>
      <c r="I38" s="1">
        <f t="shared" si="1"/>
        <v>1.610598779062216E-2</v>
      </c>
    </row>
    <row r="39" spans="2:9" x14ac:dyDescent="0.2">
      <c r="C39" s="1" t="s">
        <v>44</v>
      </c>
      <c r="D39" s="1" t="s">
        <v>5</v>
      </c>
      <c r="E39" s="1">
        <f>SUM(16+30+34+12+32)</f>
        <v>124</v>
      </c>
      <c r="H39" s="1" t="s">
        <v>45</v>
      </c>
      <c r="I39" s="1">
        <f t="shared" si="1"/>
        <v>2.5977399662293802E-4</v>
      </c>
    </row>
    <row r="40" spans="2:9" x14ac:dyDescent="0.2">
      <c r="D40" s="1" t="s">
        <v>45</v>
      </c>
      <c r="E40" s="1">
        <v>2</v>
      </c>
      <c r="H40" s="1" t="s">
        <v>46</v>
      </c>
      <c r="I40" s="1">
        <f t="shared" si="1"/>
        <v>2.5977399662293802E-4</v>
      </c>
    </row>
    <row r="41" spans="2:9" x14ac:dyDescent="0.2">
      <c r="C41" s="1" t="s">
        <v>46</v>
      </c>
      <c r="D41" s="1" t="s">
        <v>5</v>
      </c>
      <c r="E41" s="1">
        <v>2</v>
      </c>
      <c r="H41" s="1" t="s">
        <v>47</v>
      </c>
      <c r="I41" s="1">
        <f t="shared" si="1"/>
        <v>3.8576438498506296E-2</v>
      </c>
    </row>
    <row r="42" spans="2:9" x14ac:dyDescent="0.2">
      <c r="C42" s="1" t="s">
        <v>47</v>
      </c>
      <c r="D42" s="1" t="s">
        <v>5</v>
      </c>
      <c r="E42" s="1">
        <f>SUM(16+140+20+6+4+2+12+9+6+6+2+5+2+7+7+14+29+10)</f>
        <v>297</v>
      </c>
      <c r="H42" s="1" t="s">
        <v>48</v>
      </c>
      <c r="I42" s="1">
        <f t="shared" si="1"/>
        <v>0.30055851409273932</v>
      </c>
    </row>
    <row r="43" spans="2:9" x14ac:dyDescent="0.2">
      <c r="D43" s="1" t="s">
        <v>48</v>
      </c>
      <c r="E43" s="1">
        <f>SUM(6+37+10+33+93+49+59+45+82+48+49+45+52+40+99+121+71+147+82+105+140+195+110+87+55+41+31+30+35+70+3+53+50+100+41)</f>
        <v>2314</v>
      </c>
      <c r="H43" s="1" t="s">
        <v>49</v>
      </c>
      <c r="I43" s="1">
        <f t="shared" si="1"/>
        <v>6.7541239121963895E-3</v>
      </c>
    </row>
    <row r="44" spans="2:9" x14ac:dyDescent="0.2">
      <c r="D44" s="1" t="s">
        <v>49</v>
      </c>
      <c r="E44" s="1">
        <f>SUM(8+5+2+2+3+3+4+2+2+6+3+1+9+2)</f>
        <v>52</v>
      </c>
      <c r="H44" s="1" t="s">
        <v>50</v>
      </c>
      <c r="I44" s="1">
        <f t="shared" si="1"/>
        <v>1.4677230809196E-2</v>
      </c>
    </row>
    <row r="45" spans="2:9" x14ac:dyDescent="0.2">
      <c r="C45" s="1" t="s">
        <v>50</v>
      </c>
      <c r="E45" s="1">
        <f>SUM(8+3+39+16+17+18+9+3)</f>
        <v>113</v>
      </c>
      <c r="H45" s="1" t="s">
        <v>51</v>
      </c>
      <c r="I45" s="1">
        <f t="shared" si="1"/>
        <v>1.9093388751785945E-2</v>
      </c>
    </row>
    <row r="46" spans="2:9" x14ac:dyDescent="0.2">
      <c r="B46" s="1" t="s">
        <v>51</v>
      </c>
      <c r="E46" s="1">
        <f>SUM(13+6+6+11+8+42+15+8+4+8+13+8+5)</f>
        <v>147</v>
      </c>
      <c r="H46" s="1" t="s">
        <v>52</v>
      </c>
      <c r="I46" s="1">
        <f t="shared" si="1"/>
        <v>2.9874009611637873E-3</v>
      </c>
    </row>
    <row r="47" spans="2:9" x14ac:dyDescent="0.2">
      <c r="B47" s="1" t="s">
        <v>52</v>
      </c>
      <c r="E47" s="1">
        <v>23</v>
      </c>
    </row>
    <row r="49" spans="7:9" x14ac:dyDescent="0.2">
      <c r="G49" s="1" t="s">
        <v>202</v>
      </c>
    </row>
    <row r="50" spans="7:9" x14ac:dyDescent="0.2">
      <c r="G50" s="1" t="s">
        <v>44</v>
      </c>
      <c r="I50" s="1">
        <v>1.610598779062216E-2</v>
      </c>
    </row>
    <row r="51" spans="7:9" x14ac:dyDescent="0.2">
      <c r="G51" s="1" t="s">
        <v>50</v>
      </c>
      <c r="I51" s="1">
        <v>1.4677230809196E-2</v>
      </c>
    </row>
    <row r="52" spans="7:9" x14ac:dyDescent="0.2">
      <c r="G52" s="1" t="s">
        <v>51</v>
      </c>
      <c r="I52" s="1">
        <v>1.9093388751785945E-2</v>
      </c>
    </row>
    <row r="53" spans="7:9" x14ac:dyDescent="0.2">
      <c r="G53" s="1" t="s">
        <v>47</v>
      </c>
      <c r="I53" s="1">
        <v>3.8576438498506296E-2</v>
      </c>
    </row>
    <row r="54" spans="7:9" x14ac:dyDescent="0.2">
      <c r="G54" s="1" t="s">
        <v>48</v>
      </c>
      <c r="I54" s="1">
        <v>0.30055851409273932</v>
      </c>
    </row>
    <row r="55" spans="7:9" x14ac:dyDescent="0.2">
      <c r="G55" s="1" t="s">
        <v>17</v>
      </c>
      <c r="I55" s="1">
        <v>0.19625925444862968</v>
      </c>
    </row>
    <row r="56" spans="7:9" x14ac:dyDescent="0.2">
      <c r="G56" s="1" t="s">
        <v>19</v>
      </c>
      <c r="I56" s="1">
        <v>9.1570333809585666E-2</v>
      </c>
    </row>
    <row r="57" spans="7:9" x14ac:dyDescent="0.2">
      <c r="G57" s="1" t="s">
        <v>15</v>
      </c>
      <c r="I57" s="1">
        <v>9.3128977789323289E-2</v>
      </c>
    </row>
    <row r="58" spans="7:9" x14ac:dyDescent="0.2">
      <c r="G58" s="1" t="s">
        <v>22</v>
      </c>
      <c r="I58" s="1">
        <v>1.8443953760228601E-2</v>
      </c>
    </row>
    <row r="59" spans="7:9" x14ac:dyDescent="0.2">
      <c r="G59" s="1" t="s">
        <v>23</v>
      </c>
      <c r="I59" s="1">
        <v>4.883751136511235E-2</v>
      </c>
    </row>
    <row r="60" spans="7:9" x14ac:dyDescent="0.2">
      <c r="G60" s="1" t="s">
        <v>24</v>
      </c>
      <c r="I60" s="1">
        <v>2.4938303675802052E-2</v>
      </c>
    </row>
    <row r="61" spans="7:9" x14ac:dyDescent="0.2">
      <c r="G61" s="1" t="s">
        <v>26</v>
      </c>
      <c r="I61" s="1">
        <v>7.4295363034160275E-2</v>
      </c>
    </row>
    <row r="62" spans="7:9" x14ac:dyDescent="0.2">
      <c r="G62" s="1" t="s">
        <v>201</v>
      </c>
      <c r="I62" s="1">
        <v>6.3514742174308345E-2</v>
      </c>
    </row>
  </sheetData>
  <pageMargins left="0.70000000000000007" right="0.70000000000000007" top="1.5373999999999999" bottom="1.5373999999999999" header="1.1436999999999999" footer="1.1436999999999999"/>
  <pageSetup paperSize="0" fitToWidth="0" fitToHeight="0" orientation="portrait" horizontalDpi="0" verticalDpi="0" copies="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49"/>
  <sheetViews>
    <sheetView tabSelected="1" topLeftCell="A10" workbookViewId="0">
      <selection activeCell="D19" sqref="D19:D23"/>
    </sheetView>
  </sheetViews>
  <sheetFormatPr baseColWidth="10" defaultColWidth="8.6640625" defaultRowHeight="14" x14ac:dyDescent="0.15"/>
  <cols>
    <col min="1" max="1" width="22.5" style="2" customWidth="1"/>
    <col min="2" max="2" width="17.1640625" style="2" customWidth="1"/>
    <col min="3" max="3" width="8.6640625" style="2" customWidth="1"/>
    <col min="4" max="4" width="12" style="2" customWidth="1"/>
    <col min="5" max="17" width="8.6640625" style="2" customWidth="1"/>
    <col min="18" max="18" width="8.5" style="2" customWidth="1"/>
    <col min="19" max="24" width="8.6640625" style="2" customWidth="1"/>
    <col min="25" max="25" width="9.83203125" style="2" customWidth="1"/>
    <col min="26" max="26" width="10.6640625" style="2" customWidth="1"/>
    <col min="27" max="28" width="8.6640625" style="2" customWidth="1"/>
    <col min="29" max="29" width="11.1640625" style="2" customWidth="1"/>
    <col min="30" max="1024" width="8.6640625" style="2" customWidth="1"/>
    <col min="1025" max="1025" width="9" customWidth="1"/>
  </cols>
  <sheetData>
    <row r="1" spans="1:28" x14ac:dyDescent="0.15">
      <c r="H1" s="25" t="s">
        <v>204</v>
      </c>
      <c r="N1" s="25" t="s">
        <v>205</v>
      </c>
    </row>
    <row r="2" spans="1:28" x14ac:dyDescent="0.15">
      <c r="A2" s="2" t="s">
        <v>70</v>
      </c>
      <c r="B2" s="2" t="s">
        <v>207</v>
      </c>
      <c r="C2" s="2" t="s">
        <v>101</v>
      </c>
      <c r="D2" s="2" t="s">
        <v>102</v>
      </c>
      <c r="E2" s="2" t="s">
        <v>103</v>
      </c>
      <c r="F2" s="2" t="s">
        <v>26</v>
      </c>
      <c r="G2" s="2" t="s">
        <v>28</v>
      </c>
      <c r="H2" s="2" t="s">
        <v>104</v>
      </c>
      <c r="I2" s="2" t="s">
        <v>47</v>
      </c>
      <c r="J2" s="2" t="s">
        <v>105</v>
      </c>
      <c r="L2" s="2" t="s">
        <v>26</v>
      </c>
      <c r="M2" s="2" t="s">
        <v>28</v>
      </c>
      <c r="N2" s="2" t="s">
        <v>104</v>
      </c>
      <c r="O2" s="2" t="s">
        <v>47</v>
      </c>
      <c r="P2" s="2" t="s">
        <v>105</v>
      </c>
    </row>
    <row r="3" spans="1:28" x14ac:dyDescent="0.15">
      <c r="A3" s="3">
        <v>41733</v>
      </c>
      <c r="B3" s="4">
        <v>9504</v>
      </c>
      <c r="C3" s="4">
        <v>6350</v>
      </c>
      <c r="D3" s="2">
        <f t="shared" ref="D3:D9" si="0">C3/B3</f>
        <v>0.66813973063973064</v>
      </c>
      <c r="E3" s="2">
        <v>55</v>
      </c>
      <c r="F3" s="2">
        <v>32</v>
      </c>
      <c r="H3" s="2">
        <v>1</v>
      </c>
      <c r="I3" s="2">
        <v>161</v>
      </c>
      <c r="J3" s="2">
        <v>34</v>
      </c>
      <c r="L3" s="2">
        <f>(F3/0.04)/B3</f>
        <v>8.4175084175084181E-2</v>
      </c>
      <c r="M3" s="2">
        <v>0</v>
      </c>
      <c r="N3" s="2">
        <f>(H3/0.04)/B3</f>
        <v>2.6304713804713806E-3</v>
      </c>
      <c r="O3" s="2">
        <f>(I3/0.04)/B3</f>
        <v>0.42350589225589225</v>
      </c>
      <c r="P3" s="2">
        <f>(J3/0.04)/B3</f>
        <v>8.9436026936026938E-2</v>
      </c>
    </row>
    <row r="4" spans="1:28" x14ac:dyDescent="0.15">
      <c r="A4" s="3">
        <v>41743</v>
      </c>
      <c r="B4" s="4">
        <v>7219</v>
      </c>
      <c r="C4" s="4">
        <v>2836</v>
      </c>
      <c r="D4" s="2">
        <f t="shared" si="0"/>
        <v>0.39285219559495776</v>
      </c>
      <c r="F4" s="2">
        <v>18</v>
      </c>
      <c r="G4" s="2">
        <v>5</v>
      </c>
      <c r="H4" s="2">
        <v>4</v>
      </c>
      <c r="I4" s="2">
        <v>38</v>
      </c>
      <c r="J4" s="2">
        <v>94.5</v>
      </c>
      <c r="L4" s="2">
        <f>(F4/0.14)/B4</f>
        <v>1.781014386638434E-2</v>
      </c>
      <c r="M4" s="2">
        <f>(G4/0.14)/B4</f>
        <v>4.9472621851067607E-3</v>
      </c>
      <c r="N4" s="2">
        <f>(H4/0.14)/B4</f>
        <v>3.9578097480854092E-3</v>
      </c>
      <c r="O4" s="2">
        <f>(I4/0.14)/B4</f>
        <v>3.7599192606811382E-2</v>
      </c>
      <c r="P4" s="2">
        <f>(J4/0.14)/B4</f>
        <v>9.3503255298517787E-2</v>
      </c>
    </row>
    <row r="5" spans="1:28" x14ac:dyDescent="0.15">
      <c r="A5" s="3">
        <v>41760</v>
      </c>
      <c r="B5" s="4">
        <v>4671</v>
      </c>
      <c r="C5" s="4">
        <v>5100</v>
      </c>
      <c r="D5" s="2">
        <f t="shared" si="0"/>
        <v>1.0918432883750804</v>
      </c>
      <c r="F5" s="2">
        <v>5</v>
      </c>
      <c r="I5" s="2">
        <v>11</v>
      </c>
      <c r="J5" s="2">
        <v>163</v>
      </c>
      <c r="L5" s="2">
        <f>(F5/0.04)/B5</f>
        <v>2.6760864911153929E-2</v>
      </c>
      <c r="M5" s="2">
        <v>0</v>
      </c>
      <c r="N5" s="2">
        <f>(H5/0.04)/B5</f>
        <v>0</v>
      </c>
      <c r="O5" s="2">
        <f>(I5/0.04)/B5</f>
        <v>5.8873902804538643E-2</v>
      </c>
      <c r="P5" s="2">
        <f>(J5/0.04)/B5</f>
        <v>0.87240419610361808</v>
      </c>
    </row>
    <row r="6" spans="1:28" x14ac:dyDescent="0.15">
      <c r="A6" s="3">
        <v>41768</v>
      </c>
      <c r="B6" s="4">
        <v>5202</v>
      </c>
      <c r="C6" s="4">
        <v>5050</v>
      </c>
      <c r="D6" s="2">
        <f t="shared" si="0"/>
        <v>0.97078046905036519</v>
      </c>
      <c r="E6" s="2">
        <v>55.9</v>
      </c>
      <c r="F6" s="2">
        <v>10</v>
      </c>
      <c r="H6" s="2">
        <v>5</v>
      </c>
      <c r="I6" s="2">
        <v>51</v>
      </c>
      <c r="J6" s="2">
        <v>60</v>
      </c>
      <c r="L6" s="2">
        <f>(F6/0.04)/B6</f>
        <v>4.8058439061899272E-2</v>
      </c>
      <c r="M6" s="2">
        <v>0</v>
      </c>
      <c r="N6" s="2">
        <f>(H6/0.04)/B6</f>
        <v>2.4029219530949636E-2</v>
      </c>
      <c r="O6" s="2">
        <f>(I6/0.04)/B6</f>
        <v>0.24509803921568626</v>
      </c>
      <c r="P6" s="2">
        <f>(J6/0.04)/B6</f>
        <v>0.28835063437139563</v>
      </c>
    </row>
    <row r="7" spans="1:28" x14ac:dyDescent="0.15">
      <c r="A7" s="3">
        <v>41772</v>
      </c>
      <c r="B7" s="4">
        <v>7578</v>
      </c>
      <c r="C7" s="4">
        <v>5625</v>
      </c>
      <c r="D7" s="2">
        <f t="shared" si="0"/>
        <v>0.74228028503562948</v>
      </c>
      <c r="E7" s="2">
        <v>57</v>
      </c>
      <c r="F7" s="2">
        <v>13</v>
      </c>
      <c r="H7" s="2">
        <v>3</v>
      </c>
      <c r="I7" s="2">
        <v>52</v>
      </c>
      <c r="J7" s="2">
        <v>108</v>
      </c>
      <c r="L7" s="2">
        <f>(F7/0.04)/B7</f>
        <v>4.2887305357614147E-2</v>
      </c>
      <c r="M7" s="2">
        <v>0</v>
      </c>
      <c r="N7" s="2">
        <f>(H7/0.04)/B7</f>
        <v>9.8970704671417255E-3</v>
      </c>
      <c r="O7" s="2">
        <f>(I7/0.04)/B7</f>
        <v>0.17154922143045659</v>
      </c>
      <c r="P7" s="2">
        <f>(J7/0.04)/B7</f>
        <v>0.35629453681710216</v>
      </c>
    </row>
    <row r="8" spans="1:28" x14ac:dyDescent="0.15">
      <c r="A8" s="3">
        <v>41774</v>
      </c>
      <c r="B8" s="4">
        <v>8154</v>
      </c>
      <c r="C8" s="4">
        <v>2937</v>
      </c>
      <c r="D8" s="2">
        <f t="shared" si="0"/>
        <v>0.36019131714495956</v>
      </c>
      <c r="E8" s="2">
        <v>55.4</v>
      </c>
      <c r="F8" s="2">
        <v>11</v>
      </c>
      <c r="H8" s="2">
        <v>1</v>
      </c>
      <c r="I8" s="2">
        <v>51</v>
      </c>
      <c r="J8" s="2">
        <v>55</v>
      </c>
      <c r="L8" s="2">
        <f>(F8/0.08)/B8</f>
        <v>1.6862889379445672E-2</v>
      </c>
      <c r="M8" s="2">
        <v>0</v>
      </c>
      <c r="N8" s="2">
        <f>(H8/0.08)/B8</f>
        <v>1.53298994358597E-3</v>
      </c>
      <c r="O8" s="2">
        <f>(I8/0.08)/B8</f>
        <v>7.8182487122884475E-2</v>
      </c>
      <c r="P8" s="2">
        <f>(J8/0.08)/B8</f>
        <v>8.4314446897228348E-2</v>
      </c>
    </row>
    <row r="9" spans="1:28" x14ac:dyDescent="0.15">
      <c r="A9" s="3">
        <v>41820</v>
      </c>
      <c r="B9" s="4">
        <v>4536</v>
      </c>
      <c r="C9" s="4">
        <v>2310</v>
      </c>
      <c r="D9" s="2">
        <f t="shared" si="0"/>
        <v>0.5092592592592593</v>
      </c>
      <c r="E9" s="2">
        <v>56</v>
      </c>
      <c r="F9" s="2">
        <v>3</v>
      </c>
      <c r="H9" s="2">
        <v>6</v>
      </c>
      <c r="I9" s="2">
        <v>161</v>
      </c>
      <c r="J9" s="2">
        <v>6</v>
      </c>
      <c r="L9" s="2">
        <f>(F9/0.1)/B9</f>
        <v>6.6137566137566134E-3</v>
      </c>
      <c r="M9" s="2">
        <v>0</v>
      </c>
      <c r="N9" s="2">
        <f>(H9/0.1)/B9</f>
        <v>1.3227513227513227E-2</v>
      </c>
      <c r="O9" s="2">
        <f>(I9/0.1)/B9</f>
        <v>0.35493827160493829</v>
      </c>
      <c r="P9" s="2">
        <f>(J9/0.1)/B9</f>
        <v>1.3227513227513227E-2</v>
      </c>
    </row>
    <row r="10" spans="1:28" ht="21.75" customHeight="1" x14ac:dyDescent="0.15">
      <c r="N10" s="2" t="s">
        <v>205</v>
      </c>
    </row>
    <row r="11" spans="1:28" x14ac:dyDescent="0.15">
      <c r="A11" s="2" t="s">
        <v>106</v>
      </c>
      <c r="B11" s="2" t="s">
        <v>207</v>
      </c>
      <c r="C11" s="2" t="s">
        <v>101</v>
      </c>
      <c r="D11" s="2" t="s">
        <v>102</v>
      </c>
      <c r="F11" s="2" t="s">
        <v>26</v>
      </c>
      <c r="G11" s="2" t="s">
        <v>28</v>
      </c>
      <c r="H11" s="2" t="s">
        <v>104</v>
      </c>
      <c r="I11" s="2" t="s">
        <v>47</v>
      </c>
      <c r="J11" s="2" t="s">
        <v>105</v>
      </c>
      <c r="L11" s="2" t="s">
        <v>26</v>
      </c>
      <c r="M11" s="2" t="s">
        <v>28</v>
      </c>
      <c r="N11" s="2" t="s">
        <v>104</v>
      </c>
      <c r="O11" s="2" t="s">
        <v>47</v>
      </c>
      <c r="P11" s="2" t="s">
        <v>105</v>
      </c>
      <c r="R11" s="2" t="s">
        <v>107</v>
      </c>
    </row>
    <row r="12" spans="1:28" x14ac:dyDescent="0.15">
      <c r="A12" s="5">
        <v>41733</v>
      </c>
      <c r="B12" s="4">
        <v>5499</v>
      </c>
      <c r="C12" s="4">
        <v>4420</v>
      </c>
      <c r="D12" s="2">
        <f>C12/B12</f>
        <v>0.80378250591016553</v>
      </c>
      <c r="F12" s="2">
        <v>54</v>
      </c>
      <c r="G12" s="2">
        <v>1.5</v>
      </c>
      <c r="H12" s="2">
        <v>3</v>
      </c>
      <c r="I12" s="2">
        <v>108</v>
      </c>
      <c r="J12" s="2">
        <v>10.5</v>
      </c>
      <c r="L12" s="2">
        <f>(F12/0.1)/B12</f>
        <v>9.8199672667757767E-2</v>
      </c>
      <c r="M12" s="2">
        <f>(G12/0.1)/B12</f>
        <v>2.7277686852154939E-3</v>
      </c>
      <c r="N12" s="2">
        <f>(H12/0.1)/B12</f>
        <v>5.4555373704309879E-3</v>
      </c>
      <c r="O12" s="2">
        <f>(I12/0.1)/B12</f>
        <v>0.19639934533551553</v>
      </c>
      <c r="P12" s="2">
        <f>(J12/0.1)/B12</f>
        <v>1.9094380796508457E-2</v>
      </c>
      <c r="R12" s="2" t="s">
        <v>55</v>
      </c>
    </row>
    <row r="13" spans="1:28" x14ac:dyDescent="0.15">
      <c r="A13" s="3">
        <v>41743</v>
      </c>
      <c r="B13" s="4">
        <v>6845</v>
      </c>
      <c r="C13" s="6">
        <v>2537.5</v>
      </c>
      <c r="D13" s="2">
        <f>C13/B13</f>
        <v>0.37070854638422207</v>
      </c>
      <c r="F13" s="2">
        <v>2</v>
      </c>
      <c r="H13" s="2">
        <v>3</v>
      </c>
      <c r="I13" s="2">
        <v>58</v>
      </c>
      <c r="J13" s="2">
        <v>67</v>
      </c>
      <c r="L13" s="2">
        <f>(F13/0.08)/B13</f>
        <v>3.6523009495982471E-3</v>
      </c>
      <c r="M13" s="2">
        <f>(G13/0.1)/B13</f>
        <v>0</v>
      </c>
      <c r="N13" s="2">
        <f>(H13/0.08)/B13</f>
        <v>5.4784514243973702E-3</v>
      </c>
      <c r="O13" s="2">
        <f>(I13/0.08)/B13</f>
        <v>0.10591672753834916</v>
      </c>
      <c r="P13" s="2">
        <f>(J13/0.08)/B13</f>
        <v>0.12235208181154127</v>
      </c>
      <c r="R13" s="2">
        <f>AVERAGE(L3,L4,L9)</f>
        <v>3.6199661551741709E-2</v>
      </c>
      <c r="S13" s="2">
        <f>AVERAGE(M3,M4,M9)</f>
        <v>1.649087395035587E-3</v>
      </c>
      <c r="T13" s="2">
        <f>AVERAGE(N3,N4,N9)</f>
        <v>6.6052647853566725E-3</v>
      </c>
      <c r="U13" s="2">
        <f>AVERAGE(O3,O4,O9)</f>
        <v>0.27201445215588066</v>
      </c>
      <c r="V13" s="2">
        <f>AVERAGE(P3,P4,P9)</f>
        <v>6.5388931820685989E-2</v>
      </c>
    </row>
    <row r="14" spans="1:28" x14ac:dyDescent="0.15">
      <c r="A14" s="3">
        <v>41781</v>
      </c>
      <c r="B14" s="4">
        <v>10836</v>
      </c>
      <c r="C14" s="4">
        <v>5475</v>
      </c>
      <c r="D14" s="2">
        <f>C14/B14</f>
        <v>0.50526024363233668</v>
      </c>
      <c r="F14" s="2">
        <v>7</v>
      </c>
      <c r="G14" s="2">
        <v>2</v>
      </c>
      <c r="H14" s="2">
        <v>4</v>
      </c>
      <c r="I14" s="2">
        <v>53</v>
      </c>
      <c r="J14" s="2">
        <v>134</v>
      </c>
      <c r="L14" s="2">
        <f>(F14/0.04)/B14</f>
        <v>1.614987080103359E-2</v>
      </c>
      <c r="M14" s="2">
        <f>(G14/0.04)/B14</f>
        <v>4.6142488002953123E-3</v>
      </c>
      <c r="N14" s="2">
        <f>(H14/0.04)/B14</f>
        <v>9.2284976005906245E-3</v>
      </c>
      <c r="O14" s="2">
        <f>(I14/0.04)/B14</f>
        <v>0.12227759320782576</v>
      </c>
      <c r="P14" s="2">
        <f>(J14/0.04)/B14</f>
        <v>0.30915466961978588</v>
      </c>
      <c r="R14" s="2" t="s">
        <v>108</v>
      </c>
      <c r="X14" s="2" t="s">
        <v>109</v>
      </c>
    </row>
    <row r="15" spans="1:28" x14ac:dyDescent="0.15">
      <c r="A15" s="3">
        <v>41820</v>
      </c>
      <c r="B15" s="4">
        <v>2520</v>
      </c>
      <c r="C15" s="4">
        <v>1020</v>
      </c>
      <c r="D15" s="2">
        <f>C15/B15</f>
        <v>0.40476190476190477</v>
      </c>
      <c r="F15" s="2">
        <v>20</v>
      </c>
      <c r="G15" s="2">
        <v>5</v>
      </c>
      <c r="H15" s="2">
        <v>29</v>
      </c>
      <c r="I15" s="2">
        <v>83</v>
      </c>
      <c r="J15" s="2">
        <v>25</v>
      </c>
      <c r="L15" s="2">
        <f>(F15/0.2)/B15</f>
        <v>3.968253968253968E-2</v>
      </c>
      <c r="M15" s="2">
        <f>(G15/0.2)/B15</f>
        <v>9.9206349206349201E-3</v>
      </c>
      <c r="N15" s="2">
        <f>(H15/0.2)/B15</f>
        <v>5.7539682539682536E-2</v>
      </c>
      <c r="O15" s="2">
        <f>(I15/0.2)/B15</f>
        <v>0.16468253968253968</v>
      </c>
      <c r="P15" s="2">
        <f>(J15/0.2)/B15</f>
        <v>4.96031746031746E-2</v>
      </c>
      <c r="R15" s="2">
        <f>AVERAGE(L19,L21,L23)</f>
        <v>1.1034915488938478E-2</v>
      </c>
      <c r="S15" s="2">
        <f>AVERAGE(M19,M21,M23)</f>
        <v>1.8244845831052729E-4</v>
      </c>
      <c r="T15" s="2">
        <f>AVERAGE(N19,N21,N23)</f>
        <v>1.3511357090592063E-2</v>
      </c>
      <c r="U15" s="2">
        <f>AVERAGE(O19,O21,O23)</f>
        <v>9.5084739122095432E-2</v>
      </c>
      <c r="V15" s="2">
        <f>AVERAGE(P19,P21,P23)</f>
        <v>5.0599916260835799E-2</v>
      </c>
      <c r="X15" s="2">
        <f>AVERAGE(L19,L21,L22,L23)</f>
        <v>1.2163661878224919E-2</v>
      </c>
      <c r="Y15" s="2">
        <f>AVERAGE(M19,M21,M22,M23)</f>
        <v>1.3683634373289546E-4</v>
      </c>
      <c r="Z15" s="2">
        <f>AVERAGE(N19,N21,N22,N23)</f>
        <v>1.1017034922835197E-2</v>
      </c>
      <c r="AA15" s="2">
        <f>AVERAGE(O19,O21,O22,O23)</f>
        <v>9.3401481963850355E-2</v>
      </c>
      <c r="AB15" s="2">
        <f>AVERAGE(P19,P21,P22,P23)</f>
        <v>4.6254997981603665E-2</v>
      </c>
    </row>
    <row r="16" spans="1:28" x14ac:dyDescent="0.15">
      <c r="A16" s="3">
        <v>41750</v>
      </c>
      <c r="B16" s="2" t="s">
        <v>110</v>
      </c>
      <c r="I16" s="2">
        <v>4</v>
      </c>
      <c r="J16" s="2">
        <v>190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R16" s="2" t="s">
        <v>111</v>
      </c>
      <c r="X16" s="2" t="s">
        <v>112</v>
      </c>
    </row>
    <row r="17" spans="1:29" x14ac:dyDescent="0.15">
      <c r="R17" s="2">
        <f>AVERAGE(L12,L13,L15)</f>
        <v>4.7178171099965228E-2</v>
      </c>
      <c r="S17" s="2">
        <f>AVERAGE(M12,M13,M15)</f>
        <v>4.216134535283471E-3</v>
      </c>
      <c r="T17" s="2">
        <f>AVERAGE(N12,N13,N15)</f>
        <v>2.2824557111503632E-2</v>
      </c>
      <c r="U17" s="2">
        <f>AVERAGE(O12,O13,O15)</f>
        <v>0.15566620418546814</v>
      </c>
      <c r="V17" s="2">
        <f>AVERAGE(P12,P13,P15)</f>
        <v>6.3683212403741432E-2</v>
      </c>
      <c r="X17" s="2">
        <f>AVERAGE(L12:L15)</f>
        <v>3.9421096025232319E-2</v>
      </c>
      <c r="Y17" s="2">
        <f>AVERAGE(M12:M15)</f>
        <v>4.3156631015364311E-3</v>
      </c>
      <c r="Z17" s="2">
        <f>AVERAGE(N12:N15)</f>
        <v>1.9425542233775378E-2</v>
      </c>
      <c r="AA17" s="2">
        <f>AVERAGE(O12:O15)</f>
        <v>0.14731905144105753</v>
      </c>
      <c r="AB17" s="2">
        <f>AVERAGE(P12:P15)</f>
        <v>0.12505107670775256</v>
      </c>
    </row>
    <row r="18" spans="1:29" x14ac:dyDescent="0.15">
      <c r="A18" s="2" t="s">
        <v>113</v>
      </c>
      <c r="B18" s="2" t="s">
        <v>207</v>
      </c>
      <c r="C18" s="2" t="s">
        <v>101</v>
      </c>
      <c r="D18" s="2" t="s">
        <v>102</v>
      </c>
      <c r="F18" s="2" t="s">
        <v>26</v>
      </c>
      <c r="G18" s="2" t="s">
        <v>28</v>
      </c>
      <c r="H18" s="2" t="s">
        <v>104</v>
      </c>
      <c r="I18" s="2" t="s">
        <v>47</v>
      </c>
      <c r="J18" s="2" t="s">
        <v>105</v>
      </c>
      <c r="L18" s="2" t="s">
        <v>26</v>
      </c>
      <c r="M18" s="2" t="s">
        <v>28</v>
      </c>
      <c r="N18" s="2" t="s">
        <v>104</v>
      </c>
      <c r="O18" s="2" t="s">
        <v>47</v>
      </c>
      <c r="P18" s="2" t="s">
        <v>105</v>
      </c>
      <c r="R18" s="2" t="s">
        <v>114</v>
      </c>
    </row>
    <row r="19" spans="1:29" x14ac:dyDescent="0.15">
      <c r="A19" s="3">
        <v>41733</v>
      </c>
      <c r="B19" s="4">
        <v>4680</v>
      </c>
      <c r="C19" s="4">
        <v>1325</v>
      </c>
      <c r="D19" s="2">
        <f>C19/B19</f>
        <v>0.28311965811965811</v>
      </c>
      <c r="F19" s="2">
        <v>19</v>
      </c>
      <c r="H19" s="2">
        <v>1</v>
      </c>
      <c r="I19" s="2">
        <v>201</v>
      </c>
      <c r="J19" s="2">
        <v>9</v>
      </c>
      <c r="L19" s="2">
        <f>(F19/0.2)/B19</f>
        <v>2.02991452991453E-2</v>
      </c>
      <c r="M19" s="2">
        <v>0</v>
      </c>
      <c r="N19" s="2">
        <f>(H19/0.2)/B19</f>
        <v>1.0683760683760685E-3</v>
      </c>
      <c r="O19" s="2">
        <f>(I19/0.2)/B19</f>
        <v>0.21474358974358973</v>
      </c>
      <c r="P19" s="2">
        <f>(J19/0.2)/B19</f>
        <v>9.6153846153846159E-3</v>
      </c>
      <c r="R19" s="2" t="s">
        <v>115</v>
      </c>
    </row>
    <row r="20" spans="1:29" x14ac:dyDescent="0.15">
      <c r="A20" s="3">
        <v>41738</v>
      </c>
      <c r="B20" s="4">
        <v>6588</v>
      </c>
      <c r="C20" s="6">
        <v>2512.5</v>
      </c>
      <c r="D20" s="2">
        <f>C20/B20</f>
        <v>0.38137522768670312</v>
      </c>
      <c r="F20" s="2">
        <v>8</v>
      </c>
      <c r="H20" s="2">
        <v>4</v>
      </c>
      <c r="I20" s="2">
        <v>88</v>
      </c>
      <c r="J20" s="2">
        <v>38</v>
      </c>
      <c r="L20" s="2">
        <f>(F20/0.08)/B20</f>
        <v>1.5179113539769277E-2</v>
      </c>
      <c r="M20" s="2">
        <v>0</v>
      </c>
      <c r="N20" s="2">
        <f>(H20/0.08)/B20</f>
        <v>7.5895567698846386E-3</v>
      </c>
      <c r="O20" s="2">
        <f>(I20/0.8)/B20</f>
        <v>1.6697024893746207E-2</v>
      </c>
      <c r="P20" s="2">
        <f>(J20/0.08)/B20</f>
        <v>7.2100789313904068E-2</v>
      </c>
      <c r="R20" s="2">
        <f>AVERAGE(L43:L46)</f>
        <v>1.3540747984754967E-2</v>
      </c>
      <c r="S20" s="2">
        <f>AVERAGE(M43:M46)</f>
        <v>1.8819632640770852E-4</v>
      </c>
      <c r="T20" s="2">
        <f>AVERAGE(N43:N46)</f>
        <v>1.0372632659406381E-3</v>
      </c>
      <c r="U20" s="2">
        <f>AVERAGE(O43:O46)</f>
        <v>4.2742980356524213E-2</v>
      </c>
      <c r="V20" s="2">
        <f>AVERAGE(P43:P46)</f>
        <v>8.8267992041235338E-2</v>
      </c>
      <c r="Y20" s="2" t="s">
        <v>116</v>
      </c>
    </row>
    <row r="21" spans="1:29" x14ac:dyDescent="0.15">
      <c r="A21" s="3">
        <v>41743</v>
      </c>
      <c r="B21" s="4">
        <v>14616</v>
      </c>
      <c r="C21" s="4">
        <v>1796</v>
      </c>
      <c r="D21" s="2">
        <f>C21/B21</f>
        <v>0.12287903667214012</v>
      </c>
      <c r="F21" s="2">
        <v>4.5</v>
      </c>
      <c r="G21" s="2">
        <v>2</v>
      </c>
      <c r="H21" s="2">
        <v>1</v>
      </c>
      <c r="I21" s="2">
        <v>33.5</v>
      </c>
      <c r="J21" s="2">
        <v>122</v>
      </c>
      <c r="L21" s="2">
        <f>(F21/0.25)/B21</f>
        <v>1.2315270935960591E-3</v>
      </c>
      <c r="M21" s="2">
        <f>(G21/0.25)/B21</f>
        <v>5.4734537493158185E-4</v>
      </c>
      <c r="N21" s="2">
        <f>(H20/0.25)/B20</f>
        <v>2.4286581663630845E-3</v>
      </c>
      <c r="O21" s="2">
        <f>(I21/0.25)/B21</f>
        <v>9.1680350301039954E-3</v>
      </c>
      <c r="P21" s="2">
        <f>(J21/0.25)/B21</f>
        <v>3.3388067870826495E-2</v>
      </c>
      <c r="R21" s="2" t="s">
        <v>117</v>
      </c>
      <c r="Z21" s="2" t="s">
        <v>53</v>
      </c>
      <c r="AA21" s="2" t="s">
        <v>113</v>
      </c>
      <c r="AB21" s="2" t="s">
        <v>118</v>
      </c>
      <c r="AC21" s="2" t="s">
        <v>119</v>
      </c>
    </row>
    <row r="22" spans="1:29" x14ac:dyDescent="0.15">
      <c r="A22" s="5">
        <v>41781</v>
      </c>
      <c r="B22" s="4">
        <v>7074</v>
      </c>
      <c r="C22" s="4">
        <v>1295</v>
      </c>
      <c r="D22" s="2">
        <f>C22/B22</f>
        <v>0.18306474413344642</v>
      </c>
      <c r="F22" s="2">
        <v>22</v>
      </c>
      <c r="H22" s="2">
        <v>5</v>
      </c>
      <c r="I22" s="2">
        <v>125</v>
      </c>
      <c r="J22" s="2">
        <v>47</v>
      </c>
      <c r="L22" s="2">
        <f>(F22/0.2)/B22</f>
        <v>1.5549901046084252E-2</v>
      </c>
      <c r="M22" s="2">
        <v>0</v>
      </c>
      <c r="N22" s="2">
        <f>(H22/0.2)/B22</f>
        <v>3.5340684195646027E-3</v>
      </c>
      <c r="O22" s="2">
        <f>(I22/0.2)/B22</f>
        <v>8.8351710489115068E-2</v>
      </c>
      <c r="P22" s="2">
        <f>(J22/0.2)/B22</f>
        <v>3.3220243143907265E-2</v>
      </c>
      <c r="R22" s="2">
        <f>AVERAGE(L33:L36)</f>
        <v>4.0635263472642057E-3</v>
      </c>
      <c r="S22" s="2">
        <f>AVERAGE(M33:M36)</f>
        <v>0</v>
      </c>
      <c r="T22" s="2">
        <f>AVERAGE(N33:N36)</f>
        <v>1.5162542455118873E-4</v>
      </c>
      <c r="U22" s="2">
        <f>AVERAGE(O33:O36)</f>
        <v>2.6965277257995079E-2</v>
      </c>
      <c r="V22" s="2">
        <f>AVERAGE(P33:P36)</f>
        <v>4.4611064177871383E-2</v>
      </c>
      <c r="X22" s="3"/>
      <c r="Y22" s="3">
        <v>41733</v>
      </c>
      <c r="Z22" s="7">
        <v>2.2389999999999999</v>
      </c>
      <c r="AA22" s="7">
        <v>1.538</v>
      </c>
      <c r="AB22" s="7">
        <v>2.9340000000000002</v>
      </c>
    </row>
    <row r="23" spans="1:29" x14ac:dyDescent="0.15">
      <c r="A23" s="3">
        <v>41820</v>
      </c>
      <c r="B23" s="4">
        <v>2160</v>
      </c>
      <c r="C23" s="4">
        <v>617.5</v>
      </c>
      <c r="D23" s="2">
        <f>C23/B23</f>
        <v>0.28587962962962965</v>
      </c>
      <c r="F23" s="2">
        <v>10</v>
      </c>
      <c r="H23" s="2">
        <v>32</v>
      </c>
      <c r="I23" s="2">
        <v>53</v>
      </c>
      <c r="J23" s="2">
        <v>94</v>
      </c>
      <c r="L23" s="2">
        <f>(F23/0.4)/B23</f>
        <v>1.1574074074074073E-2</v>
      </c>
      <c r="M23" s="2">
        <v>0</v>
      </c>
      <c r="N23" s="2">
        <f>(H23/0.4)/B23</f>
        <v>3.7037037037037035E-2</v>
      </c>
      <c r="O23" s="2">
        <f>(I23/0.4)/B23</f>
        <v>6.1342592592592594E-2</v>
      </c>
      <c r="P23" s="2">
        <f>(J23/0.4)/B23</f>
        <v>0.10879629629629629</v>
      </c>
      <c r="R23" s="2" t="s">
        <v>120</v>
      </c>
      <c r="X23" s="3"/>
      <c r="Y23" s="3">
        <v>41743</v>
      </c>
      <c r="Z23" s="7">
        <v>3.306</v>
      </c>
      <c r="AA23" s="7">
        <v>2.76</v>
      </c>
      <c r="AB23" s="7">
        <v>2.9750000000000001</v>
      </c>
    </row>
    <row r="24" spans="1:29" x14ac:dyDescent="0.15">
      <c r="A24" s="3">
        <v>41750</v>
      </c>
      <c r="B24" s="2" t="s">
        <v>110</v>
      </c>
      <c r="F24" s="2">
        <v>1</v>
      </c>
      <c r="G24" s="2">
        <v>1</v>
      </c>
      <c r="H24" s="2">
        <v>2</v>
      </c>
      <c r="I24" s="2">
        <v>6</v>
      </c>
      <c r="J24" s="2">
        <v>233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R24" s="2">
        <v>6.6899999999999998E-3</v>
      </c>
      <c r="S24" s="2">
        <v>0</v>
      </c>
      <c r="T24" s="2">
        <v>1.902E-3</v>
      </c>
      <c r="U24" s="2">
        <v>6.5894999999999995E-2</v>
      </c>
      <c r="V24" s="2">
        <v>8.8525999999999994E-2</v>
      </c>
      <c r="X24" s="3"/>
      <c r="Y24" s="3">
        <v>41781</v>
      </c>
      <c r="AA24" s="7">
        <v>2.56</v>
      </c>
      <c r="AB24" s="7">
        <v>2.1360000000000001</v>
      </c>
    </row>
    <row r="25" spans="1:29" x14ac:dyDescent="0.15">
      <c r="Y25" s="3">
        <v>41820</v>
      </c>
      <c r="Z25" s="7">
        <v>2.0790000000000002</v>
      </c>
      <c r="AA25" s="7">
        <v>3.395</v>
      </c>
      <c r="AB25" s="7">
        <v>3.1309999999999998</v>
      </c>
      <c r="AC25" s="7">
        <v>2.6349999999999998</v>
      </c>
    </row>
    <row r="26" spans="1:29" x14ac:dyDescent="0.15">
      <c r="A26" s="2" t="s">
        <v>90</v>
      </c>
      <c r="B26" s="2" t="s">
        <v>207</v>
      </c>
      <c r="C26" s="2" t="s">
        <v>101</v>
      </c>
      <c r="D26" s="2" t="s">
        <v>102</v>
      </c>
      <c r="R26" s="2" t="s">
        <v>121</v>
      </c>
      <c r="Y26" s="3"/>
    </row>
    <row r="27" spans="1:29" x14ac:dyDescent="0.15">
      <c r="A27" s="3">
        <v>41820</v>
      </c>
      <c r="B27" s="4">
        <v>2736</v>
      </c>
      <c r="C27" s="4">
        <v>2010</v>
      </c>
      <c r="D27" s="2">
        <f>C27/B27</f>
        <v>0.73464912280701755</v>
      </c>
      <c r="R27" s="2" t="s">
        <v>53</v>
      </c>
      <c r="S27" s="2" t="s">
        <v>122</v>
      </c>
      <c r="T27" s="2" t="s">
        <v>123</v>
      </c>
      <c r="U27" s="2" t="s">
        <v>124</v>
      </c>
      <c r="Y27" s="2" t="s">
        <v>125</v>
      </c>
      <c r="AA27" s="7">
        <v>2.56</v>
      </c>
      <c r="AB27" s="7">
        <v>2.79</v>
      </c>
    </row>
    <row r="28" spans="1:29" x14ac:dyDescent="0.15">
      <c r="R28" s="2">
        <f>AVERAGE(D3,D4,D9)</f>
        <v>0.52341706183131598</v>
      </c>
      <c r="S28" s="2">
        <f>AVERAGE(D12,D13,D15)</f>
        <v>0.52641765235209748</v>
      </c>
      <c r="T28" s="2">
        <f>AVERAGE(D19,D21,D23)</f>
        <v>0.23062610814047599</v>
      </c>
      <c r="U28" s="2">
        <v>0.477157</v>
      </c>
    </row>
    <row r="29" spans="1:29" x14ac:dyDescent="0.15">
      <c r="A29" s="2" t="s">
        <v>88</v>
      </c>
      <c r="Y29" s="2" t="s">
        <v>126</v>
      </c>
    </row>
    <row r="30" spans="1:29" x14ac:dyDescent="0.15">
      <c r="A30" s="3">
        <v>41774</v>
      </c>
      <c r="B30" s="4">
        <v>6552</v>
      </c>
      <c r="C30" s="2">
        <v>800</v>
      </c>
      <c r="D30" s="2">
        <f>C30/B30</f>
        <v>0.1221001221001221</v>
      </c>
      <c r="R30" s="2" t="s">
        <v>127</v>
      </c>
      <c r="Z30" s="2" t="s">
        <v>53</v>
      </c>
      <c r="AA30" s="2" t="s">
        <v>128</v>
      </c>
      <c r="AB30" s="2" t="s">
        <v>129</v>
      </c>
      <c r="AC30" s="2" t="s">
        <v>130</v>
      </c>
    </row>
    <row r="31" spans="1:29" x14ac:dyDescent="0.15">
      <c r="F31" s="2" t="s">
        <v>131</v>
      </c>
      <c r="R31" s="2" t="s">
        <v>132</v>
      </c>
      <c r="S31" s="2" t="s">
        <v>133</v>
      </c>
      <c r="T31" s="2" t="s">
        <v>134</v>
      </c>
      <c r="Y31" s="3">
        <v>41760</v>
      </c>
      <c r="Z31" s="7">
        <v>2.16374827068196</v>
      </c>
      <c r="AA31" s="7">
        <v>2.75101984687665</v>
      </c>
      <c r="AC31" s="7">
        <v>2.7090367005598499</v>
      </c>
    </row>
    <row r="32" spans="1:29" x14ac:dyDescent="0.15">
      <c r="A32" s="2" t="s">
        <v>82</v>
      </c>
      <c r="B32" s="2" t="s">
        <v>208</v>
      </c>
      <c r="C32" s="2" t="s">
        <v>101</v>
      </c>
      <c r="D32" s="2" t="s">
        <v>102</v>
      </c>
      <c r="F32" s="2" t="s">
        <v>26</v>
      </c>
      <c r="G32" s="2" t="s">
        <v>28</v>
      </c>
      <c r="H32" s="2" t="s">
        <v>104</v>
      </c>
      <c r="I32" s="2" t="s">
        <v>47</v>
      </c>
      <c r="J32" s="2" t="s">
        <v>105</v>
      </c>
      <c r="L32" s="2" t="s">
        <v>26</v>
      </c>
      <c r="M32" s="2" t="s">
        <v>28</v>
      </c>
      <c r="N32" s="2" t="s">
        <v>104</v>
      </c>
      <c r="O32" s="2" t="s">
        <v>47</v>
      </c>
      <c r="P32" s="2" t="s">
        <v>105</v>
      </c>
      <c r="R32" s="2">
        <f>AVERAGE(D33:D36)</f>
        <v>0.13107142781446979</v>
      </c>
      <c r="S32" s="2">
        <f>AVERAGE(D43:D46)</f>
        <v>0.18446119495212571</v>
      </c>
      <c r="T32" s="2">
        <v>0.153975</v>
      </c>
      <c r="Y32" s="3">
        <v>41768</v>
      </c>
      <c r="Z32" s="7">
        <v>2.5874390491125498</v>
      </c>
      <c r="AA32" s="7">
        <v>2.7470298558016402</v>
      </c>
      <c r="AB32" s="7">
        <v>2.7273742778395902</v>
      </c>
      <c r="AC32" s="7">
        <v>2.79757116162145</v>
      </c>
    </row>
    <row r="33" spans="1:29" x14ac:dyDescent="0.15">
      <c r="A33" s="3">
        <v>41760</v>
      </c>
      <c r="B33" s="4">
        <v>8244</v>
      </c>
      <c r="C33" s="4">
        <v>1385</v>
      </c>
      <c r="D33" s="2">
        <f>C33/B33</f>
        <v>0.16800097040271714</v>
      </c>
      <c r="F33" s="2">
        <v>12</v>
      </c>
      <c r="H33" s="2">
        <v>1</v>
      </c>
      <c r="I33" s="2">
        <v>47</v>
      </c>
      <c r="J33" s="2">
        <v>123</v>
      </c>
      <c r="L33" s="2">
        <f>(F33/0.2)/B33</f>
        <v>7.2780203784570596E-3</v>
      </c>
      <c r="M33" s="2">
        <v>0</v>
      </c>
      <c r="N33" s="2">
        <f>(H33/0.2)/B33</f>
        <v>6.0650169820475493E-4</v>
      </c>
      <c r="O33" s="2">
        <f>(I33/0.2)/B33</f>
        <v>2.8505579815623485E-2</v>
      </c>
      <c r="P33" s="2">
        <f>(J33/0.2)/B33</f>
        <v>7.4599708879184864E-2</v>
      </c>
      <c r="R33" s="2" t="s">
        <v>135</v>
      </c>
      <c r="Y33" s="3">
        <v>41772</v>
      </c>
      <c r="Z33" s="7">
        <v>2.50785957229373</v>
      </c>
      <c r="AA33" s="7">
        <v>2.4635082238316701</v>
      </c>
      <c r="AB33" s="7">
        <v>2.59344118050489</v>
      </c>
      <c r="AC33" s="7">
        <v>2.6922280824499198</v>
      </c>
    </row>
    <row r="34" spans="1:29" x14ac:dyDescent="0.15">
      <c r="A34" s="3">
        <v>41768</v>
      </c>
      <c r="B34" s="4">
        <v>6660</v>
      </c>
      <c r="C34" s="2">
        <v>833</v>
      </c>
      <c r="D34" s="2">
        <f>C34/B34</f>
        <v>0.12507507507507507</v>
      </c>
      <c r="F34" s="2">
        <v>4</v>
      </c>
      <c r="I34" s="2">
        <v>11</v>
      </c>
      <c r="J34" s="2">
        <v>47</v>
      </c>
      <c r="L34" s="2">
        <f>(F34/0.3)/B34</f>
        <v>2.002002002002002E-3</v>
      </c>
      <c r="M34" s="2">
        <v>0</v>
      </c>
      <c r="N34" s="2">
        <v>0</v>
      </c>
      <c r="O34" s="2">
        <f>(I34/0.3)/B34</f>
        <v>5.5055055055055063E-3</v>
      </c>
      <c r="P34" s="2">
        <f>(J34/0.3)/B34</f>
        <v>2.3523523523523528E-2</v>
      </c>
      <c r="R34" s="2" t="s">
        <v>132</v>
      </c>
      <c r="S34" s="2" t="s">
        <v>136</v>
      </c>
      <c r="T34" s="2" t="s">
        <v>133</v>
      </c>
      <c r="Y34" s="3">
        <v>41774</v>
      </c>
      <c r="Z34" s="7">
        <v>2.57812630571676</v>
      </c>
      <c r="AA34" s="7">
        <v>2.8901140331119</v>
      </c>
      <c r="AC34" s="7">
        <v>2.57266271180002</v>
      </c>
    </row>
    <row r="35" spans="1:29" x14ac:dyDescent="0.15">
      <c r="A35" s="3">
        <v>41772</v>
      </c>
      <c r="B35" s="4">
        <v>5706</v>
      </c>
      <c r="C35" s="2">
        <v>510</v>
      </c>
      <c r="D35" s="2">
        <f>C35/B35</f>
        <v>8.9379600420609884E-2</v>
      </c>
      <c r="F35" s="2">
        <v>1</v>
      </c>
      <c r="I35" s="2">
        <v>88</v>
      </c>
      <c r="J35" s="2">
        <v>61</v>
      </c>
      <c r="L35" s="2">
        <f>(F35/0.4)/B35</f>
        <v>4.3813529617946022E-4</v>
      </c>
      <c r="M35" s="2">
        <v>0</v>
      </c>
      <c r="N35" s="2">
        <v>0</v>
      </c>
      <c r="O35" s="2">
        <f>(I35/0.4)/B35</f>
        <v>3.85559060637925E-2</v>
      </c>
      <c r="P35" s="2">
        <f>(J35/0.4)/B35</f>
        <v>2.6726253066947075E-2</v>
      </c>
      <c r="R35" s="2">
        <f>AVERAGE(D34,D35)</f>
        <v>0.10722733774784247</v>
      </c>
      <c r="S35" s="2">
        <f>AVERAGE(D39,D40)</f>
        <v>0.24923758375964961</v>
      </c>
      <c r="T35" s="2">
        <f>AVERAGE(D44,D45)</f>
        <v>0.22576793062904177</v>
      </c>
    </row>
    <row r="36" spans="1:29" x14ac:dyDescent="0.15">
      <c r="A36" s="3">
        <v>41774</v>
      </c>
      <c r="B36" s="4">
        <v>7650</v>
      </c>
      <c r="C36" s="4">
        <v>1085</v>
      </c>
      <c r="D36" s="2">
        <f>C36/B36</f>
        <v>0.14183006535947712</v>
      </c>
      <c r="F36" s="2">
        <v>10</v>
      </c>
      <c r="I36" s="2">
        <v>54</v>
      </c>
      <c r="J36" s="2">
        <v>82</v>
      </c>
      <c r="L36" s="2">
        <f>(F36/0.2)/B36</f>
        <v>6.5359477124183009E-3</v>
      </c>
      <c r="M36" s="2">
        <v>0</v>
      </c>
      <c r="N36" s="2">
        <v>0</v>
      </c>
      <c r="O36" s="2">
        <f>(I36/0.2)/B36</f>
        <v>3.5294117647058823E-2</v>
      </c>
      <c r="P36" s="2">
        <f>(J36/0.2)/B36</f>
        <v>5.3594771241830062E-2</v>
      </c>
      <c r="Y36" s="2" t="s">
        <v>125</v>
      </c>
      <c r="Z36" s="7">
        <v>2.4590000000000001</v>
      </c>
      <c r="AA36" s="7">
        <v>2.7120000000000002</v>
      </c>
      <c r="AC36" s="7">
        <v>2.6920000000000002</v>
      </c>
    </row>
    <row r="38" spans="1:29" x14ac:dyDescent="0.15">
      <c r="A38" s="2" t="s">
        <v>87</v>
      </c>
      <c r="B38" s="2" t="s">
        <v>207</v>
      </c>
      <c r="C38" s="2" t="s">
        <v>101</v>
      </c>
      <c r="D38" s="2" t="s">
        <v>102</v>
      </c>
    </row>
    <row r="39" spans="1:29" x14ac:dyDescent="0.15">
      <c r="A39" s="3">
        <v>41768</v>
      </c>
      <c r="B39" s="4">
        <v>3690</v>
      </c>
      <c r="C39" s="2">
        <v>710</v>
      </c>
      <c r="D39" s="2">
        <f>C39/B39</f>
        <v>0.19241192411924118</v>
      </c>
      <c r="F39" s="2">
        <v>10</v>
      </c>
      <c r="H39" s="2">
        <v>1</v>
      </c>
      <c r="I39" s="2">
        <v>64</v>
      </c>
      <c r="J39" s="2">
        <v>29</v>
      </c>
      <c r="L39" s="2">
        <f>(F39/0.3)/B39</f>
        <v>9.0334236675700102E-3</v>
      </c>
      <c r="M39" s="2">
        <f>(G39/0.3)/B39</f>
        <v>0</v>
      </c>
      <c r="N39" s="2">
        <f>(H39/0.3)/B39</f>
        <v>9.0334236675700097E-4</v>
      </c>
      <c r="O39" s="2">
        <f>(I39/0.3)/B39</f>
        <v>5.7813911472448062E-2</v>
      </c>
      <c r="P39" s="2">
        <f>(J39/0.3)/B39</f>
        <v>2.6196928635953028E-2</v>
      </c>
    </row>
    <row r="40" spans="1:29" x14ac:dyDescent="0.15">
      <c r="A40" s="5">
        <v>41772</v>
      </c>
      <c r="B40" s="4">
        <v>6894</v>
      </c>
      <c r="C40" s="4">
        <v>2110</v>
      </c>
      <c r="D40" s="2">
        <f>C40/B40</f>
        <v>0.30606324340005803</v>
      </c>
      <c r="F40" s="2">
        <v>3</v>
      </c>
      <c r="H40" s="2">
        <v>2</v>
      </c>
      <c r="I40" s="2">
        <v>51</v>
      </c>
      <c r="J40" s="2">
        <v>104</v>
      </c>
      <c r="L40" s="2">
        <f>(F40/0.1)/B40</f>
        <v>4.3516100957354219E-3</v>
      </c>
      <c r="M40" s="2">
        <v>0</v>
      </c>
      <c r="N40" s="2">
        <f>(H40/0.1)/B40</f>
        <v>2.9010733971569481E-3</v>
      </c>
      <c r="O40" s="2">
        <f>(I40/0.1)/B40</f>
        <v>7.3977371627502175E-2</v>
      </c>
      <c r="P40" s="2">
        <f>(J40/0.1)/B40</f>
        <v>0.1508558166521613</v>
      </c>
    </row>
    <row r="41" spans="1:29" x14ac:dyDescent="0.15">
      <c r="Z41" s="2" t="s">
        <v>137</v>
      </c>
    </row>
    <row r="42" spans="1:29" x14ac:dyDescent="0.15">
      <c r="A42" s="2" t="s">
        <v>86</v>
      </c>
      <c r="B42" s="2" t="s">
        <v>207</v>
      </c>
      <c r="C42" s="2" t="s">
        <v>101</v>
      </c>
      <c r="D42" s="2" t="s">
        <v>102</v>
      </c>
      <c r="AA42" s="2" t="s">
        <v>53</v>
      </c>
    </row>
    <row r="43" spans="1:29" x14ac:dyDescent="0.15">
      <c r="A43" s="3">
        <v>41760</v>
      </c>
      <c r="B43" s="4">
        <v>10602</v>
      </c>
      <c r="C43" s="4">
        <v>1120</v>
      </c>
      <c r="D43" s="2">
        <f>C43/B43</f>
        <v>0.10564044519901905</v>
      </c>
      <c r="F43" s="2">
        <v>12</v>
      </c>
      <c r="H43" s="2">
        <v>2</v>
      </c>
      <c r="I43" s="2">
        <v>38</v>
      </c>
      <c r="J43" s="2">
        <v>130</v>
      </c>
      <c r="L43" s="2">
        <f>(F43/0.2)/B43</f>
        <v>5.6593095642331632E-3</v>
      </c>
      <c r="M43" s="2">
        <v>0</v>
      </c>
      <c r="N43" s="2">
        <f>(H43/0.2)/B43</f>
        <v>9.4321826070552727E-4</v>
      </c>
      <c r="O43" s="2">
        <f>(I43/0.2)/B43</f>
        <v>1.7921146953405017E-2</v>
      </c>
      <c r="P43" s="2">
        <f>(J43/0.2)/B43</f>
        <v>6.1309186945859274E-2</v>
      </c>
      <c r="Z43" s="3">
        <v>41733</v>
      </c>
      <c r="AA43" s="7">
        <v>2.239093</v>
      </c>
    </row>
    <row r="44" spans="1:29" x14ac:dyDescent="0.15">
      <c r="A44" s="3">
        <v>41768</v>
      </c>
      <c r="B44" s="4">
        <v>3402</v>
      </c>
      <c r="C44" s="4">
        <v>1040</v>
      </c>
      <c r="D44" s="2">
        <f>C44/B44</f>
        <v>0.30570252792475017</v>
      </c>
      <c r="F44" s="2">
        <v>7</v>
      </c>
      <c r="H44" s="2">
        <v>1</v>
      </c>
      <c r="I44" s="2">
        <v>46</v>
      </c>
      <c r="J44" s="2">
        <v>93</v>
      </c>
      <c r="L44" s="2">
        <f>(F44/0.2)/B44</f>
        <v>1.0288065843621399E-2</v>
      </c>
      <c r="M44" s="2">
        <v>0</v>
      </c>
      <c r="N44" s="2">
        <f>(H44/0.2)/B44</f>
        <v>1.4697236919459142E-3</v>
      </c>
      <c r="O44" s="2">
        <f>(I44/0.2)/B44</f>
        <v>6.7607289829512057E-2</v>
      </c>
      <c r="P44" s="2">
        <f>(J44/0.2)/B44</f>
        <v>0.13668430335097001</v>
      </c>
      <c r="Z44" s="3">
        <v>41743</v>
      </c>
      <c r="AA44" s="7">
        <v>3.3060139999999998</v>
      </c>
    </row>
    <row r="45" spans="1:29" x14ac:dyDescent="0.15">
      <c r="A45" s="3">
        <v>41772</v>
      </c>
      <c r="B45" s="4">
        <v>5760</v>
      </c>
      <c r="C45" s="4">
        <v>840</v>
      </c>
      <c r="D45" s="2">
        <f>C45/B45</f>
        <v>0.14583333333333334</v>
      </c>
      <c r="F45" s="2">
        <v>5</v>
      </c>
      <c r="H45" s="2">
        <v>2</v>
      </c>
      <c r="I45" s="2">
        <v>49</v>
      </c>
      <c r="J45" s="2">
        <v>98</v>
      </c>
      <c r="L45" s="2">
        <f>(F45/0.2)/B45</f>
        <v>4.340277777777778E-3</v>
      </c>
      <c r="M45" s="2">
        <v>0</v>
      </c>
      <c r="N45" s="2">
        <f>(H45/0.2)/B45</f>
        <v>1.736111111111111E-3</v>
      </c>
      <c r="O45" s="2">
        <f>(I45/0.2)/B45</f>
        <v>4.2534722222222224E-2</v>
      </c>
      <c r="P45" s="2">
        <f>(J45/0.2)/B45</f>
        <v>8.5069444444444448E-2</v>
      </c>
      <c r="Z45" s="3">
        <v>41760</v>
      </c>
      <c r="AA45" s="7">
        <v>2.16374827068196</v>
      </c>
    </row>
    <row r="46" spans="1:29" x14ac:dyDescent="0.15">
      <c r="A46" s="3">
        <v>41774</v>
      </c>
      <c r="B46" s="4">
        <v>6642</v>
      </c>
      <c r="C46" s="4">
        <v>1200</v>
      </c>
      <c r="D46" s="2">
        <f>C46/B46</f>
        <v>0.18066847335140018</v>
      </c>
      <c r="F46" s="2">
        <v>45</v>
      </c>
      <c r="G46" s="2">
        <v>1</v>
      </c>
      <c r="I46" s="2">
        <v>57</v>
      </c>
      <c r="J46" s="2">
        <v>93</v>
      </c>
      <c r="L46" s="2">
        <f>(F46/0.2)/B46</f>
        <v>3.3875338753387531E-2</v>
      </c>
      <c r="M46" s="2">
        <f>(G46/0.2)/B46</f>
        <v>7.5278530563083407E-4</v>
      </c>
      <c r="N46" s="2">
        <v>0</v>
      </c>
      <c r="O46" s="2">
        <f>(I46/0.2)/B46</f>
        <v>4.2908762420957543E-2</v>
      </c>
      <c r="P46" s="2">
        <f>(J46/0.2)/B46</f>
        <v>7.0009033423667572E-2</v>
      </c>
      <c r="Z46" s="3">
        <v>41768</v>
      </c>
      <c r="AA46" s="7">
        <v>2.5874390491125498</v>
      </c>
    </row>
    <row r="47" spans="1:29" x14ac:dyDescent="0.15">
      <c r="Z47" s="3">
        <v>41772</v>
      </c>
      <c r="AA47" s="7">
        <v>2.50785957229373</v>
      </c>
    </row>
    <row r="48" spans="1:29" x14ac:dyDescent="0.15">
      <c r="Z48" s="3">
        <v>41774</v>
      </c>
      <c r="AA48" s="7">
        <v>2.57812630571676</v>
      </c>
    </row>
    <row r="49" spans="26:27" x14ac:dyDescent="0.15">
      <c r="Z49" s="3">
        <v>41820</v>
      </c>
      <c r="AA49" s="7">
        <v>2.0794000000000001</v>
      </c>
    </row>
  </sheetData>
  <pageMargins left="0.70000000000000007" right="0.70000000000000007" top="1.1437000000000002" bottom="1.1437000000000002" header="0.75000000000000011" footer="0.75000000000000011"/>
  <pageSetup fitToWidth="0" fitToHeight="0" orientation="portrait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11"/>
  <sheetViews>
    <sheetView workbookViewId="0"/>
  </sheetViews>
  <sheetFormatPr baseColWidth="10" defaultColWidth="8.6640625" defaultRowHeight="14" x14ac:dyDescent="0.15"/>
  <cols>
    <col min="1" max="1" width="8.6640625" style="2" customWidth="1"/>
    <col min="2" max="2" width="17.5" style="2" customWidth="1"/>
    <col min="3" max="6" width="10.1640625" style="2" customWidth="1"/>
    <col min="7" max="13" width="8.6640625" style="2" customWidth="1"/>
    <col min="14" max="14" width="10.83203125" style="2" customWidth="1"/>
    <col min="15" max="1024" width="8.6640625" style="2" customWidth="1"/>
    <col min="1025" max="1025" width="9" customWidth="1"/>
  </cols>
  <sheetData>
    <row r="1" spans="1:39" x14ac:dyDescent="0.15">
      <c r="B1" s="2" t="s">
        <v>53</v>
      </c>
      <c r="E1" s="2" t="s">
        <v>142</v>
      </c>
      <c r="F1" s="2" t="s">
        <v>113</v>
      </c>
      <c r="I1" s="2" t="s">
        <v>142</v>
      </c>
      <c r="J1" s="2" t="s">
        <v>118</v>
      </c>
      <c r="M1" s="2" t="s">
        <v>142</v>
      </c>
      <c r="O1" s="2" t="s">
        <v>53</v>
      </c>
      <c r="R1" s="2" t="s">
        <v>142</v>
      </c>
      <c r="S1" s="2" t="s">
        <v>113</v>
      </c>
      <c r="V1" s="2" t="s">
        <v>142</v>
      </c>
      <c r="W1" s="2" t="s">
        <v>143</v>
      </c>
      <c r="Z1" s="2" t="s">
        <v>142</v>
      </c>
      <c r="AB1" s="2" t="s">
        <v>53</v>
      </c>
      <c r="AE1" s="2" t="s">
        <v>142</v>
      </c>
      <c r="AF1" s="2" t="s">
        <v>144</v>
      </c>
      <c r="AI1" s="2" t="s">
        <v>142</v>
      </c>
      <c r="AJ1" s="2" t="s">
        <v>145</v>
      </c>
      <c r="AM1" s="2" t="s">
        <v>142</v>
      </c>
    </row>
    <row r="2" spans="1:39" x14ac:dyDescent="0.15">
      <c r="A2" s="3">
        <v>41733</v>
      </c>
      <c r="B2" s="2" t="s">
        <v>47</v>
      </c>
      <c r="C2" s="2" t="s">
        <v>48</v>
      </c>
      <c r="D2" s="2">
        <v>140</v>
      </c>
      <c r="E2" s="2">
        <f t="shared" ref="E2:E14" si="0">D2*LOG10(D2)</f>
        <v>300.45792499495337</v>
      </c>
      <c r="F2" s="2" t="s">
        <v>47</v>
      </c>
      <c r="G2" s="2" t="s">
        <v>48</v>
      </c>
      <c r="H2" s="2">
        <v>195</v>
      </c>
      <c r="I2" s="2">
        <f t="shared" ref="I2:I18" si="1">H2*LOG10(H2)</f>
        <v>446.55674921569096</v>
      </c>
      <c r="J2" s="2" t="s">
        <v>1</v>
      </c>
      <c r="K2" s="2" t="s">
        <v>2</v>
      </c>
      <c r="L2" s="2" t="s">
        <v>61</v>
      </c>
      <c r="N2" s="3">
        <v>41743</v>
      </c>
      <c r="O2" s="2" t="s">
        <v>11</v>
      </c>
      <c r="Q2" s="2">
        <v>5</v>
      </c>
      <c r="R2" s="2">
        <f t="shared" ref="R2:R27" si="2">Q2*LOG10(Q2)</f>
        <v>3.4948500216800942</v>
      </c>
      <c r="S2" s="2" t="s">
        <v>29</v>
      </c>
      <c r="U2" s="2">
        <v>4</v>
      </c>
      <c r="V2" s="2">
        <f t="shared" ref="V2:V17" si="3">U2*LOG10(U2)</f>
        <v>2.4082399653118496</v>
      </c>
      <c r="W2" s="2" t="s">
        <v>76</v>
      </c>
      <c r="Y2" s="2">
        <v>38.5</v>
      </c>
      <c r="Z2" s="2">
        <f t="shared" ref="Z2:Z20" si="4">Y2*LOG10(Y2)</f>
        <v>61.040238086077274</v>
      </c>
      <c r="AA2" s="3">
        <v>41820</v>
      </c>
      <c r="AB2" s="2" t="s">
        <v>26</v>
      </c>
      <c r="AD2" s="2">
        <v>3</v>
      </c>
      <c r="AE2" s="2">
        <f t="shared" ref="AE2:AE18" si="5">AD2*LOG10(AD2)</f>
        <v>1.4313637641589874</v>
      </c>
      <c r="AF2" s="2" t="s">
        <v>24</v>
      </c>
      <c r="AH2" s="2">
        <v>2</v>
      </c>
      <c r="AI2" s="2">
        <f t="shared" ref="AI2:AI21" si="6">AH2*LOG10(AH2)</f>
        <v>0.6020599913279624</v>
      </c>
      <c r="AJ2" s="2" t="s">
        <v>76</v>
      </c>
      <c r="AL2" s="2">
        <v>1</v>
      </c>
      <c r="AM2" s="2">
        <f t="shared" ref="AM2:AM18" si="7">AL2*LOG10(AL2)</f>
        <v>0</v>
      </c>
    </row>
    <row r="3" spans="1:39" x14ac:dyDescent="0.15">
      <c r="B3" s="2" t="s">
        <v>47</v>
      </c>
      <c r="D3" s="2">
        <v>20</v>
      </c>
      <c r="E3" s="2">
        <f t="shared" si="0"/>
        <v>26.020599913279625</v>
      </c>
      <c r="F3" s="2" t="s">
        <v>23</v>
      </c>
      <c r="H3" s="2">
        <v>3</v>
      </c>
      <c r="I3" s="2">
        <f t="shared" si="1"/>
        <v>1.4313637641589874</v>
      </c>
      <c r="J3" s="2" t="s">
        <v>47</v>
      </c>
      <c r="K3" s="2" t="s">
        <v>48</v>
      </c>
      <c r="L3" s="2">
        <v>93.5</v>
      </c>
      <c r="M3" s="2">
        <f t="shared" ref="M3:M21" si="8">L3*LOG10(L3)</f>
        <v>184.27088561658041</v>
      </c>
      <c r="O3" s="2" t="s">
        <v>7</v>
      </c>
      <c r="Q3" s="2">
        <v>1</v>
      </c>
      <c r="R3" s="2">
        <f t="shared" si="2"/>
        <v>0</v>
      </c>
      <c r="S3" s="2" t="s">
        <v>44</v>
      </c>
      <c r="U3" s="2">
        <v>1</v>
      </c>
      <c r="V3" s="2">
        <f t="shared" si="3"/>
        <v>0</v>
      </c>
      <c r="W3" s="2" t="s">
        <v>17</v>
      </c>
      <c r="X3" s="2" t="s">
        <v>18</v>
      </c>
      <c r="Y3" s="2">
        <v>52.5</v>
      </c>
      <c r="Z3" s="2">
        <f t="shared" si="4"/>
        <v>90.308363428812726</v>
      </c>
      <c r="AB3" s="2" t="s">
        <v>29</v>
      </c>
      <c r="AD3" s="2">
        <v>23</v>
      </c>
      <c r="AE3" s="2">
        <f t="shared" si="5"/>
        <v>31.319740228404637</v>
      </c>
      <c r="AF3" s="2" t="s">
        <v>13</v>
      </c>
      <c r="AG3" s="2" t="s">
        <v>15</v>
      </c>
      <c r="AH3" s="2">
        <v>27</v>
      </c>
      <c r="AI3" s="2">
        <f t="shared" si="6"/>
        <v>38.646821632292657</v>
      </c>
      <c r="AJ3" s="2" t="s">
        <v>13</v>
      </c>
      <c r="AK3" s="2" t="s">
        <v>15</v>
      </c>
      <c r="AL3" s="2">
        <v>12</v>
      </c>
      <c r="AM3" s="2">
        <f t="shared" si="7"/>
        <v>12.950174952571498</v>
      </c>
    </row>
    <row r="4" spans="1:39" x14ac:dyDescent="0.15">
      <c r="B4" s="2" t="s">
        <v>26</v>
      </c>
      <c r="D4" s="2">
        <v>32</v>
      </c>
      <c r="E4" s="2">
        <f t="shared" si="0"/>
        <v>48.164799306236993</v>
      </c>
      <c r="F4" s="2" t="s">
        <v>16</v>
      </c>
      <c r="H4" s="2">
        <v>1</v>
      </c>
      <c r="I4" s="2">
        <f t="shared" si="1"/>
        <v>0</v>
      </c>
      <c r="J4" s="2" t="s">
        <v>47</v>
      </c>
      <c r="K4" s="2" t="s">
        <v>64</v>
      </c>
      <c r="L4" s="2">
        <v>6.5</v>
      </c>
      <c r="M4" s="2">
        <f t="shared" si="8"/>
        <v>5.2839368181785611</v>
      </c>
      <c r="O4" s="2" t="s">
        <v>26</v>
      </c>
      <c r="Q4" s="2">
        <v>18</v>
      </c>
      <c r="R4" s="2">
        <f t="shared" si="2"/>
        <v>22.594905091859509</v>
      </c>
      <c r="S4" s="2" t="s">
        <v>50</v>
      </c>
      <c r="U4" s="2">
        <v>1</v>
      </c>
      <c r="V4" s="2">
        <f t="shared" si="3"/>
        <v>0</v>
      </c>
      <c r="W4" s="2" t="s">
        <v>22</v>
      </c>
      <c r="Y4" s="2">
        <v>2</v>
      </c>
      <c r="Z4" s="2">
        <f t="shared" si="4"/>
        <v>0.6020599913279624</v>
      </c>
      <c r="AB4" s="2" t="s">
        <v>47</v>
      </c>
      <c r="AC4" s="2" t="s">
        <v>48</v>
      </c>
      <c r="AD4" s="2">
        <v>147</v>
      </c>
      <c r="AE4" s="2">
        <f t="shared" si="5"/>
        <v>318.59564820798187</v>
      </c>
      <c r="AF4" s="2" t="s">
        <v>68</v>
      </c>
      <c r="AH4" s="2">
        <v>1</v>
      </c>
      <c r="AI4" s="2">
        <f t="shared" si="6"/>
        <v>0</v>
      </c>
      <c r="AJ4" s="2" t="s">
        <v>74</v>
      </c>
      <c r="AL4" s="2">
        <v>2</v>
      </c>
      <c r="AM4" s="2">
        <f t="shared" si="7"/>
        <v>0.6020599913279624</v>
      </c>
    </row>
    <row r="5" spans="1:39" x14ac:dyDescent="0.15">
      <c r="B5" s="2" t="s">
        <v>28</v>
      </c>
      <c r="D5" s="2">
        <v>6</v>
      </c>
      <c r="E5" s="2">
        <f t="shared" si="0"/>
        <v>4.6689075023018614</v>
      </c>
      <c r="F5" s="2" t="s">
        <v>17</v>
      </c>
      <c r="G5" s="2" t="s">
        <v>18</v>
      </c>
      <c r="H5" s="2">
        <v>4</v>
      </c>
      <c r="I5" s="2">
        <f t="shared" si="1"/>
        <v>2.4082399653118496</v>
      </c>
      <c r="J5" s="2" t="s">
        <v>26</v>
      </c>
      <c r="L5" s="2">
        <v>54</v>
      </c>
      <c r="M5" s="2">
        <f t="shared" si="8"/>
        <v>93.549263030440301</v>
      </c>
      <c r="O5" s="2" t="s">
        <v>29</v>
      </c>
      <c r="Q5" s="2">
        <v>2.5</v>
      </c>
      <c r="R5" s="2">
        <f t="shared" si="2"/>
        <v>0.99485002168009395</v>
      </c>
      <c r="S5" s="2" t="s">
        <v>76</v>
      </c>
      <c r="U5" s="2">
        <v>31</v>
      </c>
      <c r="V5" s="2">
        <f t="shared" si="3"/>
        <v>46.232212508862453</v>
      </c>
      <c r="W5" s="2" t="s">
        <v>19</v>
      </c>
      <c r="Y5" s="2">
        <v>9</v>
      </c>
      <c r="Z5" s="2">
        <f t="shared" si="4"/>
        <v>8.5881825849539233</v>
      </c>
      <c r="AB5" s="2" t="s">
        <v>47</v>
      </c>
      <c r="AD5" s="2">
        <v>14</v>
      </c>
      <c r="AE5" s="2">
        <f t="shared" si="5"/>
        <v>16.045792499495331</v>
      </c>
      <c r="AF5" s="2" t="s">
        <v>22</v>
      </c>
      <c r="AH5" s="2">
        <v>18</v>
      </c>
      <c r="AI5" s="2">
        <f t="shared" si="6"/>
        <v>22.594905091859509</v>
      </c>
      <c r="AJ5" s="2" t="s">
        <v>68</v>
      </c>
      <c r="AL5" s="2">
        <v>1</v>
      </c>
      <c r="AM5" s="2">
        <f t="shared" si="7"/>
        <v>0</v>
      </c>
    </row>
    <row r="6" spans="1:39" x14ac:dyDescent="0.15">
      <c r="B6" s="2" t="s">
        <v>42</v>
      </c>
      <c r="C6" s="2" t="s">
        <v>43</v>
      </c>
      <c r="D6" s="2">
        <v>3</v>
      </c>
      <c r="E6" s="2">
        <f t="shared" si="0"/>
        <v>1.4313637641589874</v>
      </c>
      <c r="F6" s="2" t="s">
        <v>68</v>
      </c>
      <c r="H6" s="2">
        <v>3</v>
      </c>
      <c r="I6" s="2">
        <f t="shared" si="1"/>
        <v>1.4313637641589874</v>
      </c>
      <c r="J6" s="2" t="s">
        <v>24</v>
      </c>
      <c r="L6" s="2">
        <v>23</v>
      </c>
      <c r="M6" s="2">
        <f t="shared" si="8"/>
        <v>31.319740228404637</v>
      </c>
      <c r="O6" s="2" t="s">
        <v>24</v>
      </c>
      <c r="Q6" s="2">
        <v>22</v>
      </c>
      <c r="R6" s="2">
        <f t="shared" si="2"/>
        <v>29.533298978088535</v>
      </c>
      <c r="S6" s="2" t="s">
        <v>13</v>
      </c>
      <c r="T6" s="2" t="s">
        <v>15</v>
      </c>
      <c r="U6" s="2">
        <v>27.5</v>
      </c>
      <c r="V6" s="2">
        <f t="shared" si="3"/>
        <v>39.58164908033222</v>
      </c>
      <c r="W6" s="2" t="s">
        <v>13</v>
      </c>
      <c r="X6" s="2" t="s">
        <v>15</v>
      </c>
      <c r="Y6" s="2">
        <v>16</v>
      </c>
      <c r="Z6" s="2">
        <f t="shared" si="4"/>
        <v>19.265919722494797</v>
      </c>
      <c r="AB6" s="2" t="s">
        <v>13</v>
      </c>
      <c r="AC6" s="2" t="s">
        <v>15</v>
      </c>
      <c r="AD6" s="2">
        <v>4</v>
      </c>
      <c r="AE6" s="2">
        <f t="shared" si="5"/>
        <v>2.4082399653118496</v>
      </c>
      <c r="AF6" s="2" t="s">
        <v>17</v>
      </c>
      <c r="AG6" s="2" t="s">
        <v>18</v>
      </c>
      <c r="AH6" s="2">
        <v>50</v>
      </c>
      <c r="AI6" s="2">
        <f t="shared" si="6"/>
        <v>84.948500216800937</v>
      </c>
      <c r="AJ6" s="2" t="s">
        <v>22</v>
      </c>
      <c r="AL6" s="2">
        <v>23</v>
      </c>
      <c r="AM6" s="2">
        <f t="shared" si="7"/>
        <v>31.319740228404637</v>
      </c>
    </row>
    <row r="7" spans="1:39" x14ac:dyDescent="0.15">
      <c r="B7" s="2" t="s">
        <v>17</v>
      </c>
      <c r="C7" s="2" t="s">
        <v>18</v>
      </c>
      <c r="D7" s="2">
        <v>24</v>
      </c>
      <c r="E7" s="2">
        <f t="shared" si="0"/>
        <v>33.125069801078538</v>
      </c>
      <c r="F7" s="2" t="s">
        <v>7</v>
      </c>
      <c r="H7" s="2">
        <v>9</v>
      </c>
      <c r="I7" s="2">
        <f t="shared" si="1"/>
        <v>8.5881825849539233</v>
      </c>
      <c r="J7" s="2" t="s">
        <v>17</v>
      </c>
      <c r="K7" s="2" t="s">
        <v>18</v>
      </c>
      <c r="L7" s="2">
        <v>7</v>
      </c>
      <c r="M7" s="2">
        <f t="shared" si="8"/>
        <v>5.9156862800997976</v>
      </c>
      <c r="O7" s="2" t="s">
        <v>47</v>
      </c>
      <c r="P7" s="2" t="s">
        <v>48</v>
      </c>
      <c r="Q7" s="2">
        <v>36</v>
      </c>
      <c r="R7" s="2">
        <f t="shared" si="2"/>
        <v>56.026890027622343</v>
      </c>
      <c r="S7" s="2" t="s">
        <v>17</v>
      </c>
      <c r="T7" s="2" t="s">
        <v>18</v>
      </c>
      <c r="U7" s="2">
        <v>97.5</v>
      </c>
      <c r="V7" s="2">
        <f t="shared" si="3"/>
        <v>193.92795003060735</v>
      </c>
      <c r="W7" s="2" t="s">
        <v>16</v>
      </c>
      <c r="Y7" s="2">
        <v>3</v>
      </c>
      <c r="Z7" s="2">
        <f t="shared" si="4"/>
        <v>1.4313637641589874</v>
      </c>
      <c r="AB7" s="2" t="s">
        <v>19</v>
      </c>
      <c r="AD7" s="2">
        <v>1</v>
      </c>
      <c r="AE7" s="2">
        <f t="shared" si="5"/>
        <v>0</v>
      </c>
      <c r="AF7" s="2" t="s">
        <v>19</v>
      </c>
      <c r="AH7" s="2">
        <v>26</v>
      </c>
      <c r="AI7" s="2">
        <f t="shared" si="6"/>
        <v>36.789307047241266</v>
      </c>
      <c r="AJ7" s="2" t="s">
        <v>47</v>
      </c>
      <c r="AK7" s="2" t="s">
        <v>48</v>
      </c>
      <c r="AL7" s="2">
        <v>71</v>
      </c>
      <c r="AM7" s="2">
        <f t="shared" si="7"/>
        <v>131.43934275905434</v>
      </c>
    </row>
    <row r="8" spans="1:39" x14ac:dyDescent="0.15">
      <c r="B8" s="2" t="s">
        <v>23</v>
      </c>
      <c r="D8" s="2">
        <v>10</v>
      </c>
      <c r="E8" s="2">
        <f t="shared" si="0"/>
        <v>10</v>
      </c>
      <c r="F8" s="2" t="s">
        <v>26</v>
      </c>
      <c r="H8" s="2">
        <v>19</v>
      </c>
      <c r="I8" s="2">
        <f t="shared" si="1"/>
        <v>24.296318418103748</v>
      </c>
      <c r="J8" s="2" t="s">
        <v>47</v>
      </c>
      <c r="L8" s="2">
        <v>8</v>
      </c>
      <c r="M8" s="2">
        <f t="shared" si="8"/>
        <v>7.2247198959355483</v>
      </c>
      <c r="O8" s="2" t="s">
        <v>23</v>
      </c>
      <c r="Q8" s="2">
        <v>3.5</v>
      </c>
      <c r="R8" s="2">
        <f t="shared" si="2"/>
        <v>1.9042381552259648</v>
      </c>
      <c r="S8" s="2" t="s">
        <v>22</v>
      </c>
      <c r="U8" s="2">
        <v>13</v>
      </c>
      <c r="V8" s="2">
        <f t="shared" si="3"/>
        <v>14.481263579988877</v>
      </c>
      <c r="W8" s="2" t="s">
        <v>47</v>
      </c>
      <c r="X8" s="2" t="s">
        <v>48</v>
      </c>
      <c r="Y8" s="2">
        <v>62.5</v>
      </c>
      <c r="Z8" s="2">
        <f t="shared" si="4"/>
        <v>112.2425010840047</v>
      </c>
      <c r="AB8" s="2" t="s">
        <v>17</v>
      </c>
      <c r="AC8" s="2" t="s">
        <v>18</v>
      </c>
      <c r="AD8" s="2">
        <v>5</v>
      </c>
      <c r="AE8" s="2">
        <f t="shared" si="5"/>
        <v>3.4948500216800942</v>
      </c>
      <c r="AF8" s="2" t="s">
        <v>16</v>
      </c>
      <c r="AH8" s="2">
        <v>1</v>
      </c>
      <c r="AI8" s="2">
        <f t="shared" si="6"/>
        <v>0</v>
      </c>
      <c r="AJ8" s="2" t="s">
        <v>47</v>
      </c>
      <c r="AK8" s="2" t="s">
        <v>64</v>
      </c>
      <c r="AL8" s="2">
        <v>9</v>
      </c>
      <c r="AM8" s="2">
        <f t="shared" si="7"/>
        <v>8.5881825849539233</v>
      </c>
    </row>
    <row r="9" spans="1:39" x14ac:dyDescent="0.15">
      <c r="B9" s="2" t="s">
        <v>13</v>
      </c>
      <c r="C9" s="2" t="s">
        <v>15</v>
      </c>
      <c r="D9" s="2">
        <v>10</v>
      </c>
      <c r="E9" s="2">
        <f t="shared" si="0"/>
        <v>10</v>
      </c>
      <c r="F9" s="2" t="s">
        <v>29</v>
      </c>
      <c r="G9" s="2" t="s">
        <v>33</v>
      </c>
      <c r="H9" s="2">
        <v>1</v>
      </c>
      <c r="I9" s="2">
        <f t="shared" si="1"/>
        <v>0</v>
      </c>
      <c r="J9" s="2" t="s">
        <v>65</v>
      </c>
      <c r="L9" s="2">
        <v>5</v>
      </c>
      <c r="M9" s="2">
        <f t="shared" si="8"/>
        <v>3.4948500216800942</v>
      </c>
      <c r="O9" s="2" t="s">
        <v>17</v>
      </c>
      <c r="P9" s="2" t="s">
        <v>18</v>
      </c>
      <c r="Q9" s="2">
        <v>74.5</v>
      </c>
      <c r="R9" s="2">
        <f t="shared" si="2"/>
        <v>139.47564231974781</v>
      </c>
      <c r="S9" s="2" t="s">
        <v>23</v>
      </c>
      <c r="U9" s="2">
        <v>13</v>
      </c>
      <c r="V9" s="2">
        <f t="shared" si="3"/>
        <v>14.481263579988877</v>
      </c>
      <c r="W9" s="2" t="s">
        <v>47</v>
      </c>
      <c r="Y9" s="2">
        <v>6.5</v>
      </c>
      <c r="Z9" s="2">
        <f t="shared" si="4"/>
        <v>5.2839368181785611</v>
      </c>
      <c r="AB9" s="2" t="s">
        <v>36</v>
      </c>
      <c r="AD9" s="2">
        <v>4</v>
      </c>
      <c r="AE9" s="2">
        <f t="shared" si="5"/>
        <v>2.4082399653118496</v>
      </c>
      <c r="AF9" s="2" t="s">
        <v>6</v>
      </c>
      <c r="AH9" s="2">
        <v>3</v>
      </c>
      <c r="AI9" s="2">
        <f t="shared" si="6"/>
        <v>1.4313637641589874</v>
      </c>
      <c r="AJ9" s="2" t="s">
        <v>26</v>
      </c>
      <c r="AL9" s="2">
        <v>20</v>
      </c>
      <c r="AM9" s="2">
        <f t="shared" si="7"/>
        <v>26.020599913279625</v>
      </c>
    </row>
    <row r="10" spans="1:39" x14ac:dyDescent="0.15">
      <c r="B10" s="2" t="s">
        <v>47</v>
      </c>
      <c r="C10" s="2" t="s">
        <v>64</v>
      </c>
      <c r="D10" s="2">
        <v>1</v>
      </c>
      <c r="E10" s="2">
        <f t="shared" si="0"/>
        <v>0</v>
      </c>
      <c r="F10" s="2" t="s">
        <v>47</v>
      </c>
      <c r="H10" s="2">
        <v>6</v>
      </c>
      <c r="I10" s="2">
        <f t="shared" si="1"/>
        <v>4.6689075023018614</v>
      </c>
      <c r="J10" s="2" t="s">
        <v>44</v>
      </c>
      <c r="L10" s="2">
        <v>3</v>
      </c>
      <c r="M10" s="2">
        <f t="shared" si="8"/>
        <v>1.4313637641589874</v>
      </c>
      <c r="O10" s="2" t="s">
        <v>74</v>
      </c>
      <c r="Q10" s="2">
        <v>2.5</v>
      </c>
      <c r="R10" s="2">
        <f t="shared" si="2"/>
        <v>0.99485002168009395</v>
      </c>
      <c r="S10" s="2" t="s">
        <v>47</v>
      </c>
      <c r="T10" s="2" t="s">
        <v>48</v>
      </c>
      <c r="U10" s="2">
        <v>32.5</v>
      </c>
      <c r="V10" s="2">
        <f t="shared" si="3"/>
        <v>49.136209231813417</v>
      </c>
      <c r="W10" s="2" t="s">
        <v>29</v>
      </c>
      <c r="X10" s="2" t="s">
        <v>33</v>
      </c>
      <c r="Y10" s="2">
        <v>4</v>
      </c>
      <c r="Z10" s="2">
        <f t="shared" si="4"/>
        <v>2.4082399653118496</v>
      </c>
      <c r="AB10" s="2" t="s">
        <v>42</v>
      </c>
      <c r="AC10" s="2" t="s">
        <v>43</v>
      </c>
      <c r="AD10" s="2">
        <v>5</v>
      </c>
      <c r="AE10" s="2">
        <f t="shared" si="5"/>
        <v>3.4948500216800942</v>
      </c>
      <c r="AF10" s="2" t="s">
        <v>47</v>
      </c>
      <c r="AH10" s="2">
        <v>10</v>
      </c>
      <c r="AI10" s="2">
        <f t="shared" si="6"/>
        <v>10</v>
      </c>
      <c r="AJ10" s="2" t="s">
        <v>29</v>
      </c>
      <c r="AL10" s="2">
        <v>7</v>
      </c>
      <c r="AM10" s="2">
        <f t="shared" si="7"/>
        <v>5.9156862800997976</v>
      </c>
    </row>
    <row r="11" spans="1:39" x14ac:dyDescent="0.15">
      <c r="B11" s="2" t="s">
        <v>29</v>
      </c>
      <c r="C11" s="2" t="s">
        <v>32</v>
      </c>
      <c r="D11" s="2">
        <v>1</v>
      </c>
      <c r="E11" s="2">
        <f t="shared" si="0"/>
        <v>0</v>
      </c>
      <c r="F11" s="2" t="s">
        <v>72</v>
      </c>
      <c r="H11" s="2">
        <v>1</v>
      </c>
      <c r="I11" s="2">
        <f t="shared" si="1"/>
        <v>0</v>
      </c>
      <c r="J11" s="2" t="s">
        <v>50</v>
      </c>
      <c r="L11" s="2">
        <v>8</v>
      </c>
      <c r="M11" s="2">
        <f t="shared" si="8"/>
        <v>7.2247198959355483</v>
      </c>
      <c r="O11" s="2" t="s">
        <v>19</v>
      </c>
      <c r="Q11" s="2">
        <v>10</v>
      </c>
      <c r="R11" s="2">
        <f t="shared" si="2"/>
        <v>10</v>
      </c>
      <c r="S11" s="2" t="s">
        <v>47</v>
      </c>
      <c r="U11" s="2">
        <v>1</v>
      </c>
      <c r="V11" s="2">
        <f t="shared" si="3"/>
        <v>0</v>
      </c>
      <c r="W11" s="2" t="s">
        <v>26</v>
      </c>
      <c r="Y11" s="2">
        <v>2.5</v>
      </c>
      <c r="Z11" s="2">
        <f t="shared" si="4"/>
        <v>0.99485002168009395</v>
      </c>
      <c r="AB11" s="2" t="s">
        <v>44</v>
      </c>
      <c r="AD11" s="2">
        <v>6</v>
      </c>
      <c r="AE11" s="2">
        <f t="shared" si="5"/>
        <v>4.6689075023018614</v>
      </c>
      <c r="AF11" s="2" t="s">
        <v>47</v>
      </c>
      <c r="AG11" s="2" t="s">
        <v>48</v>
      </c>
      <c r="AH11" s="2">
        <v>41</v>
      </c>
      <c r="AI11" s="2">
        <f t="shared" si="6"/>
        <v>66.124138125509148</v>
      </c>
      <c r="AJ11" s="2" t="s">
        <v>29</v>
      </c>
      <c r="AK11" s="2" t="s">
        <v>33</v>
      </c>
      <c r="AL11" s="2">
        <v>9</v>
      </c>
      <c r="AM11" s="2">
        <f t="shared" si="7"/>
        <v>8.5881825849539233</v>
      </c>
    </row>
    <row r="12" spans="1:39" x14ac:dyDescent="0.15">
      <c r="B12" s="2" t="s">
        <v>66</v>
      </c>
      <c r="D12" s="2">
        <v>3</v>
      </c>
      <c r="E12" s="2">
        <f t="shared" si="0"/>
        <v>1.4313637641589874</v>
      </c>
      <c r="F12" s="2" t="s">
        <v>73</v>
      </c>
      <c r="H12" s="2">
        <v>4</v>
      </c>
      <c r="I12" s="2">
        <f t="shared" si="1"/>
        <v>2.4082399653118496</v>
      </c>
      <c r="J12" s="2" t="s">
        <v>66</v>
      </c>
      <c r="L12" s="2">
        <v>5</v>
      </c>
      <c r="M12" s="2">
        <f t="shared" si="8"/>
        <v>3.4948500216800942</v>
      </c>
      <c r="O12" s="2" t="s">
        <v>36</v>
      </c>
      <c r="Q12" s="2">
        <v>1</v>
      </c>
      <c r="R12" s="2">
        <f t="shared" si="2"/>
        <v>0</v>
      </c>
      <c r="S12" s="2" t="s">
        <v>26</v>
      </c>
      <c r="U12" s="2">
        <v>4.5</v>
      </c>
      <c r="V12" s="2">
        <f t="shared" si="3"/>
        <v>2.9394563119890469</v>
      </c>
      <c r="W12" s="2" t="s">
        <v>50</v>
      </c>
      <c r="Y12" s="2">
        <v>1</v>
      </c>
      <c r="Z12" s="2">
        <f t="shared" si="4"/>
        <v>0</v>
      </c>
      <c r="AB12" s="2" t="s">
        <v>29</v>
      </c>
      <c r="AC12" s="2" t="s">
        <v>33</v>
      </c>
      <c r="AD12" s="2">
        <v>12</v>
      </c>
      <c r="AE12" s="2">
        <f t="shared" si="5"/>
        <v>12.950174952571498</v>
      </c>
      <c r="AF12" s="2" t="s">
        <v>47</v>
      </c>
      <c r="AG12" s="2" t="s">
        <v>64</v>
      </c>
      <c r="AH12" s="2">
        <v>2</v>
      </c>
      <c r="AI12" s="2">
        <f t="shared" si="6"/>
        <v>0.6020599913279624</v>
      </c>
      <c r="AJ12" s="2" t="s">
        <v>36</v>
      </c>
      <c r="AL12" s="2">
        <v>3</v>
      </c>
      <c r="AM12" s="2">
        <f t="shared" si="7"/>
        <v>1.4313637641589874</v>
      </c>
    </row>
    <row r="13" spans="1:39" x14ac:dyDescent="0.15">
      <c r="B13" s="2" t="s">
        <v>68</v>
      </c>
      <c r="D13" s="2">
        <v>1</v>
      </c>
      <c r="E13" s="2">
        <f t="shared" si="0"/>
        <v>0</v>
      </c>
      <c r="F13" s="2" t="s">
        <v>50</v>
      </c>
      <c r="H13" s="2">
        <v>3</v>
      </c>
      <c r="I13" s="2">
        <f t="shared" si="1"/>
        <v>1.4313637641589874</v>
      </c>
      <c r="J13" s="2" t="s">
        <v>29</v>
      </c>
      <c r="K13" s="2" t="s">
        <v>67</v>
      </c>
      <c r="L13" s="2">
        <v>2</v>
      </c>
      <c r="M13" s="2">
        <f t="shared" si="8"/>
        <v>0.6020599913279624</v>
      </c>
      <c r="O13" s="2" t="s">
        <v>16</v>
      </c>
      <c r="Q13" s="2">
        <v>6.5</v>
      </c>
      <c r="R13" s="2">
        <f t="shared" si="2"/>
        <v>5.2839368181785611</v>
      </c>
      <c r="S13" s="2" t="s">
        <v>19</v>
      </c>
      <c r="U13" s="2">
        <v>10</v>
      </c>
      <c r="V13" s="2">
        <f t="shared" si="3"/>
        <v>10</v>
      </c>
      <c r="W13" s="2" t="s">
        <v>44</v>
      </c>
      <c r="Y13" s="2">
        <v>3</v>
      </c>
      <c r="Z13" s="2">
        <f t="shared" si="4"/>
        <v>1.4313637641589874</v>
      </c>
      <c r="AB13" s="2" t="s">
        <v>29</v>
      </c>
      <c r="AC13" s="2" t="s">
        <v>31</v>
      </c>
      <c r="AD13" s="2">
        <v>1</v>
      </c>
      <c r="AE13" s="2">
        <f t="shared" si="5"/>
        <v>0</v>
      </c>
      <c r="AF13" s="2" t="s">
        <v>26</v>
      </c>
      <c r="AH13" s="2">
        <v>10</v>
      </c>
      <c r="AI13" s="2">
        <f t="shared" si="6"/>
        <v>10</v>
      </c>
      <c r="AJ13" s="2" t="s">
        <v>19</v>
      </c>
      <c r="AL13" s="2">
        <v>2</v>
      </c>
      <c r="AM13" s="2">
        <f t="shared" si="7"/>
        <v>0.6020599913279624</v>
      </c>
    </row>
    <row r="14" spans="1:39" x14ac:dyDescent="0.15">
      <c r="B14" s="2" t="s">
        <v>44</v>
      </c>
      <c r="D14" s="2">
        <v>1</v>
      </c>
      <c r="E14" s="2">
        <f t="shared" si="0"/>
        <v>0</v>
      </c>
      <c r="F14" s="2" t="s">
        <v>36</v>
      </c>
      <c r="H14" s="2">
        <v>1</v>
      </c>
      <c r="I14" s="2">
        <f t="shared" si="1"/>
        <v>0</v>
      </c>
      <c r="J14" s="2" t="s">
        <v>19</v>
      </c>
      <c r="L14" s="2">
        <v>2.5</v>
      </c>
      <c r="M14" s="2">
        <f t="shared" si="8"/>
        <v>0.99485002168009395</v>
      </c>
      <c r="O14" s="2" t="s">
        <v>47</v>
      </c>
      <c r="P14" s="2" t="s">
        <v>64</v>
      </c>
      <c r="Q14" s="2">
        <v>1</v>
      </c>
      <c r="R14" s="2">
        <f t="shared" si="2"/>
        <v>0</v>
      </c>
      <c r="S14" s="2" t="s">
        <v>47</v>
      </c>
      <c r="T14" s="2" t="s">
        <v>64</v>
      </c>
      <c r="U14" s="2">
        <v>1</v>
      </c>
      <c r="V14" s="2">
        <f t="shared" si="3"/>
        <v>0</v>
      </c>
      <c r="W14" s="2" t="s">
        <v>36</v>
      </c>
      <c r="Y14" s="2">
        <v>1</v>
      </c>
      <c r="Z14" s="2">
        <f t="shared" si="4"/>
        <v>0</v>
      </c>
      <c r="AB14" s="2" t="s">
        <v>50</v>
      </c>
      <c r="AD14" s="2">
        <v>1</v>
      </c>
      <c r="AE14" s="2">
        <f t="shared" si="5"/>
        <v>0</v>
      </c>
      <c r="AF14" s="2" t="s">
        <v>50</v>
      </c>
      <c r="AH14" s="2">
        <v>3</v>
      </c>
      <c r="AI14" s="2">
        <f t="shared" si="6"/>
        <v>1.4313637641589874</v>
      </c>
      <c r="AJ14" s="2" t="s">
        <v>47</v>
      </c>
      <c r="AL14" s="2">
        <v>3</v>
      </c>
      <c r="AM14" s="2">
        <f t="shared" si="7"/>
        <v>1.4313637641589874</v>
      </c>
    </row>
    <row r="15" spans="1:39" x14ac:dyDescent="0.15">
      <c r="B15" s="2" t="s">
        <v>146</v>
      </c>
      <c r="D15" s="2">
        <f>SUM(D2:D14)</f>
        <v>252</v>
      </c>
      <c r="E15" s="2">
        <f>SUM(E2:E14)</f>
        <v>435.30002904616833</v>
      </c>
      <c r="F15" s="2" t="s">
        <v>42</v>
      </c>
      <c r="G15" s="2" t="s">
        <v>43</v>
      </c>
      <c r="H15" s="2">
        <v>1</v>
      </c>
      <c r="I15" s="2">
        <f t="shared" si="1"/>
        <v>0</v>
      </c>
      <c r="J15" s="2" t="s">
        <v>42</v>
      </c>
      <c r="K15" s="2" t="s">
        <v>43</v>
      </c>
      <c r="L15" s="2">
        <v>2</v>
      </c>
      <c r="M15" s="2">
        <f t="shared" si="8"/>
        <v>0.6020599913279624</v>
      </c>
      <c r="O15" s="2" t="s">
        <v>13</v>
      </c>
      <c r="P15" s="2" t="s">
        <v>79</v>
      </c>
      <c r="Q15" s="2">
        <v>2</v>
      </c>
      <c r="R15" s="2">
        <f t="shared" si="2"/>
        <v>0.6020599913279624</v>
      </c>
      <c r="S15" s="2" t="s">
        <v>29</v>
      </c>
      <c r="T15" s="2" t="s">
        <v>67</v>
      </c>
      <c r="U15" s="2">
        <v>1</v>
      </c>
      <c r="V15" s="2">
        <f t="shared" si="3"/>
        <v>0</v>
      </c>
      <c r="W15" s="2" t="s">
        <v>7</v>
      </c>
      <c r="Y15" s="2">
        <v>3</v>
      </c>
      <c r="Z15" s="2">
        <f t="shared" si="4"/>
        <v>1.4313637641589874</v>
      </c>
      <c r="AB15" s="2" t="s">
        <v>46</v>
      </c>
      <c r="AD15" s="2">
        <v>1</v>
      </c>
      <c r="AE15" s="2">
        <f t="shared" si="5"/>
        <v>0</v>
      </c>
      <c r="AF15" s="2" t="s">
        <v>29</v>
      </c>
      <c r="AG15" s="2" t="s">
        <v>67</v>
      </c>
      <c r="AH15" s="2">
        <v>5</v>
      </c>
      <c r="AI15" s="2">
        <f t="shared" si="6"/>
        <v>3.4948500216800942</v>
      </c>
      <c r="AJ15" s="2" t="s">
        <v>42</v>
      </c>
      <c r="AK15" s="2" t="s">
        <v>43</v>
      </c>
      <c r="AL15" s="2">
        <v>2</v>
      </c>
      <c r="AM15" s="2">
        <f t="shared" si="7"/>
        <v>0.6020599913279624</v>
      </c>
    </row>
    <row r="16" spans="1:39" x14ac:dyDescent="0.15">
      <c r="B16" s="2" t="s">
        <v>61</v>
      </c>
      <c r="D16" s="2">
        <f>COUNT(D2:D15)</f>
        <v>14</v>
      </c>
      <c r="F16" s="2" t="s">
        <v>19</v>
      </c>
      <c r="H16" s="2">
        <v>1</v>
      </c>
      <c r="I16" s="2">
        <f t="shared" si="1"/>
        <v>0</v>
      </c>
      <c r="J16" s="2" t="s">
        <v>28</v>
      </c>
      <c r="L16" s="2">
        <v>1.5</v>
      </c>
      <c r="M16" s="2">
        <f t="shared" si="8"/>
        <v>0.26413688858352186</v>
      </c>
      <c r="O16" s="2" t="s">
        <v>68</v>
      </c>
      <c r="Q16" s="2">
        <v>3</v>
      </c>
      <c r="R16" s="2">
        <f t="shared" si="2"/>
        <v>1.4313637641589874</v>
      </c>
      <c r="S16" s="2" t="s">
        <v>29</v>
      </c>
      <c r="T16" s="2" t="s">
        <v>32</v>
      </c>
      <c r="U16" s="2">
        <v>1</v>
      </c>
      <c r="V16" s="2">
        <f t="shared" si="3"/>
        <v>0</v>
      </c>
      <c r="W16" s="2" t="s">
        <v>74</v>
      </c>
      <c r="Y16" s="2">
        <v>1</v>
      </c>
      <c r="Z16" s="2">
        <f t="shared" si="4"/>
        <v>0</v>
      </c>
      <c r="AB16" s="2" t="s">
        <v>66</v>
      </c>
      <c r="AD16" s="2">
        <v>1</v>
      </c>
      <c r="AE16" s="2">
        <f t="shared" si="5"/>
        <v>0</v>
      </c>
      <c r="AF16" s="2" t="s">
        <v>29</v>
      </c>
      <c r="AG16" s="2" t="s">
        <v>32</v>
      </c>
      <c r="AH16" s="2">
        <v>2</v>
      </c>
      <c r="AI16" s="2">
        <f t="shared" si="6"/>
        <v>0.6020599913279624</v>
      </c>
      <c r="AJ16" s="2" t="s">
        <v>50</v>
      </c>
      <c r="AL16" s="2">
        <v>5</v>
      </c>
      <c r="AM16" s="2">
        <f t="shared" si="7"/>
        <v>3.4948500216800942</v>
      </c>
    </row>
    <row r="17" spans="2:39" x14ac:dyDescent="0.15">
      <c r="B17" s="2" t="s">
        <v>147</v>
      </c>
      <c r="D17" s="2">
        <f>D15*LOG10(D15)</f>
        <v>605.15293627694916</v>
      </c>
      <c r="F17" s="2" t="s">
        <v>44</v>
      </c>
      <c r="H17" s="2">
        <v>1</v>
      </c>
      <c r="I17" s="2">
        <f t="shared" si="1"/>
        <v>0</v>
      </c>
      <c r="J17" s="2" t="s">
        <v>29</v>
      </c>
      <c r="K17" s="2" t="s">
        <v>33</v>
      </c>
      <c r="L17" s="2">
        <v>4</v>
      </c>
      <c r="M17" s="2">
        <f t="shared" si="8"/>
        <v>2.4082399653118496</v>
      </c>
      <c r="O17" s="2" t="s">
        <v>47</v>
      </c>
      <c r="Q17" s="2">
        <v>2.5</v>
      </c>
      <c r="R17" s="2">
        <f t="shared" si="2"/>
        <v>0.99485002168009395</v>
      </c>
      <c r="S17" s="2" t="s">
        <v>28</v>
      </c>
      <c r="U17" s="2">
        <v>2</v>
      </c>
      <c r="V17" s="2">
        <f t="shared" si="3"/>
        <v>0.6020599913279624</v>
      </c>
      <c r="W17" s="2" t="s">
        <v>23</v>
      </c>
      <c r="Y17" s="2">
        <v>4</v>
      </c>
      <c r="Z17" s="2">
        <f t="shared" si="4"/>
        <v>2.4082399653118496</v>
      </c>
      <c r="AB17" s="2" t="s">
        <v>24</v>
      </c>
      <c r="AD17" s="2">
        <v>2</v>
      </c>
      <c r="AE17" s="2">
        <f t="shared" si="5"/>
        <v>0.6020599913279624</v>
      </c>
      <c r="AF17" s="2" t="s">
        <v>42</v>
      </c>
      <c r="AG17" s="2" t="s">
        <v>43</v>
      </c>
      <c r="AH17" s="2">
        <v>5</v>
      </c>
      <c r="AI17" s="2">
        <f t="shared" si="6"/>
        <v>3.4948500216800942</v>
      </c>
      <c r="AJ17" s="2" t="s">
        <v>28</v>
      </c>
      <c r="AL17" s="2">
        <v>5</v>
      </c>
      <c r="AM17" s="2">
        <f t="shared" si="7"/>
        <v>3.4948500216800942</v>
      </c>
    </row>
    <row r="18" spans="2:39" x14ac:dyDescent="0.15">
      <c r="B18" s="2" t="s">
        <v>148</v>
      </c>
      <c r="C18" s="7">
        <f>(3.322/D15)*(D17-E15)</f>
        <v>2.2390926897644996</v>
      </c>
      <c r="F18" s="2" t="s">
        <v>74</v>
      </c>
      <c r="H18" s="2">
        <v>1</v>
      </c>
      <c r="I18" s="2">
        <f t="shared" si="1"/>
        <v>0</v>
      </c>
      <c r="J18" s="2" t="s">
        <v>13</v>
      </c>
      <c r="K18" s="2" t="s">
        <v>15</v>
      </c>
      <c r="L18" s="2">
        <v>6</v>
      </c>
      <c r="M18" s="2">
        <f t="shared" si="8"/>
        <v>4.6689075023018614</v>
      </c>
      <c r="O18" s="2" t="s">
        <v>6</v>
      </c>
      <c r="Q18" s="2">
        <v>2</v>
      </c>
      <c r="R18" s="2">
        <f t="shared" si="2"/>
        <v>0.6020599913279624</v>
      </c>
      <c r="S18" s="2" t="s">
        <v>146</v>
      </c>
      <c r="U18" s="2">
        <f>SUM(U2:U17)</f>
        <v>241</v>
      </c>
      <c r="V18" s="2">
        <f>SUM(V2:V17)</f>
        <v>373.79030428022207</v>
      </c>
      <c r="W18" s="2" t="s">
        <v>66</v>
      </c>
      <c r="Y18" s="2">
        <v>4</v>
      </c>
      <c r="Z18" s="2">
        <f t="shared" si="4"/>
        <v>2.4082399653118496</v>
      </c>
      <c r="AB18" s="2" t="s">
        <v>74</v>
      </c>
      <c r="AD18" s="2">
        <v>1</v>
      </c>
      <c r="AE18" s="2">
        <f t="shared" si="5"/>
        <v>0</v>
      </c>
      <c r="AF18" s="2" t="s">
        <v>36</v>
      </c>
      <c r="AH18" s="2">
        <v>1</v>
      </c>
      <c r="AI18" s="2">
        <f t="shared" si="6"/>
        <v>0</v>
      </c>
      <c r="AJ18" s="2" t="s">
        <v>44</v>
      </c>
      <c r="AL18" s="2">
        <v>29</v>
      </c>
      <c r="AM18" s="2">
        <f t="shared" si="7"/>
        <v>42.409541939069726</v>
      </c>
    </row>
    <row r="19" spans="2:39" x14ac:dyDescent="0.15">
      <c r="F19" s="2" t="s">
        <v>146</v>
      </c>
      <c r="H19" s="2">
        <f>SUM(H2:H18)</f>
        <v>254</v>
      </c>
      <c r="I19" s="2">
        <f>SUM(I2:I18)</f>
        <v>493.22072894415106</v>
      </c>
      <c r="J19" s="2" t="s">
        <v>36</v>
      </c>
      <c r="L19" s="2">
        <v>3</v>
      </c>
      <c r="M19" s="2">
        <f t="shared" si="8"/>
        <v>1.4313637641589874</v>
      </c>
      <c r="O19" s="2" t="s">
        <v>66</v>
      </c>
      <c r="Q19" s="2">
        <v>2</v>
      </c>
      <c r="R19" s="2">
        <f t="shared" si="2"/>
        <v>0.6020599913279624</v>
      </c>
      <c r="S19" s="2" t="s">
        <v>61</v>
      </c>
      <c r="U19" s="2">
        <f>COUNT(U2:U17)</f>
        <v>16</v>
      </c>
      <c r="W19" s="2" t="s">
        <v>29</v>
      </c>
      <c r="X19" s="2" t="s">
        <v>32</v>
      </c>
      <c r="Y19" s="2">
        <v>1</v>
      </c>
      <c r="Z19" s="2">
        <f t="shared" si="4"/>
        <v>0</v>
      </c>
      <c r="AB19" s="2" t="s">
        <v>146</v>
      </c>
      <c r="AD19" s="2">
        <f>SUM(AD2:AD18)</f>
        <v>231</v>
      </c>
      <c r="AE19" s="2">
        <f>SUM(AE2:AE18)</f>
        <v>397.41986712022612</v>
      </c>
      <c r="AF19" s="2" t="s">
        <v>89</v>
      </c>
      <c r="AH19" s="2">
        <v>1</v>
      </c>
      <c r="AI19" s="2">
        <f t="shared" si="6"/>
        <v>0</v>
      </c>
      <c r="AJ19" s="2" t="s">
        <v>146</v>
      </c>
      <c r="AL19" s="2">
        <f>SUM(AL2:AL18)</f>
        <v>204</v>
      </c>
      <c r="AM19" s="2">
        <f>SUM(AM2:AM18)</f>
        <v>278.89005878804954</v>
      </c>
    </row>
    <row r="20" spans="2:39" x14ac:dyDescent="0.15">
      <c r="F20" s="2" t="s">
        <v>61</v>
      </c>
      <c r="H20" s="2">
        <f>COUNT(H2:H18)</f>
        <v>17</v>
      </c>
      <c r="J20" s="2" t="s">
        <v>68</v>
      </c>
      <c r="L20" s="2">
        <v>2</v>
      </c>
      <c r="M20" s="2">
        <f t="shared" si="8"/>
        <v>0.6020599913279624</v>
      </c>
      <c r="O20" s="2" t="s">
        <v>13</v>
      </c>
      <c r="P20" s="2" t="s">
        <v>15</v>
      </c>
      <c r="Q20" s="2">
        <v>2</v>
      </c>
      <c r="R20" s="2">
        <f t="shared" si="2"/>
        <v>0.6020599913279624</v>
      </c>
      <c r="S20" s="2" t="s">
        <v>147</v>
      </c>
      <c r="U20" s="2">
        <f>U18*LOG10(U18)</f>
        <v>574.06610726054328</v>
      </c>
      <c r="W20" s="2" t="s">
        <v>28</v>
      </c>
      <c r="Y20" s="2">
        <v>1</v>
      </c>
      <c r="Z20" s="2">
        <f t="shared" si="4"/>
        <v>0</v>
      </c>
      <c r="AB20" s="2" t="s">
        <v>61</v>
      </c>
      <c r="AD20" s="2">
        <f>COUNT(AD2:AD18)</f>
        <v>17</v>
      </c>
      <c r="AF20" s="2" t="s">
        <v>29</v>
      </c>
      <c r="AH20" s="2">
        <v>2</v>
      </c>
      <c r="AI20" s="2">
        <f t="shared" si="6"/>
        <v>0.6020599913279624</v>
      </c>
      <c r="AJ20" s="2" t="s">
        <v>61</v>
      </c>
      <c r="AL20" s="2">
        <f>COUNT(AL2:AL18)</f>
        <v>17</v>
      </c>
    </row>
    <row r="21" spans="2:39" x14ac:dyDescent="0.15">
      <c r="F21" s="2" t="s">
        <v>147</v>
      </c>
      <c r="H21" s="2">
        <f>H19*LOG10(H19)</f>
        <v>610.8277640214643</v>
      </c>
      <c r="J21" s="2" t="s">
        <v>23</v>
      </c>
      <c r="L21" s="2">
        <v>2</v>
      </c>
      <c r="M21" s="2">
        <f t="shared" si="8"/>
        <v>0.6020599913279624</v>
      </c>
      <c r="O21" s="2" t="s">
        <v>44</v>
      </c>
      <c r="Q21" s="2">
        <v>2</v>
      </c>
      <c r="R21" s="2">
        <f t="shared" si="2"/>
        <v>0.6020599913279624</v>
      </c>
      <c r="S21" s="2" t="s">
        <v>148</v>
      </c>
      <c r="U21" s="7">
        <f>(3.322/U18)*(U20-V18)</f>
        <v>2.7606482053967927</v>
      </c>
      <c r="W21" s="2" t="s">
        <v>146</v>
      </c>
      <c r="Y21" s="2">
        <f>SUM(Y2:Y20)</f>
        <v>215.5</v>
      </c>
      <c r="Z21" s="2">
        <f>SUM(Z2:Z20)</f>
        <v>309.84486292594255</v>
      </c>
      <c r="AB21" s="2" t="s">
        <v>147</v>
      </c>
      <c r="AD21" s="2">
        <f>AD19*LOG10(AD19)</f>
        <v>545.99436735508539</v>
      </c>
      <c r="AF21" s="2" t="s">
        <v>44</v>
      </c>
      <c r="AH21" s="2">
        <v>32</v>
      </c>
      <c r="AI21" s="2">
        <f t="shared" si="6"/>
        <v>48.164799306236993</v>
      </c>
      <c r="AJ21" s="2" t="s">
        <v>147</v>
      </c>
      <c r="AL21" s="2">
        <f>AL19*LOG10(AL19)</f>
        <v>471.16455415488338</v>
      </c>
    </row>
    <row r="22" spans="2:39" x14ac:dyDescent="0.15">
      <c r="F22" s="2" t="s">
        <v>148</v>
      </c>
      <c r="H22" s="7">
        <f>(3.322/H19)*(H21-I19)</f>
        <v>1.5381518524678528</v>
      </c>
      <c r="J22" s="2" t="s">
        <v>146</v>
      </c>
      <c r="L22" s="2">
        <f>SUM(L3:L21)</f>
        <v>238</v>
      </c>
      <c r="M22" s="2">
        <f>SUM(M3:M21)</f>
        <v>355.38575368044218</v>
      </c>
      <c r="O22" s="2" t="s">
        <v>28</v>
      </c>
      <c r="Q22" s="2">
        <v>5</v>
      </c>
      <c r="R22" s="2">
        <f t="shared" si="2"/>
        <v>3.4948500216800942</v>
      </c>
      <c r="W22" s="2" t="s">
        <v>61</v>
      </c>
      <c r="Y22" s="2">
        <f>COUNT(Y2:Y20)</f>
        <v>19</v>
      </c>
      <c r="AB22" s="2" t="s">
        <v>148</v>
      </c>
      <c r="AD22" s="7">
        <f>(3.233/AD19)*(AD21-AE19)</f>
        <v>2.0793998236333335</v>
      </c>
      <c r="AF22" s="2" t="s">
        <v>146</v>
      </c>
      <c r="AH22" s="2">
        <f>SUM(AH2:AH21)</f>
        <v>242</v>
      </c>
      <c r="AI22" s="2">
        <f>SUM(AI2:AI21)</f>
        <v>329.52913895693058</v>
      </c>
      <c r="AJ22" s="2" t="s">
        <v>148</v>
      </c>
      <c r="AL22" s="7">
        <f>(3.322/AL19)*(AL21-AM19)</f>
        <v>3.1310582039638337</v>
      </c>
    </row>
    <row r="23" spans="2:39" x14ac:dyDescent="0.15">
      <c r="J23" s="2" t="s">
        <v>61</v>
      </c>
      <c r="L23" s="2">
        <f>COUNT(L3:L22)</f>
        <v>20</v>
      </c>
      <c r="O23" s="2" t="s">
        <v>42</v>
      </c>
      <c r="P23" s="2" t="s">
        <v>43</v>
      </c>
      <c r="Q23" s="2">
        <v>1</v>
      </c>
      <c r="R23" s="2">
        <f t="shared" si="2"/>
        <v>0</v>
      </c>
      <c r="W23" s="2" t="s">
        <v>147</v>
      </c>
      <c r="Y23" s="2">
        <f>Y21*LOG10(Y21)</f>
        <v>502.8578876540497</v>
      </c>
      <c r="AF23" s="2" t="s">
        <v>61</v>
      </c>
      <c r="AH23" s="2">
        <f>COUNT(AH2:AH21)</f>
        <v>20</v>
      </c>
    </row>
    <row r="24" spans="2:39" x14ac:dyDescent="0.15">
      <c r="B24" s="3"/>
      <c r="C24" s="10"/>
      <c r="J24" s="2" t="s">
        <v>147</v>
      </c>
      <c r="L24" s="2">
        <f>L22*LOG(L22)</f>
        <v>565.62531577944981</v>
      </c>
      <c r="O24" s="2" t="s">
        <v>29</v>
      </c>
      <c r="P24" s="2" t="s">
        <v>33</v>
      </c>
      <c r="Q24" s="2">
        <v>1</v>
      </c>
      <c r="R24" s="2">
        <f t="shared" si="2"/>
        <v>0</v>
      </c>
      <c r="W24" s="2" t="s">
        <v>148</v>
      </c>
      <c r="Y24" s="7">
        <f>(3.322/Y21)*(Y23-Z21)</f>
        <v>2.9753562326996379</v>
      </c>
      <c r="AF24" s="2" t="s">
        <v>147</v>
      </c>
      <c r="AH24" s="2">
        <f>AH22*LOG10(AH22)</f>
        <v>576.88331856726427</v>
      </c>
    </row>
    <row r="25" spans="2:39" x14ac:dyDescent="0.15">
      <c r="J25" s="2" t="s">
        <v>148</v>
      </c>
      <c r="L25" s="7">
        <f>(3.322/L22)*(L24-M22)</f>
        <v>2.9345202743399299</v>
      </c>
      <c r="O25" s="2" t="s">
        <v>44</v>
      </c>
      <c r="P25" s="2" t="s">
        <v>45</v>
      </c>
      <c r="Q25" s="2">
        <v>2</v>
      </c>
      <c r="R25" s="2">
        <f t="shared" si="2"/>
        <v>0.6020599913279624</v>
      </c>
      <c r="AF25" s="2" t="s">
        <v>148</v>
      </c>
      <c r="AH25" s="7">
        <f>(3.322/AH22)*(AH24-AI22)</f>
        <v>3.395498283741853</v>
      </c>
    </row>
    <row r="26" spans="2:39" x14ac:dyDescent="0.15">
      <c r="O26" s="2" t="s">
        <v>6</v>
      </c>
      <c r="Q26" s="2">
        <v>2</v>
      </c>
      <c r="R26" s="2">
        <f t="shared" si="2"/>
        <v>0.6020599913279624</v>
      </c>
    </row>
    <row r="27" spans="2:39" x14ac:dyDescent="0.15">
      <c r="B27" s="2" t="s">
        <v>116</v>
      </c>
      <c r="O27" s="2" t="s">
        <v>42</v>
      </c>
      <c r="Q27" s="2">
        <v>1</v>
      </c>
      <c r="R27" s="2">
        <f t="shared" si="2"/>
        <v>0</v>
      </c>
    </row>
    <row r="28" spans="2:39" x14ac:dyDescent="0.15">
      <c r="C28" s="2" t="s">
        <v>53</v>
      </c>
      <c r="D28" s="2" t="s">
        <v>113</v>
      </c>
      <c r="E28" s="2" t="s">
        <v>118</v>
      </c>
      <c r="F28" s="2" t="s">
        <v>119</v>
      </c>
      <c r="O28" s="2" t="s">
        <v>146</v>
      </c>
      <c r="Q28" s="2">
        <f>SUM(Q2:Q27)</f>
        <v>211</v>
      </c>
      <c r="R28" s="2">
        <f>SUM(R2:R27)</f>
        <v>280.438945202578</v>
      </c>
    </row>
    <row r="29" spans="2:39" x14ac:dyDescent="0.15">
      <c r="B29" s="3">
        <v>41733</v>
      </c>
      <c r="C29" s="8">
        <v>2.239093</v>
      </c>
      <c r="D29" s="8">
        <v>1.538152</v>
      </c>
      <c r="E29" s="8">
        <v>2.93452</v>
      </c>
      <c r="F29" s="8"/>
      <c r="O29" s="2" t="s">
        <v>61</v>
      </c>
      <c r="Q29" s="2">
        <f>COUNT(Q2:Q27)</f>
        <v>26</v>
      </c>
    </row>
    <row r="30" spans="2:39" x14ac:dyDescent="0.15">
      <c r="B30" s="3">
        <v>41743</v>
      </c>
      <c r="C30" s="8">
        <v>3.3060139999999998</v>
      </c>
      <c r="D30" s="8">
        <v>2.7606480000000002</v>
      </c>
      <c r="E30" s="8">
        <v>2.9753560000000001</v>
      </c>
      <c r="F30" s="8"/>
      <c r="O30" s="2" t="s">
        <v>147</v>
      </c>
      <c r="Q30" s="2">
        <f>Q28*LOG10(Q28)</f>
        <v>490.42359806781315</v>
      </c>
    </row>
    <row r="31" spans="2:39" x14ac:dyDescent="0.15">
      <c r="B31" s="3">
        <v>41781</v>
      </c>
      <c r="C31" s="8"/>
      <c r="D31" s="8">
        <v>2.5609639999999998</v>
      </c>
      <c r="E31" s="8">
        <v>2.1362049999999999</v>
      </c>
      <c r="F31" s="8"/>
      <c r="O31" s="2" t="s">
        <v>148</v>
      </c>
      <c r="Q31" s="7">
        <f>(3.322/Q28)*(Q30-R28)</f>
        <v>3.3060142977171147</v>
      </c>
    </row>
    <row r="32" spans="2:39" x14ac:dyDescent="0.15">
      <c r="B32" s="3">
        <v>41820</v>
      </c>
      <c r="C32" s="8">
        <v>2.0794000000000001</v>
      </c>
      <c r="D32" s="8">
        <v>3.3954979999999999</v>
      </c>
      <c r="E32" s="8">
        <v>3.1310579999999999</v>
      </c>
      <c r="F32" s="8">
        <v>2.6351309999999999</v>
      </c>
    </row>
    <row r="33" spans="2:37" x14ac:dyDescent="0.15">
      <c r="B33" s="2" t="s">
        <v>125</v>
      </c>
      <c r="C33" s="8"/>
      <c r="D33" s="8">
        <v>2.56</v>
      </c>
      <c r="E33" s="8">
        <v>2.79</v>
      </c>
      <c r="F33" s="8"/>
      <c r="W33" s="2" t="s">
        <v>106</v>
      </c>
      <c r="Z33" s="2" t="s">
        <v>149</v>
      </c>
      <c r="AC33" s="2" t="s">
        <v>144</v>
      </c>
      <c r="AE33" s="2" t="s">
        <v>150</v>
      </c>
      <c r="AH33" s="2" t="s">
        <v>151</v>
      </c>
      <c r="AK33" s="2" t="s">
        <v>150</v>
      </c>
    </row>
    <row r="34" spans="2:37" x14ac:dyDescent="0.15">
      <c r="F34" s="8"/>
      <c r="V34" s="3">
        <v>41781</v>
      </c>
      <c r="W34" s="2" t="s">
        <v>24</v>
      </c>
      <c r="Y34" s="2">
        <v>6</v>
      </c>
      <c r="Z34" s="2">
        <f t="shared" ref="Z34:Z47" si="9">Y34*LOG10(Y34)</f>
        <v>4.6689075023018614</v>
      </c>
      <c r="AB34" s="2" t="s">
        <v>76</v>
      </c>
      <c r="AD34" s="2">
        <v>8</v>
      </c>
      <c r="AE34" s="2">
        <f t="shared" ref="AE34:AE48" si="10">AD34*LOG10(AD34)</f>
        <v>7.2247198959355483</v>
      </c>
      <c r="AG34" s="3">
        <v>41820</v>
      </c>
      <c r="AH34" s="2" t="s">
        <v>24</v>
      </c>
      <c r="AJ34" s="2">
        <v>4</v>
      </c>
      <c r="AK34" s="2">
        <f t="shared" ref="AK34:AK48" si="11">AJ34*LOG10(AJ34)</f>
        <v>2.4082399653118496</v>
      </c>
    </row>
    <row r="35" spans="2:37" x14ac:dyDescent="0.15">
      <c r="D35" s="8"/>
      <c r="E35" s="8"/>
      <c r="F35" s="8"/>
      <c r="W35" s="2" t="s">
        <v>47</v>
      </c>
      <c r="X35" s="2" t="s">
        <v>48</v>
      </c>
      <c r="Y35" s="2">
        <v>50</v>
      </c>
      <c r="Z35" s="2">
        <f t="shared" si="9"/>
        <v>84.948500216800937</v>
      </c>
      <c r="AB35" s="2" t="s">
        <v>17</v>
      </c>
      <c r="AC35" s="2" t="s">
        <v>18</v>
      </c>
      <c r="AD35" s="2">
        <v>45</v>
      </c>
      <c r="AE35" s="2">
        <f t="shared" si="10"/>
        <v>74.394563119890464</v>
      </c>
      <c r="AH35" s="2" t="s">
        <v>13</v>
      </c>
      <c r="AI35" s="2" t="s">
        <v>15</v>
      </c>
      <c r="AJ35" s="2">
        <v>7</v>
      </c>
      <c r="AK35" s="2">
        <f t="shared" si="11"/>
        <v>5.9156862800997976</v>
      </c>
    </row>
    <row r="36" spans="2:37" x14ac:dyDescent="0.15">
      <c r="B36" s="8" t="s">
        <v>126</v>
      </c>
      <c r="C36" s="8" t="s">
        <v>138</v>
      </c>
      <c r="D36" s="2" t="s">
        <v>139</v>
      </c>
      <c r="E36" s="8" t="s">
        <v>140</v>
      </c>
      <c r="F36" s="8" t="s">
        <v>141</v>
      </c>
      <c r="W36" s="2" t="s">
        <v>26</v>
      </c>
      <c r="Y36" s="2">
        <v>7</v>
      </c>
      <c r="Z36" s="2">
        <f t="shared" si="9"/>
        <v>5.9156862800997976</v>
      </c>
      <c r="AB36" s="2" t="s">
        <v>19</v>
      </c>
      <c r="AD36" s="2">
        <v>2</v>
      </c>
      <c r="AE36" s="2">
        <f t="shared" si="10"/>
        <v>0.6020599913279624</v>
      </c>
      <c r="AH36" s="2" t="s">
        <v>17</v>
      </c>
      <c r="AI36" s="2" t="s">
        <v>18</v>
      </c>
      <c r="AJ36" s="2">
        <v>6</v>
      </c>
      <c r="AK36" s="2">
        <f t="shared" si="11"/>
        <v>4.6689075023018614</v>
      </c>
    </row>
    <row r="37" spans="2:37" x14ac:dyDescent="0.15">
      <c r="C37" s="8" t="s">
        <v>53</v>
      </c>
      <c r="D37" s="8" t="s">
        <v>128</v>
      </c>
      <c r="E37" s="8" t="s">
        <v>129</v>
      </c>
      <c r="F37" s="8" t="s">
        <v>130</v>
      </c>
      <c r="W37" s="2" t="s">
        <v>13</v>
      </c>
      <c r="X37" s="2" t="s">
        <v>15</v>
      </c>
      <c r="Y37" s="2">
        <v>8</v>
      </c>
      <c r="Z37" s="2">
        <f t="shared" si="9"/>
        <v>7.2247198959355483</v>
      </c>
      <c r="AB37" s="2" t="s">
        <v>13</v>
      </c>
      <c r="AC37" s="2" t="s">
        <v>15</v>
      </c>
      <c r="AD37" s="2">
        <v>11</v>
      </c>
      <c r="AE37" s="2">
        <f t="shared" si="10"/>
        <v>11.455319536740477</v>
      </c>
      <c r="AH37" s="2" t="s">
        <v>23</v>
      </c>
      <c r="AJ37" s="2">
        <v>2</v>
      </c>
      <c r="AK37" s="2">
        <f t="shared" si="11"/>
        <v>0.6020599913279624</v>
      </c>
    </row>
    <row r="38" spans="2:37" x14ac:dyDescent="0.15">
      <c r="B38" s="3">
        <v>41760</v>
      </c>
      <c r="C38" s="8">
        <v>2.16374827068196</v>
      </c>
      <c r="D38" s="8">
        <v>2.75101984687665</v>
      </c>
      <c r="E38" s="8"/>
      <c r="F38" s="8">
        <v>2.7090367005598499</v>
      </c>
      <c r="W38" s="2" t="s">
        <v>17</v>
      </c>
      <c r="X38" s="2" t="s">
        <v>18</v>
      </c>
      <c r="Y38" s="2">
        <v>120</v>
      </c>
      <c r="Z38" s="2">
        <f t="shared" si="9"/>
        <v>249.50174952571496</v>
      </c>
      <c r="AB38" s="2" t="s">
        <v>68</v>
      </c>
      <c r="AD38" s="2">
        <v>2</v>
      </c>
      <c r="AE38" s="2">
        <f t="shared" si="10"/>
        <v>0.6020599913279624</v>
      </c>
      <c r="AH38" s="2" t="s">
        <v>47</v>
      </c>
      <c r="AI38" s="2" t="s">
        <v>48</v>
      </c>
      <c r="AJ38" s="2">
        <v>100</v>
      </c>
      <c r="AK38" s="2">
        <f t="shared" si="11"/>
        <v>200</v>
      </c>
    </row>
    <row r="39" spans="2:37" x14ac:dyDescent="0.15">
      <c r="B39" s="3">
        <v>41768</v>
      </c>
      <c r="C39" s="8">
        <v>2.5874390491125498</v>
      </c>
      <c r="D39" s="8">
        <v>2.7470298558016402</v>
      </c>
      <c r="E39" s="8">
        <v>2.7273742778395902</v>
      </c>
      <c r="F39" s="8">
        <v>2.79757116162145</v>
      </c>
      <c r="W39" s="2" t="s">
        <v>29</v>
      </c>
      <c r="X39" s="2" t="s">
        <v>67</v>
      </c>
      <c r="Y39" s="2">
        <v>2</v>
      </c>
      <c r="Z39" s="2">
        <f t="shared" si="9"/>
        <v>0.6020599913279624</v>
      </c>
      <c r="AB39" s="2" t="s">
        <v>47</v>
      </c>
      <c r="AC39" s="2" t="s">
        <v>48</v>
      </c>
      <c r="AD39" s="2">
        <v>121</v>
      </c>
      <c r="AE39" s="2">
        <f t="shared" si="10"/>
        <v>252.01702980829049</v>
      </c>
      <c r="AH39" s="2" t="s">
        <v>47</v>
      </c>
      <c r="AJ39" s="2">
        <v>29</v>
      </c>
      <c r="AK39" s="2">
        <f t="shared" si="11"/>
        <v>42.409541939069726</v>
      </c>
    </row>
    <row r="40" spans="2:37" x14ac:dyDescent="0.15">
      <c r="B40" s="3">
        <v>41772</v>
      </c>
      <c r="C40" s="8">
        <v>2.50785957229373</v>
      </c>
      <c r="D40" s="8">
        <v>2.4635082238316701</v>
      </c>
      <c r="E40" s="8">
        <v>2.59344118050489</v>
      </c>
      <c r="F40" s="8">
        <v>2.6922280824499198</v>
      </c>
      <c r="W40" s="2" t="s">
        <v>19</v>
      </c>
      <c r="Y40" s="2">
        <v>4</v>
      </c>
      <c r="Z40" s="2">
        <f t="shared" si="9"/>
        <v>2.4082399653118496</v>
      </c>
      <c r="AB40" s="2" t="s">
        <v>47</v>
      </c>
      <c r="AC40" s="2" t="s">
        <v>64</v>
      </c>
      <c r="AD40" s="2">
        <v>2</v>
      </c>
      <c r="AE40" s="2">
        <f t="shared" si="10"/>
        <v>0.6020599913279624</v>
      </c>
      <c r="AH40" s="2" t="s">
        <v>26</v>
      </c>
      <c r="AJ40" s="2">
        <v>11</v>
      </c>
      <c r="AK40" s="2">
        <f t="shared" si="11"/>
        <v>11.455319536740477</v>
      </c>
    </row>
    <row r="41" spans="2:37" x14ac:dyDescent="0.15">
      <c r="B41" s="3">
        <v>41774</v>
      </c>
      <c r="C41" s="8">
        <v>2.57812630571676</v>
      </c>
      <c r="D41" s="8">
        <v>2.8901140331119</v>
      </c>
      <c r="E41" s="8"/>
      <c r="F41" s="8">
        <v>2.57266271180002</v>
      </c>
      <c r="W41" s="2" t="s">
        <v>44</v>
      </c>
      <c r="Y41" s="2">
        <v>4</v>
      </c>
      <c r="Z41" s="2">
        <f t="shared" si="9"/>
        <v>2.4082399653118496</v>
      </c>
      <c r="AB41" s="2" t="s">
        <v>47</v>
      </c>
      <c r="AD41" s="2">
        <v>2</v>
      </c>
      <c r="AE41" s="2">
        <f t="shared" si="10"/>
        <v>0.6020599913279624</v>
      </c>
      <c r="AH41" s="2" t="s">
        <v>29</v>
      </c>
      <c r="AI41" s="2" t="s">
        <v>33</v>
      </c>
      <c r="AJ41" s="2">
        <v>15</v>
      </c>
      <c r="AK41" s="2">
        <f t="shared" si="11"/>
        <v>17.64136888583522</v>
      </c>
    </row>
    <row r="42" spans="2:37" x14ac:dyDescent="0.15">
      <c r="B42" s="2" t="s">
        <v>125</v>
      </c>
      <c r="C42" s="8">
        <v>2.4590000000000001</v>
      </c>
      <c r="D42" s="8">
        <v>2.7120000000000002</v>
      </c>
      <c r="E42" s="8"/>
      <c r="F42" s="8">
        <v>2.6920000000000002</v>
      </c>
      <c r="W42" s="2" t="s">
        <v>23</v>
      </c>
      <c r="Y42" s="2">
        <v>9</v>
      </c>
      <c r="Z42" s="2">
        <f t="shared" si="9"/>
        <v>8.5881825849539233</v>
      </c>
      <c r="AB42" s="2" t="s">
        <v>26</v>
      </c>
      <c r="AD42" s="2">
        <v>22</v>
      </c>
      <c r="AE42" s="2">
        <f t="shared" si="10"/>
        <v>29.533298978088535</v>
      </c>
      <c r="AH42" s="2" t="s">
        <v>29</v>
      </c>
      <c r="AI42" s="2" t="s">
        <v>31</v>
      </c>
      <c r="AJ42" s="2">
        <v>1</v>
      </c>
      <c r="AK42" s="2">
        <f t="shared" si="11"/>
        <v>0</v>
      </c>
    </row>
    <row r="43" spans="2:37" x14ac:dyDescent="0.15">
      <c r="W43" s="2" t="s">
        <v>47</v>
      </c>
      <c r="Y43" s="2">
        <v>2</v>
      </c>
      <c r="Z43" s="2">
        <f t="shared" si="9"/>
        <v>0.6020599913279624</v>
      </c>
      <c r="AB43" s="2" t="s">
        <v>29</v>
      </c>
      <c r="AC43" s="2" t="s">
        <v>67</v>
      </c>
      <c r="AD43" s="2">
        <v>1</v>
      </c>
      <c r="AE43" s="2">
        <f t="shared" si="10"/>
        <v>0</v>
      </c>
      <c r="AH43" s="2" t="s">
        <v>29</v>
      </c>
      <c r="AJ43" s="2">
        <v>2</v>
      </c>
      <c r="AK43" s="2">
        <f t="shared" si="11"/>
        <v>0.6020599913279624</v>
      </c>
    </row>
    <row r="44" spans="2:37" x14ac:dyDescent="0.15">
      <c r="W44" s="2" t="s">
        <v>28</v>
      </c>
      <c r="Y44" s="2">
        <v>2</v>
      </c>
      <c r="Z44" s="2">
        <f t="shared" si="9"/>
        <v>0.6020599913279624</v>
      </c>
      <c r="AB44" s="2" t="s">
        <v>29</v>
      </c>
      <c r="AD44" s="2">
        <v>8</v>
      </c>
      <c r="AE44" s="2">
        <f t="shared" si="10"/>
        <v>7.2247198959355483</v>
      </c>
      <c r="AH44" s="2" t="s">
        <v>42</v>
      </c>
      <c r="AI44" s="2" t="s">
        <v>43</v>
      </c>
      <c r="AJ44" s="2">
        <v>7</v>
      </c>
      <c r="AK44" s="2">
        <f t="shared" si="11"/>
        <v>5.9156862800997976</v>
      </c>
    </row>
    <row r="45" spans="2:37" x14ac:dyDescent="0.15">
      <c r="W45" s="2" t="s">
        <v>16</v>
      </c>
      <c r="Y45" s="2">
        <v>1</v>
      </c>
      <c r="Z45" s="2">
        <f t="shared" si="9"/>
        <v>0</v>
      </c>
      <c r="AB45" s="2" t="s">
        <v>42</v>
      </c>
      <c r="AC45" s="2" t="s">
        <v>43</v>
      </c>
      <c r="AD45" s="2">
        <v>6</v>
      </c>
      <c r="AE45" s="2">
        <f t="shared" si="10"/>
        <v>4.6689075023018614</v>
      </c>
      <c r="AH45" s="2" t="s">
        <v>52</v>
      </c>
      <c r="AJ45" s="2">
        <v>3</v>
      </c>
      <c r="AK45" s="2">
        <f t="shared" si="11"/>
        <v>1.4313637641589874</v>
      </c>
    </row>
    <row r="46" spans="2:37" x14ac:dyDescent="0.15">
      <c r="W46" s="2" t="s">
        <v>47</v>
      </c>
      <c r="X46" s="2" t="s">
        <v>64</v>
      </c>
      <c r="Y46" s="2">
        <v>1</v>
      </c>
      <c r="Z46" s="2">
        <f t="shared" si="9"/>
        <v>0</v>
      </c>
      <c r="AB46" s="2" t="s">
        <v>44</v>
      </c>
      <c r="AD46" s="2">
        <v>5</v>
      </c>
      <c r="AE46" s="2">
        <f t="shared" si="10"/>
        <v>3.4948500216800942</v>
      </c>
      <c r="AH46" s="2" t="s">
        <v>44</v>
      </c>
      <c r="AJ46" s="2">
        <v>6</v>
      </c>
      <c r="AK46" s="2">
        <f t="shared" si="11"/>
        <v>4.6689075023018614</v>
      </c>
    </row>
    <row r="47" spans="2:37" x14ac:dyDescent="0.15">
      <c r="W47" s="2" t="s">
        <v>29</v>
      </c>
      <c r="X47" s="2" t="s">
        <v>33</v>
      </c>
      <c r="Y47" s="2">
        <v>1</v>
      </c>
      <c r="Z47" s="2">
        <f t="shared" si="9"/>
        <v>0</v>
      </c>
      <c r="AB47" s="2" t="s">
        <v>50</v>
      </c>
      <c r="AD47" s="2">
        <v>18</v>
      </c>
      <c r="AE47" s="2">
        <f t="shared" si="10"/>
        <v>22.594905091859509</v>
      </c>
      <c r="AH47" s="2" t="s">
        <v>36</v>
      </c>
      <c r="AJ47" s="2">
        <v>4</v>
      </c>
      <c r="AK47" s="2">
        <f t="shared" si="11"/>
        <v>2.4082399653118496</v>
      </c>
    </row>
    <row r="48" spans="2:37" x14ac:dyDescent="0.15">
      <c r="W48" s="2" t="s">
        <v>146</v>
      </c>
      <c r="Y48" s="2">
        <f>SUM(Y34:Y47)</f>
        <v>217</v>
      </c>
      <c r="Z48" s="2">
        <f>SUM(Z34:Z47)</f>
        <v>367.47040591041463</v>
      </c>
      <c r="AB48" s="2" t="s">
        <v>25</v>
      </c>
      <c r="AD48" s="2">
        <v>1</v>
      </c>
      <c r="AE48" s="2">
        <f t="shared" si="10"/>
        <v>0</v>
      </c>
      <c r="AH48" s="2" t="s">
        <v>50</v>
      </c>
      <c r="AJ48" s="2">
        <v>3</v>
      </c>
      <c r="AK48" s="2">
        <f t="shared" si="11"/>
        <v>1.4313637641589874</v>
      </c>
    </row>
    <row r="49" spans="16:60" x14ac:dyDescent="0.15">
      <c r="Q49" s="2" t="s">
        <v>116</v>
      </c>
      <c r="W49" s="2" t="s">
        <v>61</v>
      </c>
      <c r="Y49" s="2">
        <f>COUNT(Y34:Y47)</f>
        <v>14</v>
      </c>
      <c r="AB49" s="2" t="s">
        <v>61</v>
      </c>
      <c r="AD49" s="2">
        <f>COUNT(AD34:AD48)</f>
        <v>15</v>
      </c>
      <c r="AE49" s="2">
        <f>SUM(AE34:AE48)</f>
        <v>415.01655381603439</v>
      </c>
      <c r="AH49" s="2" t="s">
        <v>146</v>
      </c>
      <c r="AJ49" s="2">
        <f>SUM(AJ34:AJ48)</f>
        <v>200</v>
      </c>
      <c r="AK49" s="2">
        <f>SUM(AK34:AK48)</f>
        <v>301.55874536804635</v>
      </c>
    </row>
    <row r="50" spans="16:60" x14ac:dyDescent="0.15">
      <c r="Q50" s="2" t="s">
        <v>53</v>
      </c>
      <c r="R50" s="2" t="s">
        <v>113</v>
      </c>
      <c r="S50" s="2" t="s">
        <v>118</v>
      </c>
      <c r="W50" s="2" t="s">
        <v>152</v>
      </c>
      <c r="Y50" s="2">
        <f>Y48*LOG10(Y48)</f>
        <v>507.01176224513091</v>
      </c>
      <c r="AB50" s="2" t="s">
        <v>146</v>
      </c>
      <c r="AD50" s="2">
        <f>SUM(AD34:AD48)</f>
        <v>254</v>
      </c>
      <c r="AH50" s="2" t="s">
        <v>61</v>
      </c>
      <c r="AJ50" s="2">
        <f>COUNT(AJ34:AJ48)</f>
        <v>15</v>
      </c>
    </row>
    <row r="51" spans="16:60" x14ac:dyDescent="0.15">
      <c r="P51" s="3">
        <v>41733</v>
      </c>
      <c r="Q51" s="7">
        <v>2.239093</v>
      </c>
      <c r="R51" s="7">
        <v>1.538152</v>
      </c>
      <c r="S51" s="7">
        <v>2.93452</v>
      </c>
      <c r="W51" s="2" t="s">
        <v>148</v>
      </c>
      <c r="Y51" s="7">
        <f>(3.322/Y48)*(Y50-Z48)</f>
        <v>2.1362045425987444</v>
      </c>
      <c r="AB51" s="2" t="s">
        <v>147</v>
      </c>
      <c r="AD51" s="2">
        <f>AD50*LOG10(AD50)</f>
        <v>610.8277640214643</v>
      </c>
      <c r="AH51" s="2" t="s">
        <v>147</v>
      </c>
      <c r="AJ51" s="2">
        <f>AJ49*LOG10(AJ49)</f>
        <v>460.20599913279625</v>
      </c>
    </row>
    <row r="52" spans="16:60" x14ac:dyDescent="0.15">
      <c r="P52" s="3">
        <v>41743</v>
      </c>
      <c r="Q52" s="7">
        <v>3.3060139999999998</v>
      </c>
      <c r="R52" s="7">
        <v>2.7606480000000002</v>
      </c>
      <c r="S52" s="7">
        <v>2.9753560000000001</v>
      </c>
      <c r="AB52" s="2" t="s">
        <v>148</v>
      </c>
      <c r="AD52" s="7">
        <f>(3.322/AD50)*(AD51-AE49)</f>
        <v>2.5609639381985758</v>
      </c>
      <c r="AH52" s="2" t="s">
        <v>148</v>
      </c>
      <c r="AJ52" s="7">
        <f>(3.322/AJ49)*(AJ51-AK49)</f>
        <v>2.6351308850324959</v>
      </c>
    </row>
    <row r="53" spans="16:60" x14ac:dyDescent="0.15">
      <c r="P53" s="3">
        <v>41820</v>
      </c>
      <c r="Q53" s="7">
        <v>2.0794000000000001</v>
      </c>
      <c r="R53" s="7">
        <v>3.3954979999999999</v>
      </c>
      <c r="S53" s="7">
        <v>3.1310579999999999</v>
      </c>
    </row>
    <row r="54" spans="16:60" x14ac:dyDescent="0.15">
      <c r="P54" s="3">
        <v>41781</v>
      </c>
      <c r="R54" s="7">
        <v>2.5609639999999998</v>
      </c>
      <c r="S54" s="7">
        <v>2.1362049999999999</v>
      </c>
      <c r="Y54" s="2" t="s">
        <v>153</v>
      </c>
      <c r="AB54" s="2" t="s">
        <v>150</v>
      </c>
      <c r="AC54" s="2" t="s">
        <v>154</v>
      </c>
      <c r="AF54" s="2" t="s">
        <v>150</v>
      </c>
      <c r="AH54" s="2" t="s">
        <v>155</v>
      </c>
      <c r="AK54" s="2" t="s">
        <v>150</v>
      </c>
      <c r="AL54" s="2" t="s">
        <v>154</v>
      </c>
      <c r="AO54" s="2" t="s">
        <v>150</v>
      </c>
      <c r="AQ54" s="2" t="s">
        <v>156</v>
      </c>
      <c r="AT54" s="2" t="s">
        <v>150</v>
      </c>
      <c r="AV54" s="2" t="s">
        <v>157</v>
      </c>
      <c r="AY54" s="2" t="s">
        <v>150</v>
      </c>
      <c r="BA54" s="2" t="s">
        <v>158</v>
      </c>
      <c r="BD54" s="2" t="s">
        <v>150</v>
      </c>
      <c r="BE54" s="2" t="s">
        <v>159</v>
      </c>
      <c r="BH54" s="2" t="s">
        <v>150</v>
      </c>
    </row>
    <row r="55" spans="16:60" x14ac:dyDescent="0.15">
      <c r="Q55" s="2" t="s">
        <v>119</v>
      </c>
      <c r="X55" s="3">
        <v>41760</v>
      </c>
      <c r="Y55" s="2" t="s">
        <v>22</v>
      </c>
      <c r="AA55" s="2">
        <v>5</v>
      </c>
      <c r="AB55" s="2">
        <f t="shared" ref="AB55:AB70" si="12">AA55*LOG10(AA55)</f>
        <v>3.4948500216800942</v>
      </c>
      <c r="AC55" s="2" t="s">
        <v>76</v>
      </c>
      <c r="AE55" s="2">
        <v>4</v>
      </c>
      <c r="AF55" s="2">
        <f t="shared" ref="AF55:AF70" si="13">AE55*LOG10(AE55)</f>
        <v>2.4082399653118496</v>
      </c>
      <c r="AG55" s="3">
        <v>41768</v>
      </c>
      <c r="AH55" s="2" t="s">
        <v>47</v>
      </c>
      <c r="AI55" s="2" t="s">
        <v>48</v>
      </c>
      <c r="AJ55" s="2">
        <v>45</v>
      </c>
      <c r="AK55" s="2">
        <f t="shared" ref="AK55:AK68" si="14">AJ55*LOG10(AJ55)</f>
        <v>74.394563119890464</v>
      </c>
      <c r="AL55" s="2" t="s">
        <v>76</v>
      </c>
      <c r="AN55" s="2">
        <v>12</v>
      </c>
      <c r="AO55" s="2">
        <f t="shared" ref="AO55:AO71" si="15">AN55*LOG10(AN55)</f>
        <v>12.950174952571498</v>
      </c>
      <c r="AP55" s="3">
        <v>41772</v>
      </c>
      <c r="AQ55" s="2" t="s">
        <v>76</v>
      </c>
      <c r="AS55" s="2">
        <v>3</v>
      </c>
      <c r="AT55" s="2">
        <f t="shared" ref="AT55:AT67" si="16">AS55*LOG10(AS55)</f>
        <v>1.4313637641589874</v>
      </c>
      <c r="AU55" s="3">
        <v>41772</v>
      </c>
      <c r="AV55" s="2" t="s">
        <v>76</v>
      </c>
      <c r="AX55" s="2">
        <v>16</v>
      </c>
      <c r="AY55" s="2">
        <f t="shared" ref="AY55:AY69" si="17">AX55*LOG10(AX55)</f>
        <v>19.265919722494797</v>
      </c>
      <c r="AZ55" s="3">
        <v>41774</v>
      </c>
      <c r="BA55" s="2" t="s">
        <v>76</v>
      </c>
      <c r="BC55" s="2">
        <v>4</v>
      </c>
      <c r="BD55" s="2">
        <f t="shared" ref="BD55:BD70" si="18">BC55*LOG10(BC55)</f>
        <v>2.4082399653118496</v>
      </c>
      <c r="BE55" s="2" t="s">
        <v>24</v>
      </c>
      <c r="BG55" s="2">
        <v>4</v>
      </c>
      <c r="BH55" s="2">
        <f t="shared" ref="BH55:BH67" si="19">BG55*LOG10(BG55)</f>
        <v>2.4082399653118496</v>
      </c>
    </row>
    <row r="56" spans="16:60" x14ac:dyDescent="0.15">
      <c r="P56" s="3">
        <v>41820</v>
      </c>
      <c r="Q56" s="7">
        <v>2.6351309999999999</v>
      </c>
      <c r="Y56" s="2" t="s">
        <v>19</v>
      </c>
      <c r="AA56" s="2">
        <v>73</v>
      </c>
      <c r="AB56" s="2">
        <f t="shared" si="12"/>
        <v>136.02256878879328</v>
      </c>
      <c r="AC56" s="2" t="s">
        <v>13</v>
      </c>
      <c r="AD56" s="2" t="s">
        <v>15</v>
      </c>
      <c r="AE56" s="2">
        <v>19</v>
      </c>
      <c r="AF56" s="2">
        <f t="shared" si="13"/>
        <v>24.296318418103748</v>
      </c>
      <c r="AH56" s="2" t="s">
        <v>19</v>
      </c>
      <c r="AJ56" s="2">
        <v>38</v>
      </c>
      <c r="AK56" s="2">
        <f t="shared" si="14"/>
        <v>60.031776671438784</v>
      </c>
      <c r="AL56" s="2" t="s">
        <v>74</v>
      </c>
      <c r="AN56" s="2">
        <v>1</v>
      </c>
      <c r="AO56" s="2">
        <f t="shared" si="15"/>
        <v>0</v>
      </c>
      <c r="AQ56" s="2" t="s">
        <v>16</v>
      </c>
      <c r="AS56" s="2">
        <v>1</v>
      </c>
      <c r="AT56" s="2">
        <f t="shared" si="16"/>
        <v>0</v>
      </c>
      <c r="AV56" s="2" t="s">
        <v>17</v>
      </c>
      <c r="AW56" s="2" t="s">
        <v>18</v>
      </c>
      <c r="AX56" s="2">
        <v>30</v>
      </c>
      <c r="AY56" s="2">
        <f t="shared" si="17"/>
        <v>44.313637641589871</v>
      </c>
      <c r="BA56" s="2" t="s">
        <v>19</v>
      </c>
      <c r="BC56" s="2">
        <v>40</v>
      </c>
      <c r="BD56" s="2">
        <f t="shared" si="18"/>
        <v>64.082399653118486</v>
      </c>
      <c r="BE56" s="2" t="s">
        <v>16</v>
      </c>
      <c r="BG56" s="2">
        <v>1</v>
      </c>
      <c r="BH56" s="2">
        <f t="shared" si="19"/>
        <v>0</v>
      </c>
    </row>
    <row r="57" spans="16:60" x14ac:dyDescent="0.15">
      <c r="Y57" s="2" t="s">
        <v>17</v>
      </c>
      <c r="Z57" s="2" t="s">
        <v>18</v>
      </c>
      <c r="AA57" s="2">
        <v>51</v>
      </c>
      <c r="AB57" s="2">
        <f t="shared" si="12"/>
        <v>87.086078980994756</v>
      </c>
      <c r="AC57" s="2" t="s">
        <v>83</v>
      </c>
      <c r="AE57" s="2">
        <v>1</v>
      </c>
      <c r="AF57" s="2">
        <f t="shared" si="13"/>
        <v>0</v>
      </c>
      <c r="AH57" s="2" t="s">
        <v>13</v>
      </c>
      <c r="AI57" s="2" t="s">
        <v>15</v>
      </c>
      <c r="AJ57" s="2">
        <v>34</v>
      </c>
      <c r="AK57" s="2">
        <f t="shared" si="14"/>
        <v>52.070283179436672</v>
      </c>
      <c r="AL57" s="2" t="s">
        <v>17</v>
      </c>
      <c r="AM57" s="2" t="s">
        <v>18</v>
      </c>
      <c r="AN57" s="2">
        <v>25</v>
      </c>
      <c r="AO57" s="2">
        <f t="shared" si="15"/>
        <v>34.948500216800944</v>
      </c>
      <c r="AQ57" s="2" t="s">
        <v>17</v>
      </c>
      <c r="AR57" s="2" t="s">
        <v>18</v>
      </c>
      <c r="AS57" s="2">
        <v>47</v>
      </c>
      <c r="AT57" s="2">
        <f t="shared" si="16"/>
        <v>78.588599322978723</v>
      </c>
      <c r="AV57" s="2" t="s">
        <v>19</v>
      </c>
      <c r="AX57" s="2">
        <v>31</v>
      </c>
      <c r="AY57" s="2">
        <f t="shared" si="17"/>
        <v>46.232212508862453</v>
      </c>
      <c r="BA57" s="2" t="s">
        <v>17</v>
      </c>
      <c r="BB57" s="2" t="s">
        <v>18</v>
      </c>
      <c r="BC57" s="2">
        <v>43</v>
      </c>
      <c r="BD57" s="2">
        <f t="shared" si="18"/>
        <v>70.239143589922222</v>
      </c>
      <c r="BE57" s="2" t="s">
        <v>22</v>
      </c>
      <c r="BG57" s="2">
        <v>3</v>
      </c>
      <c r="BH57" s="2">
        <f t="shared" si="19"/>
        <v>1.4313637641589874</v>
      </c>
    </row>
    <row r="58" spans="16:60" x14ac:dyDescent="0.15">
      <c r="Q58" s="2" t="s">
        <v>126</v>
      </c>
      <c r="Y58" s="2" t="s">
        <v>47</v>
      </c>
      <c r="Z58" s="2" t="s">
        <v>48</v>
      </c>
      <c r="AA58" s="2">
        <v>33</v>
      </c>
      <c r="AB58" s="2">
        <f t="shared" si="12"/>
        <v>50.110960015970285</v>
      </c>
      <c r="AC58" s="2" t="s">
        <v>19</v>
      </c>
      <c r="AE58" s="2">
        <v>84</v>
      </c>
      <c r="AF58" s="2">
        <f t="shared" si="13"/>
        <v>161.63946002919806</v>
      </c>
      <c r="AH58" s="2" t="s">
        <v>29</v>
      </c>
      <c r="AJ58" s="2">
        <v>4</v>
      </c>
      <c r="AK58" s="2">
        <f t="shared" si="14"/>
        <v>2.4082399653118496</v>
      </c>
      <c r="AL58" s="2" t="s">
        <v>19</v>
      </c>
      <c r="AN58" s="2">
        <v>21</v>
      </c>
      <c r="AO58" s="2">
        <f t="shared" si="15"/>
        <v>27.766605189412306</v>
      </c>
      <c r="AQ58" s="2" t="s">
        <v>19</v>
      </c>
      <c r="AS58" s="2">
        <v>49</v>
      </c>
      <c r="AT58" s="2">
        <f t="shared" si="16"/>
        <v>82.819607921397164</v>
      </c>
      <c r="AV58" s="2" t="s">
        <v>74</v>
      </c>
      <c r="AX58" s="2">
        <v>1</v>
      </c>
      <c r="AY58" s="2">
        <f t="shared" si="17"/>
        <v>0</v>
      </c>
      <c r="BA58" s="2" t="s">
        <v>22</v>
      </c>
      <c r="BC58" s="2">
        <v>13</v>
      </c>
      <c r="BD58" s="2">
        <f t="shared" si="18"/>
        <v>14.481263579988877</v>
      </c>
      <c r="BE58" s="2" t="s">
        <v>19</v>
      </c>
      <c r="BG58" s="2">
        <v>49</v>
      </c>
      <c r="BH58" s="2">
        <f t="shared" si="19"/>
        <v>82.819607921397164</v>
      </c>
    </row>
    <row r="59" spans="16:60" x14ac:dyDescent="0.15">
      <c r="Q59" s="2" t="s">
        <v>53</v>
      </c>
      <c r="R59" s="2" t="s">
        <v>128</v>
      </c>
      <c r="S59" s="2" t="s">
        <v>129</v>
      </c>
      <c r="T59" s="2" t="s">
        <v>130</v>
      </c>
      <c r="Y59" s="2" t="s">
        <v>44</v>
      </c>
      <c r="AA59" s="2">
        <v>2</v>
      </c>
      <c r="AB59" s="2">
        <f t="shared" si="12"/>
        <v>0.6020599913279624</v>
      </c>
      <c r="AC59" s="2" t="s">
        <v>17</v>
      </c>
      <c r="AD59" s="2" t="s">
        <v>18</v>
      </c>
      <c r="AE59" s="2">
        <v>36</v>
      </c>
      <c r="AF59" s="2">
        <f t="shared" si="13"/>
        <v>56.026890027622343</v>
      </c>
      <c r="AH59" s="2" t="s">
        <v>17</v>
      </c>
      <c r="AI59" s="2" t="s">
        <v>18</v>
      </c>
      <c r="AJ59" s="2">
        <v>52</v>
      </c>
      <c r="AK59" s="2">
        <f t="shared" si="14"/>
        <v>89.232173869009557</v>
      </c>
      <c r="AL59" s="2" t="s">
        <v>22</v>
      </c>
      <c r="AN59" s="2">
        <v>1</v>
      </c>
      <c r="AO59" s="2">
        <f t="shared" si="15"/>
        <v>0</v>
      </c>
      <c r="AQ59" s="2" t="s">
        <v>22</v>
      </c>
      <c r="AS59" s="2">
        <v>2</v>
      </c>
      <c r="AT59" s="2">
        <f t="shared" si="16"/>
        <v>0.6020599913279624</v>
      </c>
      <c r="AV59" s="2" t="s">
        <v>13</v>
      </c>
      <c r="AW59" s="2" t="s">
        <v>15</v>
      </c>
      <c r="AX59" s="2">
        <v>1</v>
      </c>
      <c r="AY59" s="2">
        <f t="shared" si="17"/>
        <v>0</v>
      </c>
      <c r="BA59" s="2" t="s">
        <v>13</v>
      </c>
      <c r="BB59" s="2" t="s">
        <v>15</v>
      </c>
      <c r="BC59" s="2">
        <v>24</v>
      </c>
      <c r="BD59" s="2">
        <f t="shared" si="18"/>
        <v>33.125069801078538</v>
      </c>
      <c r="BE59" s="2" t="s">
        <v>17</v>
      </c>
      <c r="BF59" s="2" t="s">
        <v>18</v>
      </c>
      <c r="BG59" s="2">
        <v>29</v>
      </c>
      <c r="BH59" s="2">
        <f t="shared" si="19"/>
        <v>42.409541939069726</v>
      </c>
    </row>
    <row r="60" spans="16:60" x14ac:dyDescent="0.15">
      <c r="P60" s="3">
        <v>41760</v>
      </c>
      <c r="Q60" s="7">
        <v>2.16374827068196</v>
      </c>
      <c r="R60" s="7">
        <v>2.75101984687665</v>
      </c>
      <c r="T60" s="7">
        <v>2.7090367005598499</v>
      </c>
      <c r="Y60" s="2" t="s">
        <v>26</v>
      </c>
      <c r="AA60" s="2">
        <v>12</v>
      </c>
      <c r="AB60" s="2">
        <f t="shared" si="12"/>
        <v>12.950174952571498</v>
      </c>
      <c r="AC60" s="2" t="s">
        <v>22</v>
      </c>
      <c r="AE60" s="2">
        <v>3</v>
      </c>
      <c r="AF60" s="2">
        <f t="shared" si="13"/>
        <v>1.4313637641589874</v>
      </c>
      <c r="AH60" s="2" t="s">
        <v>76</v>
      </c>
      <c r="AJ60" s="2">
        <v>6</v>
      </c>
      <c r="AK60" s="2">
        <f t="shared" si="14"/>
        <v>4.6689075023018614</v>
      </c>
      <c r="AL60" s="2" t="s">
        <v>13</v>
      </c>
      <c r="AM60" s="2" t="s">
        <v>15</v>
      </c>
      <c r="AN60" s="2">
        <v>5</v>
      </c>
      <c r="AO60" s="2">
        <f t="shared" si="15"/>
        <v>3.4948500216800942</v>
      </c>
      <c r="AQ60" s="2" t="s">
        <v>47</v>
      </c>
      <c r="AR60" s="2" t="s">
        <v>48</v>
      </c>
      <c r="AS60" s="2">
        <v>45</v>
      </c>
      <c r="AT60" s="2">
        <f t="shared" si="16"/>
        <v>74.394563119890464</v>
      </c>
      <c r="AV60" s="2" t="s">
        <v>47</v>
      </c>
      <c r="AW60" s="2" t="s">
        <v>48</v>
      </c>
      <c r="AX60" s="2">
        <v>82</v>
      </c>
      <c r="AY60" s="2">
        <f t="shared" si="17"/>
        <v>156.93273589546476</v>
      </c>
      <c r="BA60" s="2" t="s">
        <v>47</v>
      </c>
      <c r="BB60" s="2" t="s">
        <v>48</v>
      </c>
      <c r="BC60" s="2">
        <v>53</v>
      </c>
      <c r="BD60" s="2">
        <f t="shared" si="18"/>
        <v>91.386621088841807</v>
      </c>
      <c r="BE60" s="2" t="s">
        <v>13</v>
      </c>
      <c r="BF60" s="2" t="s">
        <v>15</v>
      </c>
      <c r="BG60" s="2">
        <v>54</v>
      </c>
      <c r="BH60" s="2">
        <f t="shared" si="19"/>
        <v>93.549263030440301</v>
      </c>
    </row>
    <row r="61" spans="16:60" x14ac:dyDescent="0.15">
      <c r="P61" s="3">
        <v>41768</v>
      </c>
      <c r="Q61" s="7">
        <v>2.5874390491125498</v>
      </c>
      <c r="R61" s="7">
        <v>2.7470298558016402</v>
      </c>
      <c r="S61" s="7">
        <v>2.7273742778395902</v>
      </c>
      <c r="T61" s="7">
        <v>2.79757116162145</v>
      </c>
      <c r="Y61" s="2" t="s">
        <v>13</v>
      </c>
      <c r="Z61" s="2" t="s">
        <v>15</v>
      </c>
      <c r="AA61" s="2">
        <v>21</v>
      </c>
      <c r="AB61" s="2">
        <f t="shared" si="12"/>
        <v>27.766605189412306</v>
      </c>
      <c r="AC61" s="2" t="s">
        <v>47</v>
      </c>
      <c r="AD61" s="2" t="s">
        <v>48</v>
      </c>
      <c r="AE61" s="2">
        <v>37</v>
      </c>
      <c r="AF61" s="2">
        <f t="shared" si="13"/>
        <v>58.023463790478814</v>
      </c>
      <c r="AH61" s="2" t="s">
        <v>26</v>
      </c>
      <c r="AJ61" s="2">
        <v>7</v>
      </c>
      <c r="AK61" s="2">
        <f t="shared" si="14"/>
        <v>5.9156862800997976</v>
      </c>
      <c r="AL61" s="2" t="s">
        <v>47</v>
      </c>
      <c r="AM61" s="2" t="s">
        <v>48</v>
      </c>
      <c r="AN61" s="2">
        <v>93</v>
      </c>
      <c r="AO61" s="2">
        <f t="shared" si="15"/>
        <v>183.06891421551595</v>
      </c>
      <c r="AQ61" s="2" t="s">
        <v>47</v>
      </c>
      <c r="AS61" s="2">
        <v>4</v>
      </c>
      <c r="AT61" s="2">
        <f t="shared" si="16"/>
        <v>2.4082399653118496</v>
      </c>
      <c r="AV61" s="2" t="s">
        <v>47</v>
      </c>
      <c r="AX61" s="2">
        <v>5</v>
      </c>
      <c r="AY61" s="2">
        <f t="shared" si="17"/>
        <v>3.4948500216800942</v>
      </c>
      <c r="BA61" s="2" t="s">
        <v>47</v>
      </c>
      <c r="BC61" s="2">
        <v>1</v>
      </c>
      <c r="BD61" s="2">
        <f t="shared" si="18"/>
        <v>0</v>
      </c>
      <c r="BE61" s="2" t="s">
        <v>65</v>
      </c>
      <c r="BF61" s="2" t="s">
        <v>10</v>
      </c>
      <c r="BG61" s="2">
        <v>1</v>
      </c>
      <c r="BH61" s="2">
        <f t="shared" si="19"/>
        <v>0</v>
      </c>
    </row>
    <row r="62" spans="16:60" x14ac:dyDescent="0.15">
      <c r="P62" s="3">
        <v>41772</v>
      </c>
      <c r="Q62" s="7">
        <v>2.50785957229373</v>
      </c>
      <c r="R62" s="7">
        <v>2.4635082238316701</v>
      </c>
      <c r="S62" s="7">
        <v>2.59344118050489</v>
      </c>
      <c r="T62" s="7">
        <v>2.6922280824499198</v>
      </c>
      <c r="Y62" s="2" t="s">
        <v>47</v>
      </c>
      <c r="AA62" s="2">
        <v>5</v>
      </c>
      <c r="AB62" s="2">
        <f t="shared" si="12"/>
        <v>3.4948500216800942</v>
      </c>
      <c r="AC62" s="2" t="s">
        <v>47</v>
      </c>
      <c r="AD62" s="2" t="s">
        <v>64</v>
      </c>
      <c r="AE62" s="2">
        <v>2</v>
      </c>
      <c r="AF62" s="2">
        <f t="shared" si="13"/>
        <v>0.6020599913279624</v>
      </c>
      <c r="AH62" s="2" t="s">
        <v>41</v>
      </c>
      <c r="AJ62" s="2">
        <v>1</v>
      </c>
      <c r="AK62" s="2">
        <f t="shared" si="14"/>
        <v>0</v>
      </c>
      <c r="AL62" s="2" t="s">
        <v>47</v>
      </c>
      <c r="AM62" s="2" t="s">
        <v>64</v>
      </c>
      <c r="AN62" s="2">
        <v>2</v>
      </c>
      <c r="AO62" s="2">
        <f t="shared" si="15"/>
        <v>0.6020599913279624</v>
      </c>
      <c r="AQ62" s="2" t="s">
        <v>26</v>
      </c>
      <c r="AS62" s="2">
        <v>5</v>
      </c>
      <c r="AT62" s="2">
        <f t="shared" si="16"/>
        <v>3.4948500216800942</v>
      </c>
      <c r="AV62" s="2" t="s">
        <v>47</v>
      </c>
      <c r="AW62" s="2" t="s">
        <v>64</v>
      </c>
      <c r="AX62" s="2">
        <v>1</v>
      </c>
      <c r="AY62" s="2">
        <f t="shared" si="17"/>
        <v>0</v>
      </c>
      <c r="BA62" s="2" t="s">
        <v>47</v>
      </c>
      <c r="BB62" s="2" t="s">
        <v>64</v>
      </c>
      <c r="BC62" s="2">
        <v>3</v>
      </c>
      <c r="BD62" s="2">
        <f t="shared" si="18"/>
        <v>1.4313637641589874</v>
      </c>
      <c r="BE62" s="2" t="s">
        <v>47</v>
      </c>
      <c r="BF62" s="2" t="s">
        <v>48</v>
      </c>
      <c r="BG62" s="2">
        <v>52</v>
      </c>
      <c r="BH62" s="2">
        <f t="shared" si="19"/>
        <v>89.232173869009557</v>
      </c>
    </row>
    <row r="63" spans="16:60" x14ac:dyDescent="0.15">
      <c r="P63" s="3">
        <v>41774</v>
      </c>
      <c r="Q63" s="7">
        <v>2.57812630571676</v>
      </c>
      <c r="R63" s="7">
        <v>2.8901140331119</v>
      </c>
      <c r="T63" s="7">
        <v>2.57266271180002</v>
      </c>
      <c r="Y63" s="2" t="s">
        <v>16</v>
      </c>
      <c r="AA63" s="2">
        <v>1</v>
      </c>
      <c r="AB63" s="2">
        <f t="shared" si="12"/>
        <v>0</v>
      </c>
      <c r="AC63" s="2" t="s">
        <v>47</v>
      </c>
      <c r="AE63" s="2">
        <v>8</v>
      </c>
      <c r="AF63" s="2">
        <f t="shared" si="13"/>
        <v>7.2247198959355483</v>
      </c>
      <c r="AH63" s="2" t="s">
        <v>22</v>
      </c>
      <c r="AJ63" s="2">
        <v>3</v>
      </c>
      <c r="AK63" s="2">
        <f t="shared" si="14"/>
        <v>1.4313637641589874</v>
      </c>
      <c r="AL63" s="2" t="s">
        <v>47</v>
      </c>
      <c r="AN63" s="2">
        <v>6</v>
      </c>
      <c r="AO63" s="2">
        <f t="shared" si="15"/>
        <v>4.6689075023018614</v>
      </c>
      <c r="AQ63" s="2" t="s">
        <v>50</v>
      </c>
      <c r="AS63" s="2">
        <v>3</v>
      </c>
      <c r="AT63" s="2">
        <f t="shared" si="16"/>
        <v>1.4313637641589874</v>
      </c>
      <c r="AV63" s="2" t="s">
        <v>26</v>
      </c>
      <c r="AX63" s="2">
        <v>1</v>
      </c>
      <c r="AY63" s="2">
        <f t="shared" si="17"/>
        <v>0</v>
      </c>
      <c r="BA63" s="2" t="s">
        <v>26</v>
      </c>
      <c r="BC63" s="2">
        <v>45</v>
      </c>
      <c r="BD63" s="2">
        <f t="shared" si="18"/>
        <v>74.394563119890464</v>
      </c>
      <c r="BE63" s="2" t="s">
        <v>47</v>
      </c>
      <c r="BF63" s="2" t="s">
        <v>64</v>
      </c>
      <c r="BG63" s="2">
        <v>1</v>
      </c>
      <c r="BH63" s="2">
        <f t="shared" si="19"/>
        <v>0</v>
      </c>
    </row>
    <row r="64" spans="16:60" x14ac:dyDescent="0.15">
      <c r="Y64" s="2" t="s">
        <v>29</v>
      </c>
      <c r="Z64" s="2" t="s">
        <v>67</v>
      </c>
      <c r="AA64" s="2">
        <v>2</v>
      </c>
      <c r="AB64" s="2">
        <f t="shared" si="12"/>
        <v>0.6020599913279624</v>
      </c>
      <c r="AC64" s="2" t="s">
        <v>26</v>
      </c>
      <c r="AE64" s="2">
        <v>12</v>
      </c>
      <c r="AF64" s="2">
        <f t="shared" si="13"/>
        <v>12.950174952571498</v>
      </c>
      <c r="AH64" s="2" t="s">
        <v>47</v>
      </c>
      <c r="AI64" s="2" t="s">
        <v>64</v>
      </c>
      <c r="AJ64" s="2">
        <v>1</v>
      </c>
      <c r="AK64" s="2">
        <f t="shared" si="14"/>
        <v>0</v>
      </c>
      <c r="AL64" s="2" t="s">
        <v>26</v>
      </c>
      <c r="AN64" s="2">
        <v>4</v>
      </c>
      <c r="AO64" s="2">
        <f t="shared" si="15"/>
        <v>2.4082399653118496</v>
      </c>
      <c r="AQ64" s="2" t="s">
        <v>29</v>
      </c>
      <c r="AR64" s="2" t="s">
        <v>33</v>
      </c>
      <c r="AS64" s="2">
        <v>1</v>
      </c>
      <c r="AT64" s="2">
        <f t="shared" si="16"/>
        <v>0</v>
      </c>
      <c r="AV64" s="2" t="s">
        <v>50</v>
      </c>
      <c r="AX64" s="2">
        <v>16</v>
      </c>
      <c r="AY64" s="2">
        <f t="shared" si="17"/>
        <v>19.265919722494797</v>
      </c>
      <c r="BA64" s="2" t="s">
        <v>50</v>
      </c>
      <c r="BC64" s="2">
        <v>2</v>
      </c>
      <c r="BD64" s="2">
        <f t="shared" si="18"/>
        <v>0.6020599913279624</v>
      </c>
      <c r="BE64" s="2" t="s">
        <v>47</v>
      </c>
      <c r="BG64" s="2">
        <v>1</v>
      </c>
      <c r="BH64" s="2">
        <f t="shared" si="19"/>
        <v>0</v>
      </c>
    </row>
    <row r="65" spans="24:60" x14ac:dyDescent="0.15">
      <c r="Y65" s="2" t="s">
        <v>42</v>
      </c>
      <c r="Z65" s="2" t="s">
        <v>43</v>
      </c>
      <c r="AA65" s="2">
        <v>3</v>
      </c>
      <c r="AB65" s="2">
        <f t="shared" si="12"/>
        <v>1.4313637641589874</v>
      </c>
      <c r="AC65" s="2" t="s">
        <v>50</v>
      </c>
      <c r="AE65" s="2">
        <v>5</v>
      </c>
      <c r="AF65" s="2">
        <f t="shared" si="13"/>
        <v>3.4948500216800942</v>
      </c>
      <c r="AH65" s="2" t="s">
        <v>44</v>
      </c>
      <c r="AJ65" s="2">
        <v>1</v>
      </c>
      <c r="AK65" s="2">
        <f t="shared" si="14"/>
        <v>0</v>
      </c>
      <c r="AL65" s="2" t="s">
        <v>50</v>
      </c>
      <c r="AN65" s="2">
        <v>20</v>
      </c>
      <c r="AO65" s="2">
        <f t="shared" si="15"/>
        <v>26.020599913279625</v>
      </c>
      <c r="AQ65" s="2" t="s">
        <v>42</v>
      </c>
      <c r="AR65" s="2" t="s">
        <v>43</v>
      </c>
      <c r="AS65" s="2">
        <v>5</v>
      </c>
      <c r="AT65" s="2">
        <f t="shared" si="16"/>
        <v>3.4948500216800942</v>
      </c>
      <c r="AV65" s="2" t="s">
        <v>29</v>
      </c>
      <c r="AW65" s="2" t="s">
        <v>33</v>
      </c>
      <c r="AX65" s="2">
        <v>2</v>
      </c>
      <c r="AY65" s="2">
        <f t="shared" si="17"/>
        <v>0.6020599913279624</v>
      </c>
      <c r="BA65" s="2" t="s">
        <v>29</v>
      </c>
      <c r="BB65" s="2" t="s">
        <v>67</v>
      </c>
      <c r="BC65" s="2">
        <v>1</v>
      </c>
      <c r="BD65" s="2">
        <f t="shared" si="18"/>
        <v>0</v>
      </c>
      <c r="BE65" s="2" t="s">
        <v>26</v>
      </c>
      <c r="BG65" s="2">
        <v>10</v>
      </c>
      <c r="BH65" s="2">
        <f t="shared" si="19"/>
        <v>10</v>
      </c>
    </row>
    <row r="66" spans="24:60" x14ac:dyDescent="0.15">
      <c r="Y66" s="2" t="s">
        <v>50</v>
      </c>
      <c r="AA66" s="2">
        <v>2</v>
      </c>
      <c r="AB66" s="2">
        <f t="shared" si="12"/>
        <v>0.6020599913279624</v>
      </c>
      <c r="AC66" s="2" t="s">
        <v>41</v>
      </c>
      <c r="AE66" s="2">
        <v>1</v>
      </c>
      <c r="AF66" s="2">
        <f t="shared" si="13"/>
        <v>0</v>
      </c>
      <c r="AH66" s="2" t="s">
        <v>50</v>
      </c>
      <c r="AJ66" s="2">
        <v>6</v>
      </c>
      <c r="AK66" s="2">
        <f t="shared" si="14"/>
        <v>4.6689075023018614</v>
      </c>
      <c r="AL66" s="2" t="s">
        <v>66</v>
      </c>
      <c r="AN66" s="2">
        <v>1</v>
      </c>
      <c r="AO66" s="2">
        <f t="shared" si="15"/>
        <v>0</v>
      </c>
      <c r="AQ66" s="2" t="s">
        <v>44</v>
      </c>
      <c r="AS66" s="2">
        <v>2</v>
      </c>
      <c r="AT66" s="2">
        <f t="shared" si="16"/>
        <v>0.6020599913279624</v>
      </c>
      <c r="AV66" s="2" t="s">
        <v>66</v>
      </c>
      <c r="AX66" s="2">
        <v>2</v>
      </c>
      <c r="AY66" s="2">
        <f t="shared" si="17"/>
        <v>0.6020599913279624</v>
      </c>
      <c r="BA66" s="2" t="s">
        <v>29</v>
      </c>
      <c r="BC66" s="2">
        <v>2</v>
      </c>
      <c r="BD66" s="2">
        <f t="shared" si="18"/>
        <v>0.6020599913279624</v>
      </c>
      <c r="BE66" s="2" t="s">
        <v>50</v>
      </c>
      <c r="BG66" s="2">
        <v>2</v>
      </c>
      <c r="BH66" s="2">
        <f t="shared" si="19"/>
        <v>0.6020599913279624</v>
      </c>
    </row>
    <row r="67" spans="24:60" x14ac:dyDescent="0.15">
      <c r="Y67" s="2" t="s">
        <v>29</v>
      </c>
      <c r="Z67" s="2" t="s">
        <v>33</v>
      </c>
      <c r="AA67" s="2">
        <v>2</v>
      </c>
      <c r="AB67" s="2">
        <f t="shared" si="12"/>
        <v>0.6020599913279624</v>
      </c>
      <c r="AC67" s="2" t="s">
        <v>29</v>
      </c>
      <c r="AD67" s="2" t="s">
        <v>34</v>
      </c>
      <c r="AE67" s="2">
        <v>1</v>
      </c>
      <c r="AF67" s="2">
        <f t="shared" si="13"/>
        <v>0</v>
      </c>
      <c r="AH67" s="2" t="s">
        <v>46</v>
      </c>
      <c r="AJ67" s="2">
        <v>1</v>
      </c>
      <c r="AK67" s="2">
        <f t="shared" si="14"/>
        <v>0</v>
      </c>
      <c r="AL67" s="2" t="s">
        <v>42</v>
      </c>
      <c r="AM67" s="2" t="s">
        <v>43</v>
      </c>
      <c r="AN67" s="2">
        <v>8</v>
      </c>
      <c r="AO67" s="2">
        <f t="shared" si="15"/>
        <v>7.2247198959355483</v>
      </c>
      <c r="AQ67" s="2" t="s">
        <v>36</v>
      </c>
      <c r="AR67" s="2" t="s">
        <v>40</v>
      </c>
      <c r="AS67" s="2">
        <v>1</v>
      </c>
      <c r="AT67" s="2">
        <f t="shared" si="16"/>
        <v>0</v>
      </c>
      <c r="AV67" s="2" t="s">
        <v>36</v>
      </c>
      <c r="AW67" s="2" t="s">
        <v>39</v>
      </c>
      <c r="AX67" s="2">
        <v>1</v>
      </c>
      <c r="AY67" s="2">
        <f t="shared" si="17"/>
        <v>0</v>
      </c>
      <c r="BA67" s="2" t="s">
        <v>36</v>
      </c>
      <c r="BC67" s="2">
        <v>1</v>
      </c>
      <c r="BD67" s="2">
        <f t="shared" si="18"/>
        <v>0</v>
      </c>
      <c r="BE67" s="2" t="s">
        <v>29</v>
      </c>
      <c r="BF67" s="2" t="s">
        <v>67</v>
      </c>
      <c r="BG67" s="2">
        <v>2</v>
      </c>
      <c r="BH67" s="2">
        <f t="shared" si="19"/>
        <v>0.6020599913279624</v>
      </c>
    </row>
    <row r="68" spans="24:60" x14ac:dyDescent="0.15">
      <c r="Y68" s="2" t="s">
        <v>76</v>
      </c>
      <c r="AA68" s="2">
        <v>1</v>
      </c>
      <c r="AB68" s="2">
        <f t="shared" si="12"/>
        <v>0</v>
      </c>
      <c r="AC68" s="2" t="s">
        <v>66</v>
      </c>
      <c r="AE68" s="2">
        <v>1</v>
      </c>
      <c r="AF68" s="2">
        <f t="shared" si="13"/>
        <v>0</v>
      </c>
      <c r="AH68" s="2" t="s">
        <v>6</v>
      </c>
      <c r="AJ68" s="2">
        <v>1</v>
      </c>
      <c r="AK68" s="2">
        <f t="shared" si="14"/>
        <v>0</v>
      </c>
      <c r="AL68" s="2" t="s">
        <v>29</v>
      </c>
      <c r="AM68" s="2" t="s">
        <v>32</v>
      </c>
      <c r="AN68" s="2">
        <v>4</v>
      </c>
      <c r="AO68" s="2">
        <f t="shared" si="15"/>
        <v>2.4082399653118496</v>
      </c>
      <c r="AQ68" s="2" t="s">
        <v>160</v>
      </c>
      <c r="AS68" s="2">
        <f>SUM(AS55:AS67)</f>
        <v>168</v>
      </c>
      <c r="AT68" s="2">
        <f>SUM(AT55:AT67)</f>
        <v>249.2675578839123</v>
      </c>
      <c r="AV68" s="2" t="s">
        <v>36</v>
      </c>
      <c r="AW68" s="2" t="s">
        <v>40</v>
      </c>
      <c r="AX68" s="2">
        <v>6</v>
      </c>
      <c r="AY68" s="2">
        <f t="shared" si="17"/>
        <v>4.6689075023018614</v>
      </c>
      <c r="BA68" s="2" t="s">
        <v>42</v>
      </c>
      <c r="BB68" s="2" t="s">
        <v>43</v>
      </c>
      <c r="BC68" s="2">
        <v>1</v>
      </c>
      <c r="BD68" s="2">
        <f t="shared" si="18"/>
        <v>0</v>
      </c>
      <c r="BE68" s="2" t="s">
        <v>160</v>
      </c>
      <c r="BG68" s="2">
        <f>SUM(BG55:BG67)</f>
        <v>209</v>
      </c>
      <c r="BH68" s="2">
        <f>SUM(BH55:BH67)</f>
        <v>323.05431047204354</v>
      </c>
    </row>
    <row r="69" spans="24:60" x14ac:dyDescent="0.15">
      <c r="Y69" s="2" t="s">
        <v>36</v>
      </c>
      <c r="Z69" s="2" t="s">
        <v>39</v>
      </c>
      <c r="AA69" s="2">
        <v>2</v>
      </c>
      <c r="AB69" s="2">
        <f t="shared" si="12"/>
        <v>0.6020599913279624</v>
      </c>
      <c r="AC69" s="2" t="s">
        <v>42</v>
      </c>
      <c r="AD69" s="2" t="s">
        <v>43</v>
      </c>
      <c r="AE69" s="2">
        <v>1</v>
      </c>
      <c r="AF69" s="2">
        <f t="shared" si="13"/>
        <v>0</v>
      </c>
      <c r="AH69" s="2" t="s">
        <v>146</v>
      </c>
      <c r="AJ69" s="2">
        <f>SUM(AJ55:AJ68)</f>
        <v>200</v>
      </c>
      <c r="AK69" s="2">
        <f>SUM(AK55:AK68)</f>
        <v>294.82190185394978</v>
      </c>
      <c r="AL69" s="2" t="s">
        <v>29</v>
      </c>
      <c r="AN69" s="2">
        <v>1</v>
      </c>
      <c r="AO69" s="2">
        <f t="shared" si="15"/>
        <v>0</v>
      </c>
      <c r="AQ69" s="2" t="s">
        <v>161</v>
      </c>
      <c r="AS69" s="2">
        <f>COUNT(AS55:AS67)</f>
        <v>13</v>
      </c>
      <c r="AV69" s="2" t="s">
        <v>42</v>
      </c>
      <c r="AW69" s="2" t="s">
        <v>43</v>
      </c>
      <c r="AX69" s="2">
        <v>6</v>
      </c>
      <c r="AY69" s="2">
        <f t="shared" si="17"/>
        <v>4.6689075023018614</v>
      </c>
      <c r="BA69" s="2" t="s">
        <v>28</v>
      </c>
      <c r="BC69" s="2">
        <v>1</v>
      </c>
      <c r="BD69" s="2">
        <f t="shared" si="18"/>
        <v>0</v>
      </c>
      <c r="BE69" s="2" t="s">
        <v>161</v>
      </c>
    </row>
    <row r="70" spans="24:60" x14ac:dyDescent="0.15">
      <c r="Y70" s="2" t="s">
        <v>36</v>
      </c>
      <c r="Z70" s="2" t="s">
        <v>38</v>
      </c>
      <c r="AA70" s="2">
        <v>1</v>
      </c>
      <c r="AB70" s="2">
        <f t="shared" si="12"/>
        <v>0</v>
      </c>
      <c r="AC70" s="2" t="s">
        <v>44</v>
      </c>
      <c r="AE70" s="2">
        <v>1</v>
      </c>
      <c r="AF70" s="2">
        <f t="shared" si="13"/>
        <v>0</v>
      </c>
      <c r="AH70" s="2" t="s">
        <v>61</v>
      </c>
      <c r="AJ70" s="2">
        <f>COUNT(AJ55:AJ68)</f>
        <v>14</v>
      </c>
      <c r="AL70" s="2" t="s">
        <v>29</v>
      </c>
      <c r="AM70" s="2" t="s">
        <v>33</v>
      </c>
      <c r="AN70" s="2">
        <v>3</v>
      </c>
      <c r="AO70" s="2">
        <f t="shared" si="15"/>
        <v>1.4313637641589874</v>
      </c>
      <c r="AQ70" s="2" t="s">
        <v>147</v>
      </c>
      <c r="AS70" s="2">
        <f>AS68*LOG10(AS68)</f>
        <v>373.85195932994498</v>
      </c>
      <c r="AV70" s="2" t="s">
        <v>160</v>
      </c>
      <c r="AX70" s="2">
        <f>SUM(AX55:AX69)</f>
        <v>201</v>
      </c>
      <c r="AY70" s="2">
        <f>SUM(AY55:AY69)</f>
        <v>300.04721049984641</v>
      </c>
      <c r="BA70" s="2" t="s">
        <v>25</v>
      </c>
      <c r="BC70" s="2">
        <v>1</v>
      </c>
      <c r="BD70" s="2">
        <f t="shared" si="18"/>
        <v>0</v>
      </c>
      <c r="BE70" s="2" t="s">
        <v>147</v>
      </c>
      <c r="BG70" s="2">
        <f>BG68*LOG10(BG68)</f>
        <v>484.9105737972103</v>
      </c>
    </row>
    <row r="71" spans="24:60" x14ac:dyDescent="0.15">
      <c r="Y71" s="2" t="s">
        <v>146</v>
      </c>
      <c r="AA71" s="2">
        <f>SUM(AA55:AA70)</f>
        <v>216</v>
      </c>
      <c r="AB71" s="2">
        <f>SUM(AB55:AB70)</f>
        <v>325.36775169190111</v>
      </c>
      <c r="AC71" s="2" t="s">
        <v>160</v>
      </c>
      <c r="AD71" s="2">
        <f>SUM(AE55:AE70)</f>
        <v>216</v>
      </c>
      <c r="AF71" s="2">
        <f>SUM(AF55:AF70)</f>
        <v>328.09754085638895</v>
      </c>
      <c r="AH71" s="2" t="s">
        <v>147</v>
      </c>
      <c r="AJ71" s="2">
        <f>AJ69*LOG10(AJ69)</f>
        <v>460.20599913279625</v>
      </c>
      <c r="AL71" s="2" t="s">
        <v>36</v>
      </c>
      <c r="AM71" s="2" t="s">
        <v>40</v>
      </c>
      <c r="AN71" s="2">
        <v>1</v>
      </c>
      <c r="AO71" s="2">
        <f t="shared" si="15"/>
        <v>0</v>
      </c>
      <c r="AQ71" s="2" t="s">
        <v>148</v>
      </c>
      <c r="AS71" s="7">
        <f>(3.322/AS68)*(AS70-AT68)</f>
        <v>2.4635082238316697</v>
      </c>
      <c r="AV71" s="2" t="s">
        <v>161</v>
      </c>
      <c r="AX71" s="2">
        <f>COUNT(AX55:AX69)</f>
        <v>15</v>
      </c>
      <c r="BA71" s="2" t="s">
        <v>160</v>
      </c>
      <c r="BC71" s="2">
        <f>SUM(BC55:BC70)</f>
        <v>235</v>
      </c>
      <c r="BD71" s="2">
        <f>SUM(BD55:BD70)</f>
        <v>352.75278454496714</v>
      </c>
      <c r="BE71" s="2" t="s">
        <v>148</v>
      </c>
      <c r="BG71" s="7">
        <f>(3.322/BG68)*(BG70-BH68)</f>
        <v>2.5726627118000192</v>
      </c>
    </row>
    <row r="72" spans="24:60" x14ac:dyDescent="0.15">
      <c r="Y72" s="2" t="s">
        <v>61</v>
      </c>
      <c r="AA72" s="2">
        <f>COUNT(AA55:AA70)</f>
        <v>16</v>
      </c>
      <c r="AC72" s="2" t="s">
        <v>161</v>
      </c>
      <c r="AD72" s="2">
        <f>COUNT(AE55:AE70)</f>
        <v>16</v>
      </c>
      <c r="AH72" s="2" t="s">
        <v>148</v>
      </c>
      <c r="AJ72" s="7">
        <f>(3.322/AJ69)*(AJ71-AK69)</f>
        <v>2.7470298558016397</v>
      </c>
      <c r="AL72" s="2" t="s">
        <v>160</v>
      </c>
      <c r="AN72" s="2">
        <f>SUM(AN55:AN71)</f>
        <v>208</v>
      </c>
      <c r="AO72" s="2">
        <f>SUM(AO55:AO71)</f>
        <v>306.99317559360844</v>
      </c>
      <c r="AV72" s="2" t="s">
        <v>147</v>
      </c>
      <c r="AX72" s="2">
        <f>AX70*LOG10(AX70)</f>
        <v>462.94240754151832</v>
      </c>
      <c r="BA72" s="2" t="s">
        <v>161</v>
      </c>
    </row>
    <row r="73" spans="24:60" x14ac:dyDescent="0.15">
      <c r="Y73" s="2" t="s">
        <v>147</v>
      </c>
      <c r="AA73" s="2">
        <f>AA71*LOG10(AA71)</f>
        <v>504.24201024860105</v>
      </c>
      <c r="AC73" s="2" t="s">
        <v>162</v>
      </c>
      <c r="AD73" s="2">
        <f>AD71*LOG10(AD71)</f>
        <v>504.24201024860105</v>
      </c>
      <c r="AL73" s="2" t="s">
        <v>161</v>
      </c>
      <c r="AN73" s="2">
        <f>COUNT(AN55:AN71)</f>
        <v>17</v>
      </c>
      <c r="AV73" s="2" t="s">
        <v>148</v>
      </c>
      <c r="AX73" s="7">
        <f>(3.322/AX70)*(AX72-AY70)</f>
        <v>2.6922280824499207</v>
      </c>
      <c r="BA73" s="2" t="s">
        <v>147</v>
      </c>
      <c r="BC73" s="2">
        <f>BC71*LOG10(BC71)</f>
        <v>557.20094763385805</v>
      </c>
    </row>
    <row r="74" spans="24:60" x14ac:dyDescent="0.15">
      <c r="Y74" s="2" t="s">
        <v>148</v>
      </c>
      <c r="AA74" s="7">
        <f>(3.322/AA71)*(AA73-AB71)</f>
        <v>2.751019846876654</v>
      </c>
      <c r="AC74" s="2" t="s">
        <v>148</v>
      </c>
      <c r="AD74" s="7">
        <f>(3.322/AD71)*(AD73-AF71)</f>
        <v>2.7090367005598548</v>
      </c>
      <c r="AL74" s="2" t="s">
        <v>147</v>
      </c>
      <c r="AN74" s="2">
        <f>AN72*LOG10(AN72)</f>
        <v>482.15717367225437</v>
      </c>
      <c r="BA74" s="2" t="s">
        <v>148</v>
      </c>
      <c r="BC74" s="7">
        <f>(3.322/BC71)*(BC73-BD71)</f>
        <v>2.8901140331118964</v>
      </c>
    </row>
    <row r="75" spans="24:60" x14ac:dyDescent="0.15">
      <c r="AL75" s="2" t="s">
        <v>148</v>
      </c>
      <c r="AN75" s="7">
        <f>(3.322/AN72)*(AN74-AO72)</f>
        <v>2.7975711616214509</v>
      </c>
    </row>
    <row r="76" spans="24:60" x14ac:dyDescent="0.15">
      <c r="Y76" s="2" t="s">
        <v>70</v>
      </c>
      <c r="AB76" s="2" t="s">
        <v>150</v>
      </c>
      <c r="AH76" s="2" t="s">
        <v>55</v>
      </c>
      <c r="AK76" s="2" t="s">
        <v>150</v>
      </c>
      <c r="AQ76" s="2" t="s">
        <v>70</v>
      </c>
      <c r="AT76" s="2" t="s">
        <v>150</v>
      </c>
      <c r="BA76" s="2" t="s">
        <v>55</v>
      </c>
      <c r="BD76" s="2" t="s">
        <v>150</v>
      </c>
    </row>
    <row r="77" spans="24:60" x14ac:dyDescent="0.15">
      <c r="X77" s="3">
        <v>41760</v>
      </c>
      <c r="Y77" s="2" t="s">
        <v>85</v>
      </c>
      <c r="AA77" s="2">
        <v>95</v>
      </c>
      <c r="AB77" s="2">
        <f t="shared" ref="AB77:AB86" si="20">AA77*LOG10(AA77)</f>
        <v>187.88374250244055</v>
      </c>
      <c r="AG77" s="3">
        <v>41768</v>
      </c>
      <c r="AH77" s="2" t="s">
        <v>76</v>
      </c>
      <c r="AJ77" s="2">
        <v>3</v>
      </c>
      <c r="AK77" s="2">
        <f t="shared" ref="AK77:AK88" si="21">AJ77*LOG10(AJ77)</f>
        <v>1.4313637641589874</v>
      </c>
      <c r="AP77" s="3">
        <v>41772</v>
      </c>
      <c r="AQ77" s="2" t="s">
        <v>24</v>
      </c>
      <c r="AS77" s="2">
        <v>2</v>
      </c>
      <c r="AT77" s="2">
        <f t="shared" ref="AT77:AT88" si="22">AS77*LOG10(AS77)</f>
        <v>0.6020599913279624</v>
      </c>
      <c r="AZ77" s="3">
        <v>41774</v>
      </c>
      <c r="BA77" s="2" t="s">
        <v>76</v>
      </c>
      <c r="BC77" s="2">
        <v>6</v>
      </c>
      <c r="BD77" s="2">
        <f t="shared" ref="BD77:BD89" si="23">BC77*LOG10(BC77)</f>
        <v>4.6689075023018614</v>
      </c>
    </row>
    <row r="78" spans="24:60" x14ac:dyDescent="0.15">
      <c r="Y78" s="2" t="s">
        <v>17</v>
      </c>
      <c r="Z78" s="2" t="s">
        <v>18</v>
      </c>
      <c r="AA78" s="2">
        <v>58</v>
      </c>
      <c r="AB78" s="2">
        <f t="shared" si="20"/>
        <v>102.27882362665036</v>
      </c>
      <c r="AH78" s="2" t="s">
        <v>13</v>
      </c>
      <c r="AI78" s="2" t="s">
        <v>15</v>
      </c>
      <c r="AJ78" s="2">
        <v>73</v>
      </c>
      <c r="AK78" s="2">
        <f t="shared" si="21"/>
        <v>136.02256878879328</v>
      </c>
      <c r="AQ78" s="2" t="s">
        <v>13</v>
      </c>
      <c r="AR78" s="2" t="s">
        <v>15</v>
      </c>
      <c r="AS78" s="2">
        <v>43</v>
      </c>
      <c r="AT78" s="2">
        <f t="shared" si="22"/>
        <v>70.239143589922222</v>
      </c>
      <c r="BA78" s="2" t="s">
        <v>13</v>
      </c>
      <c r="BB78" s="2" t="s">
        <v>15</v>
      </c>
      <c r="BC78" s="2">
        <v>100</v>
      </c>
      <c r="BD78" s="2">
        <f t="shared" si="23"/>
        <v>200</v>
      </c>
    </row>
    <row r="79" spans="24:60" x14ac:dyDescent="0.15">
      <c r="Y79" s="2" t="s">
        <v>22</v>
      </c>
      <c r="AA79" s="2">
        <v>10</v>
      </c>
      <c r="AB79" s="2">
        <f t="shared" si="20"/>
        <v>10</v>
      </c>
      <c r="AH79" s="2" t="s">
        <v>17</v>
      </c>
      <c r="AI79" s="2" t="s">
        <v>18</v>
      </c>
      <c r="AJ79" s="2">
        <v>29</v>
      </c>
      <c r="AK79" s="2">
        <f t="shared" si="21"/>
        <v>42.409541939069726</v>
      </c>
      <c r="AQ79" s="2" t="s">
        <v>17</v>
      </c>
      <c r="AR79" s="2" t="s">
        <v>18</v>
      </c>
      <c r="AS79" s="2">
        <v>34</v>
      </c>
      <c r="AT79" s="2">
        <f t="shared" si="22"/>
        <v>52.070283179436672</v>
      </c>
      <c r="BA79" s="2" t="s">
        <v>47</v>
      </c>
      <c r="BB79" s="2" t="s">
        <v>48</v>
      </c>
      <c r="BC79" s="2">
        <v>40</v>
      </c>
      <c r="BD79" s="2">
        <f t="shared" si="23"/>
        <v>64.082399653118486</v>
      </c>
    </row>
    <row r="80" spans="24:60" x14ac:dyDescent="0.15">
      <c r="Y80" s="2" t="s">
        <v>47</v>
      </c>
      <c r="Z80" s="2" t="s">
        <v>48</v>
      </c>
      <c r="AA80" s="2">
        <v>10</v>
      </c>
      <c r="AB80" s="2">
        <f t="shared" si="20"/>
        <v>10</v>
      </c>
      <c r="AH80" s="2" t="s">
        <v>23</v>
      </c>
      <c r="AJ80" s="2">
        <v>17</v>
      </c>
      <c r="AK80" s="2">
        <f t="shared" si="21"/>
        <v>20.917631663430654</v>
      </c>
      <c r="AQ80" s="2" t="s">
        <v>22</v>
      </c>
      <c r="AS80" s="2">
        <v>1</v>
      </c>
      <c r="AT80" s="2">
        <f t="shared" si="22"/>
        <v>0</v>
      </c>
      <c r="BA80" s="2" t="s">
        <v>47</v>
      </c>
      <c r="BB80" s="2" t="s">
        <v>64</v>
      </c>
      <c r="BC80" s="2">
        <v>5</v>
      </c>
      <c r="BD80" s="2">
        <f t="shared" si="23"/>
        <v>3.4948500216800942</v>
      </c>
    </row>
    <row r="81" spans="25:56" x14ac:dyDescent="0.15">
      <c r="Y81" s="2" t="s">
        <v>47</v>
      </c>
      <c r="AA81" s="2">
        <v>1</v>
      </c>
      <c r="AB81" s="2">
        <f t="shared" si="20"/>
        <v>0</v>
      </c>
      <c r="AH81" s="2" t="s">
        <v>22</v>
      </c>
      <c r="AJ81" s="2">
        <v>4</v>
      </c>
      <c r="AK81" s="2">
        <f t="shared" si="21"/>
        <v>2.4082399653118496</v>
      </c>
      <c r="AQ81" s="2" t="s">
        <v>23</v>
      </c>
      <c r="AS81" s="2">
        <v>73</v>
      </c>
      <c r="AT81" s="2">
        <f t="shared" si="22"/>
        <v>136.02256878879328</v>
      </c>
      <c r="BA81" s="2" t="s">
        <v>47</v>
      </c>
      <c r="BC81" s="2">
        <v>6</v>
      </c>
      <c r="BD81" s="2">
        <f t="shared" si="23"/>
        <v>4.6689075023018614</v>
      </c>
    </row>
    <row r="82" spans="25:56" x14ac:dyDescent="0.15">
      <c r="Y82" s="2" t="s">
        <v>24</v>
      </c>
      <c r="AA82" s="2">
        <v>9</v>
      </c>
      <c r="AB82" s="2">
        <f t="shared" si="20"/>
        <v>8.5881825849539233</v>
      </c>
      <c r="AH82" s="2" t="s">
        <v>47</v>
      </c>
      <c r="AI82" s="2" t="s">
        <v>48</v>
      </c>
      <c r="AJ82" s="2">
        <v>49</v>
      </c>
      <c r="AK82" s="2">
        <f t="shared" si="21"/>
        <v>82.819607921397164</v>
      </c>
      <c r="AQ82" s="2" t="s">
        <v>47</v>
      </c>
      <c r="AR82" s="2" t="s">
        <v>48</v>
      </c>
      <c r="AS82" s="2">
        <v>48</v>
      </c>
      <c r="AT82" s="2">
        <f t="shared" si="22"/>
        <v>80.699579394028177</v>
      </c>
      <c r="BA82" s="2" t="s">
        <v>19</v>
      </c>
      <c r="BC82" s="2">
        <v>21</v>
      </c>
      <c r="BD82" s="2">
        <f t="shared" si="23"/>
        <v>27.766605189412306</v>
      </c>
    </row>
    <row r="83" spans="25:56" x14ac:dyDescent="0.15">
      <c r="Y83" s="2" t="s">
        <v>26</v>
      </c>
      <c r="AA83" s="2">
        <v>5</v>
      </c>
      <c r="AB83" s="2">
        <f t="shared" si="20"/>
        <v>3.4948500216800942</v>
      </c>
      <c r="AH83" s="2" t="s">
        <v>47</v>
      </c>
      <c r="AI83" s="2" t="s">
        <v>64</v>
      </c>
      <c r="AJ83" s="2">
        <v>1</v>
      </c>
      <c r="AK83" s="2">
        <f t="shared" si="21"/>
        <v>0</v>
      </c>
      <c r="AQ83" s="2" t="s">
        <v>47</v>
      </c>
      <c r="AR83" s="2" t="s">
        <v>64</v>
      </c>
      <c r="AS83" s="2">
        <v>2</v>
      </c>
      <c r="AT83" s="2">
        <f t="shared" si="22"/>
        <v>0.6020599913279624</v>
      </c>
      <c r="BA83" s="2" t="s">
        <v>17</v>
      </c>
      <c r="BB83" s="2" t="s">
        <v>18</v>
      </c>
      <c r="BC83" s="2">
        <v>32</v>
      </c>
      <c r="BD83" s="2">
        <f t="shared" si="23"/>
        <v>48.164799306236993</v>
      </c>
    </row>
    <row r="84" spans="25:56" x14ac:dyDescent="0.15">
      <c r="Y84" s="2" t="s">
        <v>13</v>
      </c>
      <c r="AA84" s="2">
        <v>14</v>
      </c>
      <c r="AB84" s="2">
        <f t="shared" si="20"/>
        <v>16.045792499495331</v>
      </c>
      <c r="AH84" s="2" t="s">
        <v>47</v>
      </c>
      <c r="AJ84" s="2">
        <v>1</v>
      </c>
      <c r="AK84" s="2">
        <f t="shared" si="21"/>
        <v>0</v>
      </c>
      <c r="AQ84" s="2" t="s">
        <v>47</v>
      </c>
      <c r="AS84" s="2">
        <v>2</v>
      </c>
      <c r="AT84" s="2">
        <f t="shared" si="22"/>
        <v>0.6020599913279624</v>
      </c>
      <c r="BA84" s="2" t="s">
        <v>22</v>
      </c>
      <c r="BC84" s="2">
        <v>2</v>
      </c>
      <c r="BD84" s="2">
        <f t="shared" si="23"/>
        <v>0.6020599913279624</v>
      </c>
    </row>
    <row r="85" spans="25:56" x14ac:dyDescent="0.15">
      <c r="Y85" s="2" t="s">
        <v>6</v>
      </c>
      <c r="AA85" s="2">
        <v>1</v>
      </c>
      <c r="AB85" s="2">
        <f t="shared" si="20"/>
        <v>0</v>
      </c>
      <c r="AH85" s="2" t="s">
        <v>26</v>
      </c>
      <c r="AJ85" s="2">
        <v>10</v>
      </c>
      <c r="AK85" s="2">
        <f t="shared" si="21"/>
        <v>10</v>
      </c>
      <c r="AQ85" s="2" t="s">
        <v>26</v>
      </c>
      <c r="AS85" s="2">
        <v>13</v>
      </c>
      <c r="AT85" s="2">
        <f t="shared" si="22"/>
        <v>14.481263579988877</v>
      </c>
      <c r="BA85" s="2" t="s">
        <v>50</v>
      </c>
      <c r="BC85" s="2">
        <v>3</v>
      </c>
      <c r="BD85" s="2">
        <f t="shared" si="23"/>
        <v>1.4313637641589874</v>
      </c>
    </row>
    <row r="86" spans="25:56" x14ac:dyDescent="0.15">
      <c r="Y86" s="2" t="s">
        <v>50</v>
      </c>
      <c r="AA86" s="2">
        <v>1</v>
      </c>
      <c r="AB86" s="2">
        <f t="shared" si="20"/>
        <v>0</v>
      </c>
      <c r="AH86" s="2" t="s">
        <v>29</v>
      </c>
      <c r="AJ86" s="2">
        <v>5</v>
      </c>
      <c r="AK86" s="2">
        <f t="shared" si="21"/>
        <v>3.4948500216800942</v>
      </c>
      <c r="AQ86" s="2" t="s">
        <v>29</v>
      </c>
      <c r="AS86" s="2">
        <v>2</v>
      </c>
      <c r="AT86" s="2">
        <f t="shared" si="22"/>
        <v>0.6020599913279624</v>
      </c>
      <c r="BA86" s="2" t="s">
        <v>26</v>
      </c>
      <c r="BC86" s="2">
        <v>11</v>
      </c>
      <c r="BD86" s="2">
        <f t="shared" si="23"/>
        <v>11.455319536740477</v>
      </c>
    </row>
    <row r="87" spans="25:56" x14ac:dyDescent="0.15">
      <c r="Y87" s="2" t="s">
        <v>160</v>
      </c>
      <c r="AA87" s="2">
        <f>SUM(AA77:AA86)</f>
        <v>204</v>
      </c>
      <c r="AB87" s="2">
        <f>SUM(AB77:AB86)</f>
        <v>338.29139123522032</v>
      </c>
      <c r="AH87" s="2" t="s">
        <v>44</v>
      </c>
      <c r="AJ87" s="2">
        <v>5</v>
      </c>
      <c r="AK87" s="2">
        <f t="shared" si="21"/>
        <v>3.4948500216800942</v>
      </c>
      <c r="AQ87" s="2" t="s">
        <v>44</v>
      </c>
      <c r="AS87" s="2">
        <v>3</v>
      </c>
      <c r="AT87" s="2">
        <f t="shared" si="22"/>
        <v>1.4313637641589874</v>
      </c>
      <c r="BA87" s="2" t="s">
        <v>29</v>
      </c>
      <c r="BC87" s="2">
        <v>4</v>
      </c>
      <c r="BD87" s="2">
        <f t="shared" si="23"/>
        <v>2.4082399653118496</v>
      </c>
    </row>
    <row r="88" spans="25:56" x14ac:dyDescent="0.15">
      <c r="Y88" s="2" t="s">
        <v>161</v>
      </c>
      <c r="AH88" s="2" t="s">
        <v>50</v>
      </c>
      <c r="AJ88" s="2">
        <v>3</v>
      </c>
      <c r="AK88" s="2">
        <f t="shared" si="21"/>
        <v>1.4313637641589874</v>
      </c>
      <c r="AQ88" s="2" t="s">
        <v>50</v>
      </c>
      <c r="AS88" s="2">
        <v>1</v>
      </c>
      <c r="AT88" s="2">
        <f t="shared" si="22"/>
        <v>0</v>
      </c>
      <c r="BA88" s="2" t="s">
        <v>36</v>
      </c>
      <c r="BC88" s="2">
        <v>1</v>
      </c>
      <c r="BD88" s="2">
        <f t="shared" si="23"/>
        <v>0</v>
      </c>
    </row>
    <row r="89" spans="25:56" x14ac:dyDescent="0.15">
      <c r="Y89" s="2" t="s">
        <v>147</v>
      </c>
      <c r="AA89" s="2">
        <f>AA87*LOG10(AA87)</f>
        <v>471.16455415488338</v>
      </c>
      <c r="AH89" s="2" t="s">
        <v>160</v>
      </c>
      <c r="AJ89" s="2">
        <f>SUM(AJ77:AJ88)</f>
        <v>200</v>
      </c>
      <c r="AK89" s="2">
        <f>SUM(AK77:AK88)</f>
        <v>304.43001784968089</v>
      </c>
      <c r="AQ89" s="2" t="s">
        <v>146</v>
      </c>
      <c r="AS89" s="2">
        <f>SUM(AS77:AS88)</f>
        <v>224</v>
      </c>
      <c r="AT89" s="2">
        <f>SUM(AT77:AT88)</f>
        <v>357.35244226164008</v>
      </c>
      <c r="BA89" s="2" t="s">
        <v>44</v>
      </c>
      <c r="BC89" s="2">
        <v>1</v>
      </c>
      <c r="BD89" s="2">
        <f t="shared" si="23"/>
        <v>0</v>
      </c>
    </row>
    <row r="90" spans="25:56" x14ac:dyDescent="0.15">
      <c r="Y90" s="2" t="s">
        <v>148</v>
      </c>
      <c r="AA90" s="7">
        <f>(3.322/AA87)*(AA89-AB87)</f>
        <v>2.1637482706819644</v>
      </c>
      <c r="AH90" s="2" t="s">
        <v>61</v>
      </c>
      <c r="AQ90" s="2" t="s">
        <v>163</v>
      </c>
      <c r="BA90" s="2" t="s">
        <v>146</v>
      </c>
      <c r="BC90" s="2">
        <f>SUM(BC77:BC89)</f>
        <v>232</v>
      </c>
      <c r="BD90" s="2">
        <f>SUM(BD77:BD89)</f>
        <v>368.74345243259091</v>
      </c>
    </row>
    <row r="91" spans="25:56" x14ac:dyDescent="0.15">
      <c r="AH91" s="2" t="s">
        <v>147</v>
      </c>
      <c r="AJ91" s="2">
        <f>AJ89*LOG10(AJ89)</f>
        <v>460.20599913279625</v>
      </c>
      <c r="AQ91" s="2" t="s">
        <v>147</v>
      </c>
      <c r="AS91" s="2">
        <f>AS89*LOG10(AS89)</f>
        <v>526.45555610685244</v>
      </c>
      <c r="BA91" s="2" t="s">
        <v>147</v>
      </c>
      <c r="BC91" s="2">
        <f>BC90*LOG10(BC90)</f>
        <v>548.79321249468876</v>
      </c>
    </row>
    <row r="92" spans="25:56" x14ac:dyDescent="0.15">
      <c r="AH92" s="2" t="s">
        <v>148</v>
      </c>
      <c r="AJ92" s="7">
        <f>(3.322/AJ89)*(AJ91-AK89)</f>
        <v>2.5874390491125459</v>
      </c>
      <c r="AQ92" s="2" t="s">
        <v>148</v>
      </c>
      <c r="AS92" s="7">
        <f>(3.322/AS89)*(AS91-AT89)</f>
        <v>2.50785957229373</v>
      </c>
      <c r="BA92" s="2" t="s">
        <v>148</v>
      </c>
      <c r="BC92" s="7">
        <f>(3.322/BC90)*(BC91-BD90)</f>
        <v>2.5781263057167632</v>
      </c>
    </row>
    <row r="94" spans="25:56" x14ac:dyDescent="0.15">
      <c r="AG94" s="3">
        <v>41768</v>
      </c>
      <c r="AH94" s="2" t="s">
        <v>164</v>
      </c>
      <c r="AK94" s="2" t="s">
        <v>150</v>
      </c>
      <c r="AM94" s="3">
        <v>41772</v>
      </c>
      <c r="AN94" s="2" t="s">
        <v>165</v>
      </c>
      <c r="AQ94" s="2" t="s">
        <v>150</v>
      </c>
    </row>
    <row r="95" spans="25:56" x14ac:dyDescent="0.15">
      <c r="AH95" s="2" t="s">
        <v>76</v>
      </c>
      <c r="AJ95" s="2">
        <v>11</v>
      </c>
      <c r="AK95" s="2">
        <f t="shared" ref="AK95:AK107" si="24">AJ95*LOG10(AJ95)</f>
        <v>11.455319536740477</v>
      </c>
      <c r="AN95" s="2" t="s">
        <v>76</v>
      </c>
      <c r="AP95" s="2">
        <v>12</v>
      </c>
      <c r="AQ95" s="2">
        <f t="shared" ref="AQ95:AQ108" si="25">AP95*LOG10(AP95)</f>
        <v>12.950174952571498</v>
      </c>
    </row>
    <row r="96" spans="25:56" x14ac:dyDescent="0.15">
      <c r="AH96" s="2" t="s">
        <v>13</v>
      </c>
      <c r="AI96" s="2" t="s">
        <v>15</v>
      </c>
      <c r="AJ96" s="2">
        <v>45</v>
      </c>
      <c r="AK96" s="2">
        <f t="shared" si="24"/>
        <v>74.394563119890464</v>
      </c>
      <c r="AN96" s="2" t="s">
        <v>13</v>
      </c>
      <c r="AO96" s="2" t="s">
        <v>15</v>
      </c>
      <c r="AP96" s="2">
        <v>31</v>
      </c>
      <c r="AQ96" s="2">
        <f t="shared" si="25"/>
        <v>46.232212508862453</v>
      </c>
    </row>
    <row r="97" spans="34:43" x14ac:dyDescent="0.15">
      <c r="AH97" s="2" t="s">
        <v>19</v>
      </c>
      <c r="AJ97" s="2">
        <v>33</v>
      </c>
      <c r="AK97" s="2">
        <f t="shared" si="24"/>
        <v>50.110960015970285</v>
      </c>
      <c r="AN97" s="2" t="s">
        <v>17</v>
      </c>
      <c r="AO97" s="2" t="s">
        <v>18</v>
      </c>
      <c r="AP97" s="2">
        <v>68</v>
      </c>
      <c r="AQ97" s="2">
        <f t="shared" si="25"/>
        <v>124.61060606402407</v>
      </c>
    </row>
    <row r="98" spans="34:43" x14ac:dyDescent="0.15">
      <c r="AH98" s="2" t="s">
        <v>17</v>
      </c>
      <c r="AI98" s="2" t="s">
        <v>18</v>
      </c>
      <c r="AJ98" s="2">
        <v>28</v>
      </c>
      <c r="AK98" s="2">
        <f t="shared" si="24"/>
        <v>40.520424877582137</v>
      </c>
      <c r="AN98" s="2" t="s">
        <v>19</v>
      </c>
      <c r="AP98" s="2">
        <v>35</v>
      </c>
      <c r="AQ98" s="2">
        <f t="shared" si="25"/>
        <v>54.042381552259648</v>
      </c>
    </row>
    <row r="99" spans="34:43" x14ac:dyDescent="0.15">
      <c r="AH99" s="2" t="s">
        <v>22</v>
      </c>
      <c r="AJ99" s="2">
        <v>1</v>
      </c>
      <c r="AK99" s="2">
        <f t="shared" si="24"/>
        <v>0</v>
      </c>
      <c r="AN99" s="2" t="s">
        <v>22</v>
      </c>
      <c r="AP99" s="2">
        <v>1</v>
      </c>
      <c r="AQ99" s="2">
        <f t="shared" si="25"/>
        <v>0</v>
      </c>
    </row>
    <row r="100" spans="34:43" x14ac:dyDescent="0.15">
      <c r="AH100" s="2" t="s">
        <v>47</v>
      </c>
      <c r="AI100" s="2" t="s">
        <v>48</v>
      </c>
      <c r="AJ100" s="2">
        <v>59</v>
      </c>
      <c r="AK100" s="2">
        <f t="shared" si="24"/>
        <v>104.4802686868865</v>
      </c>
      <c r="AN100" s="2" t="s">
        <v>47</v>
      </c>
      <c r="AO100" s="2" t="s">
        <v>48</v>
      </c>
      <c r="AP100" s="2">
        <v>49</v>
      </c>
      <c r="AQ100" s="2">
        <f t="shared" si="25"/>
        <v>82.819607921397164</v>
      </c>
    </row>
    <row r="101" spans="34:43" x14ac:dyDescent="0.15">
      <c r="AH101" s="2" t="s">
        <v>47</v>
      </c>
      <c r="AI101" s="2" t="s">
        <v>64</v>
      </c>
      <c r="AJ101" s="2">
        <v>4</v>
      </c>
      <c r="AK101" s="2">
        <f t="shared" si="24"/>
        <v>2.4082399653118496</v>
      </c>
      <c r="AN101" s="2" t="s">
        <v>47</v>
      </c>
      <c r="AP101" s="2">
        <v>2</v>
      </c>
      <c r="AQ101" s="2">
        <f t="shared" si="25"/>
        <v>0.6020599913279624</v>
      </c>
    </row>
    <row r="102" spans="34:43" x14ac:dyDescent="0.15">
      <c r="AH102" s="2" t="s">
        <v>47</v>
      </c>
      <c r="AJ102" s="2">
        <v>1</v>
      </c>
      <c r="AK102" s="2">
        <f t="shared" si="24"/>
        <v>0</v>
      </c>
      <c r="AN102" s="2" t="s">
        <v>26</v>
      </c>
      <c r="AP102" s="2">
        <v>3</v>
      </c>
      <c r="AQ102" s="2">
        <f t="shared" si="25"/>
        <v>1.4313637641589874</v>
      </c>
    </row>
    <row r="103" spans="34:43" x14ac:dyDescent="0.15">
      <c r="AH103" s="2" t="s">
        <v>26</v>
      </c>
      <c r="AJ103" s="2">
        <v>10</v>
      </c>
      <c r="AK103" s="2">
        <f t="shared" si="24"/>
        <v>10</v>
      </c>
      <c r="AN103" s="2" t="s">
        <v>29</v>
      </c>
      <c r="AO103" s="2" t="s">
        <v>33</v>
      </c>
      <c r="AP103" s="2">
        <v>1</v>
      </c>
      <c r="AQ103" s="2">
        <f t="shared" si="25"/>
        <v>0</v>
      </c>
    </row>
    <row r="104" spans="34:43" x14ac:dyDescent="0.15">
      <c r="AH104" s="2" t="s">
        <v>6</v>
      </c>
      <c r="AJ104" s="2">
        <v>3</v>
      </c>
      <c r="AK104" s="2">
        <f t="shared" si="24"/>
        <v>1.4313637641589874</v>
      </c>
      <c r="AN104" s="2" t="s">
        <v>29</v>
      </c>
      <c r="AP104" s="2">
        <v>1</v>
      </c>
      <c r="AQ104" s="2">
        <f t="shared" si="25"/>
        <v>0</v>
      </c>
    </row>
    <row r="105" spans="34:43" x14ac:dyDescent="0.15">
      <c r="AH105" s="2" t="s">
        <v>29</v>
      </c>
      <c r="AI105" s="2" t="s">
        <v>33</v>
      </c>
      <c r="AJ105" s="2">
        <v>2</v>
      </c>
      <c r="AK105" s="2">
        <f t="shared" si="24"/>
        <v>0.6020599913279624</v>
      </c>
      <c r="AN105" s="2" t="s">
        <v>42</v>
      </c>
      <c r="AO105" s="2" t="s">
        <v>43</v>
      </c>
      <c r="AP105" s="2">
        <v>1</v>
      </c>
      <c r="AQ105" s="2">
        <f t="shared" si="25"/>
        <v>0</v>
      </c>
    </row>
    <row r="106" spans="34:43" x14ac:dyDescent="0.15">
      <c r="AH106" s="2" t="s">
        <v>29</v>
      </c>
      <c r="AI106" s="2" t="s">
        <v>67</v>
      </c>
      <c r="AJ106" s="2">
        <v>2</v>
      </c>
      <c r="AK106" s="2">
        <f t="shared" si="24"/>
        <v>0.6020599913279624</v>
      </c>
      <c r="AN106" s="2" t="s">
        <v>36</v>
      </c>
      <c r="AO106" s="2" t="s">
        <v>39</v>
      </c>
      <c r="AP106" s="2">
        <v>1</v>
      </c>
      <c r="AQ106" s="2">
        <f t="shared" si="25"/>
        <v>0</v>
      </c>
    </row>
    <row r="107" spans="34:43" x14ac:dyDescent="0.15">
      <c r="AH107" s="2" t="s">
        <v>44</v>
      </c>
      <c r="AJ107" s="2">
        <v>1</v>
      </c>
      <c r="AK107" s="2">
        <f t="shared" si="24"/>
        <v>0</v>
      </c>
      <c r="AN107" s="2" t="s">
        <v>50</v>
      </c>
      <c r="AP107" s="2">
        <v>4</v>
      </c>
      <c r="AQ107" s="2">
        <f t="shared" si="25"/>
        <v>2.4082399653118496</v>
      </c>
    </row>
    <row r="108" spans="34:43" x14ac:dyDescent="0.15">
      <c r="AH108" s="2" t="s">
        <v>146</v>
      </c>
      <c r="AJ108" s="2">
        <f>SUM(AJ95:AJ107)</f>
        <v>200</v>
      </c>
      <c r="AK108" s="2">
        <f>SUM(AK95:AK107)</f>
        <v>296.00525994919661</v>
      </c>
      <c r="AN108" s="2" t="s">
        <v>44</v>
      </c>
      <c r="AP108" s="2">
        <v>2</v>
      </c>
      <c r="AQ108" s="2">
        <f t="shared" si="25"/>
        <v>0.6020599913279624</v>
      </c>
    </row>
    <row r="109" spans="34:43" x14ac:dyDescent="0.15">
      <c r="AH109" s="2" t="s">
        <v>147</v>
      </c>
      <c r="AJ109" s="2">
        <f>AJ108*LOG10(AJ108)</f>
        <v>460.20599913279625</v>
      </c>
      <c r="AN109" s="2" t="s">
        <v>160</v>
      </c>
      <c r="AP109" s="2">
        <f>SUM(AP95:AP108)</f>
        <v>211</v>
      </c>
      <c r="AQ109" s="2">
        <f>SUM(AQ95:AQ108)</f>
        <v>325.69870671124158</v>
      </c>
    </row>
    <row r="110" spans="34:43" x14ac:dyDescent="0.15">
      <c r="AH110" s="2" t="s">
        <v>148</v>
      </c>
      <c r="AJ110" s="7">
        <f>(3.322/AJ108)*(AJ109-AK108)</f>
        <v>2.7273742778395897</v>
      </c>
      <c r="AN110" s="2" t="s">
        <v>147</v>
      </c>
      <c r="AP110" s="2">
        <f>AP109*LOG10(AP109)</f>
        <v>490.42359806781315</v>
      </c>
    </row>
    <row r="111" spans="34:43" x14ac:dyDescent="0.15">
      <c r="AN111" s="2" t="s">
        <v>148</v>
      </c>
      <c r="AP111" s="7">
        <f>(3.322/AP109)*(AP110-AQ109)</f>
        <v>2.5934411805048851</v>
      </c>
    </row>
  </sheetData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96"/>
  <sheetViews>
    <sheetView workbookViewId="0"/>
  </sheetViews>
  <sheetFormatPr baseColWidth="10" defaultColWidth="8.6640625" defaultRowHeight="14" x14ac:dyDescent="0.15"/>
  <cols>
    <col min="1" max="1" width="13.6640625" customWidth="1"/>
    <col min="2" max="2" width="17.6640625" customWidth="1"/>
    <col min="3" max="3" width="15.5" customWidth="1"/>
    <col min="4" max="4" width="11.5" customWidth="1"/>
    <col min="5" max="5" width="11" customWidth="1"/>
    <col min="6" max="6" width="9" customWidth="1"/>
    <col min="7" max="7" width="15.33203125" customWidth="1"/>
    <col min="8" max="8" width="11.83203125" customWidth="1"/>
    <col min="9" max="9" width="9" customWidth="1"/>
    <col min="12" max="12" width="9.5" customWidth="1"/>
  </cols>
  <sheetData>
    <row r="1" spans="1:16" x14ac:dyDescent="0.15">
      <c r="A1" t="s">
        <v>70</v>
      </c>
      <c r="B1" t="s">
        <v>26</v>
      </c>
      <c r="C1" t="s">
        <v>28</v>
      </c>
      <c r="D1" t="s">
        <v>104</v>
      </c>
      <c r="E1" t="s">
        <v>47</v>
      </c>
      <c r="F1" t="s">
        <v>105</v>
      </c>
    </row>
    <row r="2" spans="1:16" x14ac:dyDescent="0.15">
      <c r="A2" s="3">
        <v>41733</v>
      </c>
      <c r="B2">
        <v>8.4175084175084181E-2</v>
      </c>
      <c r="C2">
        <v>0</v>
      </c>
      <c r="D2">
        <v>2.6304713804713806E-3</v>
      </c>
      <c r="E2">
        <v>0.42350589225589225</v>
      </c>
      <c r="F2">
        <v>8.9436026936026938E-2</v>
      </c>
      <c r="I2" s="2" t="s">
        <v>82</v>
      </c>
      <c r="J2" s="2"/>
      <c r="K2" s="2"/>
      <c r="L2" t="s">
        <v>26</v>
      </c>
      <c r="M2" t="s">
        <v>28</v>
      </c>
      <c r="N2" t="s">
        <v>104</v>
      </c>
      <c r="O2" t="s">
        <v>47</v>
      </c>
      <c r="P2" t="s">
        <v>105</v>
      </c>
    </row>
    <row r="3" spans="1:16" x14ac:dyDescent="0.15">
      <c r="A3" s="3">
        <v>41743</v>
      </c>
      <c r="B3">
        <v>1.781014386638434E-2</v>
      </c>
      <c r="C3">
        <v>4.9472621851067607E-3</v>
      </c>
      <c r="D3">
        <v>3.9578097480854092E-3</v>
      </c>
      <c r="E3">
        <v>3.7599192606811382E-2</v>
      </c>
      <c r="F3">
        <v>9.3503255298517787E-2</v>
      </c>
      <c r="I3" s="3">
        <v>41760</v>
      </c>
      <c r="J3" s="2">
        <v>0.16800097040271714</v>
      </c>
      <c r="K3" s="3"/>
      <c r="L3" s="2">
        <v>7.2780203784570596E-3</v>
      </c>
      <c r="M3">
        <v>0</v>
      </c>
      <c r="N3">
        <v>6.0650169820475493E-4</v>
      </c>
      <c r="O3">
        <v>2.8505579815623485E-2</v>
      </c>
      <c r="P3">
        <v>7.4599708879184864E-2</v>
      </c>
    </row>
    <row r="4" spans="1:16" x14ac:dyDescent="0.15">
      <c r="A4" s="3">
        <v>41760</v>
      </c>
      <c r="B4">
        <v>2.6760864911153929E-2</v>
      </c>
      <c r="C4">
        <v>0</v>
      </c>
      <c r="D4">
        <v>0</v>
      </c>
      <c r="E4">
        <v>5.8873902804538643E-2</v>
      </c>
      <c r="F4">
        <v>0.87240419610361808</v>
      </c>
      <c r="I4" s="3">
        <v>41768</v>
      </c>
      <c r="J4" s="2">
        <v>0.12507507507507507</v>
      </c>
      <c r="K4" s="3"/>
      <c r="L4" s="2">
        <v>2.002002002002002E-3</v>
      </c>
      <c r="M4">
        <v>0</v>
      </c>
      <c r="N4">
        <v>0</v>
      </c>
      <c r="O4">
        <v>5.5055055055055063E-3</v>
      </c>
      <c r="P4">
        <v>2.3523523523523528E-2</v>
      </c>
    </row>
    <row r="5" spans="1:16" x14ac:dyDescent="0.15">
      <c r="A5" s="3">
        <v>41768</v>
      </c>
      <c r="B5">
        <v>4.8058439061899272E-2</v>
      </c>
      <c r="C5">
        <v>0</v>
      </c>
      <c r="D5">
        <v>2.4029219530949636E-2</v>
      </c>
      <c r="E5">
        <v>0.24509803921568626</v>
      </c>
      <c r="F5">
        <v>0.28835063437139563</v>
      </c>
      <c r="I5" s="3">
        <v>41772</v>
      </c>
      <c r="J5" s="2">
        <v>8.9379600420609884E-2</v>
      </c>
      <c r="K5" s="3"/>
      <c r="L5" s="2">
        <v>4.3813529617946022E-4</v>
      </c>
      <c r="M5">
        <v>0</v>
      </c>
      <c r="N5">
        <v>0</v>
      </c>
      <c r="O5">
        <v>3.85559060637925E-2</v>
      </c>
      <c r="P5">
        <v>2.6726253066947075E-2</v>
      </c>
    </row>
    <row r="6" spans="1:16" x14ac:dyDescent="0.15">
      <c r="A6" s="3">
        <v>41772</v>
      </c>
      <c r="B6">
        <v>4.2887305357614147E-2</v>
      </c>
      <c r="C6">
        <v>0</v>
      </c>
      <c r="D6">
        <v>9.8970704671417255E-3</v>
      </c>
      <c r="E6">
        <v>0.17154922143045659</v>
      </c>
      <c r="F6">
        <v>0.35629453681710216</v>
      </c>
      <c r="I6" s="3">
        <v>41774</v>
      </c>
      <c r="J6" s="2">
        <v>0.14183006535947712</v>
      </c>
      <c r="K6" s="3"/>
      <c r="L6" s="2">
        <v>6.5359477124183009E-3</v>
      </c>
      <c r="M6">
        <v>0</v>
      </c>
      <c r="N6">
        <v>0</v>
      </c>
      <c r="O6">
        <v>3.5294117647058823E-2</v>
      </c>
      <c r="P6">
        <v>5.3594771241830062E-2</v>
      </c>
    </row>
    <row r="7" spans="1:16" x14ac:dyDescent="0.15">
      <c r="A7" s="3">
        <v>41774</v>
      </c>
      <c r="B7">
        <v>1.6862889379445672E-2</v>
      </c>
      <c r="C7">
        <v>0</v>
      </c>
      <c r="D7">
        <v>1.53298994358597E-3</v>
      </c>
      <c r="E7">
        <v>7.8182487122884475E-2</v>
      </c>
      <c r="F7">
        <v>8.4314446897228348E-2</v>
      </c>
      <c r="I7" s="2"/>
      <c r="J7" s="2"/>
      <c r="K7" s="2"/>
      <c r="L7" s="2"/>
    </row>
    <row r="8" spans="1:16" x14ac:dyDescent="0.15">
      <c r="A8" s="3">
        <v>41820</v>
      </c>
      <c r="B8">
        <v>6.6137566137566134E-3</v>
      </c>
      <c r="C8">
        <v>0</v>
      </c>
      <c r="D8">
        <v>1.3227513227513227E-2</v>
      </c>
      <c r="E8">
        <v>0.35493827160493829</v>
      </c>
      <c r="F8">
        <v>1.3227513227513227E-2</v>
      </c>
      <c r="I8" s="2" t="s">
        <v>87</v>
      </c>
      <c r="J8" s="2"/>
      <c r="K8" s="2"/>
      <c r="L8" t="s">
        <v>26</v>
      </c>
      <c r="M8" t="s">
        <v>28</v>
      </c>
      <c r="N8" t="s">
        <v>104</v>
      </c>
      <c r="O8" t="s">
        <v>47</v>
      </c>
      <c r="P8" t="s">
        <v>105</v>
      </c>
    </row>
    <row r="9" spans="1:16" x14ac:dyDescent="0.15">
      <c r="I9" s="3">
        <v>41768</v>
      </c>
      <c r="J9" s="2">
        <v>0.19241192411924118</v>
      </c>
      <c r="K9" s="3"/>
      <c r="L9" s="2">
        <v>9.0334236675700102E-3</v>
      </c>
      <c r="M9">
        <v>0</v>
      </c>
      <c r="N9">
        <v>9.0334236675700097E-4</v>
      </c>
      <c r="O9">
        <v>5.7813911472448062E-2</v>
      </c>
      <c r="P9">
        <v>2.6196928635953028E-2</v>
      </c>
    </row>
    <row r="10" spans="1:16" x14ac:dyDescent="0.15">
      <c r="I10" s="5">
        <v>41772</v>
      </c>
      <c r="J10" s="2">
        <v>0.30606324340005803</v>
      </c>
      <c r="K10" s="5"/>
      <c r="L10" s="2">
        <v>4.3516100957354219E-3</v>
      </c>
      <c r="M10">
        <v>0</v>
      </c>
      <c r="N10">
        <v>2.9010733971569481E-3</v>
      </c>
      <c r="O10">
        <v>7.3977371627502175E-2</v>
      </c>
      <c r="P10">
        <v>0.1508558166521613</v>
      </c>
    </row>
    <row r="11" spans="1:16" x14ac:dyDescent="0.15">
      <c r="A11" t="s">
        <v>106</v>
      </c>
      <c r="B11" t="s">
        <v>26</v>
      </c>
      <c r="C11" t="s">
        <v>28</v>
      </c>
      <c r="D11" t="s">
        <v>104</v>
      </c>
      <c r="E11" t="s">
        <v>47</v>
      </c>
      <c r="F11" t="s">
        <v>105</v>
      </c>
      <c r="I11" s="2"/>
      <c r="J11" s="2"/>
      <c r="K11" s="2"/>
      <c r="L11" s="2"/>
    </row>
    <row r="12" spans="1:16" x14ac:dyDescent="0.15">
      <c r="A12" s="5">
        <v>41733</v>
      </c>
      <c r="B12">
        <v>9.8199672667757767E-2</v>
      </c>
      <c r="C12">
        <v>2.7277686852154939E-3</v>
      </c>
      <c r="D12">
        <v>5.4555373704309879E-3</v>
      </c>
      <c r="E12">
        <v>0.19639934533551553</v>
      </c>
      <c r="F12">
        <v>1.9094380796508457E-2</v>
      </c>
      <c r="I12" s="2" t="s">
        <v>86</v>
      </c>
      <c r="J12" s="2"/>
      <c r="K12" s="2"/>
      <c r="L12" t="s">
        <v>26</v>
      </c>
      <c r="M12" t="s">
        <v>28</v>
      </c>
      <c r="N12" t="s">
        <v>104</v>
      </c>
      <c r="O12" t="s">
        <v>47</v>
      </c>
      <c r="P12" t="s">
        <v>105</v>
      </c>
    </row>
    <row r="13" spans="1:16" x14ac:dyDescent="0.15">
      <c r="A13" s="3">
        <v>41743</v>
      </c>
      <c r="B13">
        <v>3.6523009495982471E-3</v>
      </c>
      <c r="C13">
        <v>0</v>
      </c>
      <c r="D13">
        <v>5.4784514243973702E-3</v>
      </c>
      <c r="E13">
        <v>0.10591672753834916</v>
      </c>
      <c r="F13">
        <v>0.12235208181154127</v>
      </c>
      <c r="I13" s="3">
        <v>41760</v>
      </c>
      <c r="J13" s="2">
        <v>0.10564044519901905</v>
      </c>
      <c r="K13" s="3"/>
      <c r="L13" s="2">
        <v>5.6593095642331632E-3</v>
      </c>
      <c r="M13">
        <v>0</v>
      </c>
      <c r="N13">
        <v>9.4321826070552727E-4</v>
      </c>
      <c r="O13">
        <v>1.7921146953405017E-2</v>
      </c>
      <c r="P13">
        <v>6.1309186945859274E-2</v>
      </c>
    </row>
    <row r="14" spans="1:16" x14ac:dyDescent="0.15">
      <c r="A14" s="3">
        <v>41781</v>
      </c>
      <c r="B14">
        <v>1.614987080103359E-2</v>
      </c>
      <c r="C14">
        <v>4.6142488002953123E-3</v>
      </c>
      <c r="D14">
        <v>9.2284976005906245E-3</v>
      </c>
      <c r="E14">
        <v>0.12227759320782576</v>
      </c>
      <c r="F14">
        <v>0.30915466961978588</v>
      </c>
      <c r="I14" s="3">
        <v>41768</v>
      </c>
      <c r="J14" s="2">
        <v>0.30570252792475017</v>
      </c>
      <c r="K14" s="3"/>
      <c r="L14" s="2">
        <v>1.0288065843621399E-2</v>
      </c>
      <c r="M14">
        <v>0</v>
      </c>
      <c r="N14">
        <v>1.4697236919459142E-3</v>
      </c>
      <c r="O14">
        <v>6.7607289829512057E-2</v>
      </c>
      <c r="P14">
        <v>0.13668430335097001</v>
      </c>
    </row>
    <row r="15" spans="1:16" x14ac:dyDescent="0.15">
      <c r="A15" s="3">
        <v>41820</v>
      </c>
      <c r="B15">
        <v>3.968253968253968E-2</v>
      </c>
      <c r="C15">
        <v>9.9206349206349201E-3</v>
      </c>
      <c r="D15">
        <v>5.7539682539682536E-2</v>
      </c>
      <c r="E15">
        <v>0.16468253968253968</v>
      </c>
      <c r="F15">
        <v>4.96031746031746E-2</v>
      </c>
      <c r="I15" s="3">
        <v>41772</v>
      </c>
      <c r="J15" s="2">
        <v>0.14583333333333334</v>
      </c>
      <c r="K15" s="3"/>
      <c r="L15" s="2">
        <v>4.340277777777778E-3</v>
      </c>
      <c r="M15">
        <v>0</v>
      </c>
      <c r="N15">
        <v>1.736111111111111E-3</v>
      </c>
      <c r="O15">
        <v>4.2534722222222224E-2</v>
      </c>
      <c r="P15">
        <v>8.5069444444444448E-2</v>
      </c>
    </row>
    <row r="16" spans="1:16" x14ac:dyDescent="0.15">
      <c r="A16" s="3"/>
      <c r="I16" s="3">
        <v>41774</v>
      </c>
      <c r="J16" s="2">
        <v>0.18066847335140018</v>
      </c>
      <c r="K16" s="3"/>
      <c r="L16" s="2">
        <v>3.3875338753387531E-2</v>
      </c>
      <c r="M16">
        <v>7.5278530563083407E-4</v>
      </c>
      <c r="N16">
        <v>0</v>
      </c>
      <c r="O16">
        <v>4.2908762420957543E-2</v>
      </c>
      <c r="P16">
        <v>7.0009033423667572E-2</v>
      </c>
    </row>
    <row r="17" spans="1:10" x14ac:dyDescent="0.15">
      <c r="A17" s="2"/>
      <c r="I17" t="s">
        <v>166</v>
      </c>
      <c r="J17" s="9">
        <f>AVERAGE(J13:J16)</f>
        <v>0.18446119495212571</v>
      </c>
    </row>
    <row r="18" spans="1:10" x14ac:dyDescent="0.15">
      <c r="A18" s="2" t="s">
        <v>113</v>
      </c>
      <c r="B18" t="s">
        <v>26</v>
      </c>
      <c r="C18" t="s">
        <v>28</v>
      </c>
      <c r="D18" t="s">
        <v>104</v>
      </c>
      <c r="E18" t="s">
        <v>47</v>
      </c>
      <c r="F18" t="s">
        <v>105</v>
      </c>
    </row>
    <row r="19" spans="1:10" x14ac:dyDescent="0.15">
      <c r="A19" s="3">
        <v>41733</v>
      </c>
      <c r="B19">
        <v>2.02991452991453E-2</v>
      </c>
      <c r="C19">
        <v>0</v>
      </c>
      <c r="D19">
        <v>1.0683760683760685E-3</v>
      </c>
      <c r="E19">
        <v>0.21474358974358973</v>
      </c>
      <c r="F19">
        <v>9.6153846153846159E-3</v>
      </c>
    </row>
    <row r="20" spans="1:10" x14ac:dyDescent="0.15">
      <c r="A20" s="3">
        <v>41738</v>
      </c>
      <c r="B20">
        <v>1.5179113539769277E-2</v>
      </c>
      <c r="C20">
        <v>0</v>
      </c>
      <c r="D20">
        <v>7.5895567698846386E-3</v>
      </c>
      <c r="E20">
        <v>1.6697024893746207E-2</v>
      </c>
      <c r="F20">
        <v>7.2100789313904068E-2</v>
      </c>
    </row>
    <row r="21" spans="1:10" x14ac:dyDescent="0.15">
      <c r="A21" s="3">
        <v>41743</v>
      </c>
      <c r="B21">
        <v>1.2315270935960591E-3</v>
      </c>
      <c r="C21">
        <v>5.4734537493158185E-4</v>
      </c>
      <c r="D21">
        <v>2.4286581663630845E-3</v>
      </c>
      <c r="E21">
        <v>9.1680350301039954E-3</v>
      </c>
      <c r="F21">
        <v>3.3388067870826495E-2</v>
      </c>
    </row>
    <row r="22" spans="1:10" x14ac:dyDescent="0.15">
      <c r="A22" s="5">
        <v>41781</v>
      </c>
      <c r="B22">
        <v>1.5549901046084252E-2</v>
      </c>
      <c r="C22">
        <v>0</v>
      </c>
      <c r="D22">
        <v>3.5340684195646027E-3</v>
      </c>
      <c r="E22">
        <v>8.8351710489115068E-2</v>
      </c>
      <c r="F22">
        <v>3.3220243143907265E-2</v>
      </c>
    </row>
    <row r="23" spans="1:10" x14ac:dyDescent="0.15">
      <c r="A23" s="3">
        <v>41820</v>
      </c>
      <c r="B23">
        <v>1.1574074074074073E-2</v>
      </c>
      <c r="C23">
        <v>0</v>
      </c>
      <c r="D23">
        <v>3.7037037037037035E-2</v>
      </c>
      <c r="E23">
        <v>6.1342592592592594E-2</v>
      </c>
      <c r="F23">
        <v>0.10879629629629629</v>
      </c>
    </row>
    <row r="24" spans="1:10" x14ac:dyDescent="0.15">
      <c r="A24" s="3"/>
    </row>
    <row r="25" spans="1:10" x14ac:dyDescent="0.15">
      <c r="A25" t="s">
        <v>70</v>
      </c>
      <c r="B25" t="s">
        <v>167</v>
      </c>
    </row>
    <row r="26" spans="1:10" x14ac:dyDescent="0.15">
      <c r="A26" s="3">
        <v>41733</v>
      </c>
      <c r="B26" s="2">
        <v>0.66813973063973064</v>
      </c>
    </row>
    <row r="27" spans="1:10" x14ac:dyDescent="0.15">
      <c r="A27" s="3">
        <v>41743</v>
      </c>
      <c r="B27" s="2">
        <v>0.39285219559495776</v>
      </c>
    </row>
    <row r="28" spans="1:10" x14ac:dyDescent="0.15">
      <c r="A28" s="3">
        <v>41760</v>
      </c>
      <c r="B28" s="2">
        <v>1.0918432883750804</v>
      </c>
    </row>
    <row r="29" spans="1:10" x14ac:dyDescent="0.15">
      <c r="A29" s="3">
        <v>41768</v>
      </c>
      <c r="B29" s="2">
        <v>0.97078046905036519</v>
      </c>
    </row>
    <row r="30" spans="1:10" x14ac:dyDescent="0.15">
      <c r="A30" s="3">
        <v>41772</v>
      </c>
      <c r="B30" s="2">
        <v>0.74228028503562948</v>
      </c>
    </row>
    <row r="31" spans="1:10" x14ac:dyDescent="0.15">
      <c r="A31" s="3">
        <v>41774</v>
      </c>
      <c r="B31" s="2">
        <v>0.36019131714495956</v>
      </c>
    </row>
    <row r="32" spans="1:10" x14ac:dyDescent="0.15">
      <c r="A32" s="3">
        <v>41820</v>
      </c>
      <c r="B32" s="2">
        <v>0.5092592592592593</v>
      </c>
    </row>
    <row r="33" spans="1:17" x14ac:dyDescent="0.15">
      <c r="B33" s="2"/>
    </row>
    <row r="34" spans="1:17" x14ac:dyDescent="0.15">
      <c r="B34" s="2"/>
    </row>
    <row r="35" spans="1:17" x14ac:dyDescent="0.15">
      <c r="A35" t="s">
        <v>106</v>
      </c>
    </row>
    <row r="36" spans="1:17" x14ac:dyDescent="0.15">
      <c r="A36" s="5">
        <v>41733</v>
      </c>
      <c r="B36" s="2">
        <v>0.80378250591016553</v>
      </c>
    </row>
    <row r="37" spans="1:17" x14ac:dyDescent="0.15">
      <c r="A37" s="3">
        <v>41743</v>
      </c>
      <c r="B37" s="2">
        <v>0.37070854638422207</v>
      </c>
    </row>
    <row r="38" spans="1:17" x14ac:dyDescent="0.15">
      <c r="A38" s="3">
        <v>41781</v>
      </c>
      <c r="B38" s="2">
        <v>0.50526024363233668</v>
      </c>
    </row>
    <row r="39" spans="1:17" x14ac:dyDescent="0.15">
      <c r="A39" s="3">
        <v>41820</v>
      </c>
      <c r="B39" s="2">
        <v>0.40476190476190477</v>
      </c>
    </row>
    <row r="40" spans="1:17" x14ac:dyDescent="0.15">
      <c r="A40" s="3"/>
      <c r="B40" s="2"/>
    </row>
    <row r="41" spans="1:17" x14ac:dyDescent="0.15">
      <c r="A41" s="2"/>
      <c r="B41" s="2"/>
    </row>
    <row r="42" spans="1:17" x14ac:dyDescent="0.15">
      <c r="A42" s="2" t="s">
        <v>113</v>
      </c>
    </row>
    <row r="43" spans="1:17" x14ac:dyDescent="0.15">
      <c r="A43" s="3">
        <v>41733</v>
      </c>
      <c r="B43" s="2">
        <v>0.28311965811965811</v>
      </c>
    </row>
    <row r="44" spans="1:17" x14ac:dyDescent="0.15">
      <c r="A44" s="3">
        <v>41738</v>
      </c>
      <c r="B44" s="2">
        <v>0.38137522768670312</v>
      </c>
    </row>
    <row r="45" spans="1:17" x14ac:dyDescent="0.15">
      <c r="A45" s="3">
        <v>41743</v>
      </c>
      <c r="B45" s="2">
        <v>0.12287903667214012</v>
      </c>
    </row>
    <row r="46" spans="1:17" x14ac:dyDescent="0.15">
      <c r="A46" s="5">
        <v>41781</v>
      </c>
      <c r="B46" s="2">
        <v>0.18306474413344642</v>
      </c>
      <c r="L46" s="2" t="s">
        <v>82</v>
      </c>
      <c r="M46" t="s">
        <v>26</v>
      </c>
      <c r="N46" t="s">
        <v>28</v>
      </c>
      <c r="O46" t="s">
        <v>104</v>
      </c>
      <c r="P46" t="s">
        <v>47</v>
      </c>
      <c r="Q46" t="s">
        <v>105</v>
      </c>
    </row>
    <row r="47" spans="1:17" x14ac:dyDescent="0.15">
      <c r="A47" s="3">
        <v>41820</v>
      </c>
      <c r="B47" s="2">
        <v>0.28587962962962965</v>
      </c>
      <c r="L47" s="3">
        <v>41760</v>
      </c>
      <c r="M47" s="2">
        <v>7.2780203784570596E-3</v>
      </c>
      <c r="N47" s="2">
        <v>0</v>
      </c>
      <c r="O47" s="2">
        <v>6.0650169820475493E-4</v>
      </c>
      <c r="P47" s="2">
        <v>2.8505579815623485E-2</v>
      </c>
      <c r="Q47" s="2">
        <v>7.4599708879184864E-2</v>
      </c>
    </row>
    <row r="48" spans="1:17" x14ac:dyDescent="0.15">
      <c r="L48" s="3">
        <v>41768</v>
      </c>
      <c r="M48" s="2">
        <v>2.002002002002002E-3</v>
      </c>
      <c r="N48" s="2">
        <v>0</v>
      </c>
      <c r="O48" s="2">
        <v>0</v>
      </c>
      <c r="P48" s="2">
        <v>5.5055055055055063E-3</v>
      </c>
      <c r="Q48" s="2">
        <v>2.3523523523523528E-2</v>
      </c>
    </row>
    <row r="49" spans="1:17" x14ac:dyDescent="0.15">
      <c r="L49" s="3">
        <v>41772</v>
      </c>
      <c r="M49" s="2">
        <v>4.3813529617946022E-4</v>
      </c>
      <c r="N49" s="2">
        <v>0</v>
      </c>
      <c r="O49" s="2">
        <v>0</v>
      </c>
      <c r="P49" s="2">
        <v>3.85559060637925E-2</v>
      </c>
      <c r="Q49" s="2">
        <v>2.6726253066947075E-2</v>
      </c>
    </row>
    <row r="50" spans="1:17" x14ac:dyDescent="0.15">
      <c r="L50" s="3">
        <v>41774</v>
      </c>
      <c r="M50" s="2">
        <v>6.5359477124183009E-3</v>
      </c>
      <c r="N50" s="2">
        <v>0</v>
      </c>
      <c r="O50" s="2">
        <v>0</v>
      </c>
      <c r="P50" s="2">
        <v>3.5294117647058823E-2</v>
      </c>
      <c r="Q50" s="2">
        <v>5.3594771241830062E-2</v>
      </c>
    </row>
    <row r="51" spans="1:17" x14ac:dyDescent="0.15">
      <c r="L51" s="2"/>
      <c r="M51" s="2"/>
      <c r="N51" s="2"/>
      <c r="O51" s="2"/>
      <c r="P51" s="2"/>
      <c r="Q51" s="2"/>
    </row>
    <row r="52" spans="1:17" x14ac:dyDescent="0.15">
      <c r="L52" s="2" t="s">
        <v>87</v>
      </c>
      <c r="M52" s="2"/>
      <c r="N52" s="2"/>
      <c r="O52" s="2"/>
      <c r="P52" s="2"/>
      <c r="Q52" s="2"/>
    </row>
    <row r="53" spans="1:17" x14ac:dyDescent="0.15">
      <c r="L53" s="3">
        <v>41768</v>
      </c>
      <c r="M53" s="2">
        <v>9.0334236675700102E-3</v>
      </c>
      <c r="N53" s="2">
        <v>0</v>
      </c>
      <c r="O53" s="2">
        <v>9.0334236675700097E-4</v>
      </c>
      <c r="P53" s="2">
        <v>5.7813911472448062E-2</v>
      </c>
      <c r="Q53" s="2">
        <v>2.6196928635953028E-2</v>
      </c>
    </row>
    <row r="54" spans="1:17" x14ac:dyDescent="0.15">
      <c r="L54" s="5">
        <v>41772</v>
      </c>
      <c r="M54" s="2">
        <v>4.3516100957354219E-3</v>
      </c>
      <c r="N54" s="2">
        <v>0</v>
      </c>
      <c r="O54" s="2">
        <v>2.9010733971569481E-3</v>
      </c>
      <c r="P54" s="2">
        <v>7.3977371627502175E-2</v>
      </c>
      <c r="Q54" s="2">
        <v>0.1508558166521613</v>
      </c>
    </row>
    <row r="55" spans="1:17" x14ac:dyDescent="0.15">
      <c r="L55" s="2"/>
      <c r="M55" s="2"/>
      <c r="N55" s="2"/>
      <c r="O55" s="2"/>
      <c r="P55" s="2"/>
      <c r="Q55" s="2"/>
    </row>
    <row r="56" spans="1:17" x14ac:dyDescent="0.15">
      <c r="L56" s="2" t="s">
        <v>86</v>
      </c>
      <c r="M56" s="2"/>
      <c r="N56" s="2"/>
      <c r="O56" s="2"/>
      <c r="P56" s="2"/>
      <c r="Q56" s="2"/>
    </row>
    <row r="57" spans="1:17" x14ac:dyDescent="0.15">
      <c r="L57" s="3">
        <v>41760</v>
      </c>
      <c r="M57" s="2">
        <v>5.6593095642331632E-3</v>
      </c>
      <c r="N57" s="2">
        <v>0</v>
      </c>
      <c r="O57" s="2">
        <v>9.4321826070552727E-4</v>
      </c>
      <c r="P57" s="2">
        <v>1.7921146953405017E-2</v>
      </c>
      <c r="Q57" s="2">
        <v>6.1309186945859274E-2</v>
      </c>
    </row>
    <row r="58" spans="1:17" x14ac:dyDescent="0.15">
      <c r="L58" s="3">
        <v>41768</v>
      </c>
      <c r="M58" s="2">
        <v>1.0288065843621399E-2</v>
      </c>
      <c r="N58" s="2">
        <v>0</v>
      </c>
      <c r="O58" s="2">
        <v>1.4697236919459142E-3</v>
      </c>
      <c r="P58" s="2">
        <v>6.7607289829512057E-2</v>
      </c>
      <c r="Q58" s="2">
        <v>0.13668430335097001</v>
      </c>
    </row>
    <row r="59" spans="1:17" x14ac:dyDescent="0.15">
      <c r="L59" s="3">
        <v>41772</v>
      </c>
      <c r="M59" s="2">
        <v>4.340277777777778E-3</v>
      </c>
      <c r="N59" s="2">
        <v>0</v>
      </c>
      <c r="O59" s="2">
        <v>1.736111111111111E-3</v>
      </c>
      <c r="P59" s="2">
        <v>4.2534722222222224E-2</v>
      </c>
      <c r="Q59" s="2">
        <v>8.5069444444444448E-2</v>
      </c>
    </row>
    <row r="60" spans="1:17" x14ac:dyDescent="0.15">
      <c r="L60" s="3">
        <v>41774</v>
      </c>
      <c r="M60" s="2">
        <v>3.3875338753387531E-2</v>
      </c>
      <c r="N60" s="2">
        <v>7.5278530563083407E-4</v>
      </c>
      <c r="O60" s="2">
        <v>0</v>
      </c>
      <c r="P60" s="2">
        <v>4.2908762420957543E-2</v>
      </c>
      <c r="Q60" s="2">
        <v>7.0009033423667572E-2</v>
      </c>
    </row>
    <row r="61" spans="1:17" x14ac:dyDescent="0.15">
      <c r="A61" s="3"/>
      <c r="B61" s="2"/>
    </row>
    <row r="62" spans="1:17" x14ac:dyDescent="0.15">
      <c r="A62" s="3"/>
      <c r="B62" s="2"/>
    </row>
    <row r="63" spans="1:17" x14ac:dyDescent="0.15">
      <c r="A63" s="3"/>
      <c r="B63" s="2"/>
    </row>
    <row r="64" spans="1:17" x14ac:dyDescent="0.15">
      <c r="A64" s="3"/>
      <c r="B64" s="2"/>
    </row>
    <row r="65" spans="1:8" x14ac:dyDescent="0.15">
      <c r="A65" s="3"/>
      <c r="B65" s="2"/>
    </row>
    <row r="66" spans="1:8" x14ac:dyDescent="0.15">
      <c r="A66" s="3"/>
      <c r="B66" s="2"/>
    </row>
    <row r="67" spans="1:8" x14ac:dyDescent="0.15">
      <c r="A67" s="3"/>
      <c r="B67" s="2"/>
    </row>
    <row r="69" spans="1:8" x14ac:dyDescent="0.15">
      <c r="A69" s="2"/>
    </row>
    <row r="70" spans="1:8" x14ac:dyDescent="0.15">
      <c r="A70" s="3"/>
      <c r="B70" s="2"/>
      <c r="H70" s="9"/>
    </row>
    <row r="71" spans="1:8" x14ac:dyDescent="0.15">
      <c r="A71" s="3"/>
      <c r="B71" s="2"/>
      <c r="H71" s="9"/>
    </row>
    <row r="72" spans="1:8" x14ac:dyDescent="0.15">
      <c r="A72" s="3"/>
      <c r="B72" s="2"/>
      <c r="H72" s="9"/>
    </row>
    <row r="73" spans="1:8" x14ac:dyDescent="0.15">
      <c r="A73" s="5"/>
      <c r="B73" s="2"/>
      <c r="H73" s="9"/>
    </row>
    <row r="74" spans="1:8" x14ac:dyDescent="0.15">
      <c r="A74" s="3"/>
      <c r="B74" s="2"/>
      <c r="H74" s="9"/>
    </row>
    <row r="77" spans="1:8" x14ac:dyDescent="0.15">
      <c r="A77" s="5"/>
      <c r="B77" s="2"/>
    </row>
    <row r="78" spans="1:8" x14ac:dyDescent="0.15">
      <c r="A78" s="3"/>
      <c r="B78" s="2"/>
    </row>
    <row r="79" spans="1:8" x14ac:dyDescent="0.15">
      <c r="A79" s="3"/>
      <c r="B79" s="2"/>
    </row>
    <row r="80" spans="1:8" x14ac:dyDescent="0.15">
      <c r="A80" s="3"/>
      <c r="B80" s="2"/>
    </row>
    <row r="82" spans="1:3" x14ac:dyDescent="0.15">
      <c r="A82" s="2"/>
    </row>
    <row r="83" spans="1:3" x14ac:dyDescent="0.15">
      <c r="A83" s="3"/>
      <c r="B83" s="2"/>
      <c r="C83" s="2"/>
    </row>
    <row r="84" spans="1:3" x14ac:dyDescent="0.15">
      <c r="A84" s="3"/>
      <c r="B84" s="2"/>
      <c r="C84" s="2"/>
    </row>
    <row r="85" spans="1:3" x14ac:dyDescent="0.15">
      <c r="A85" s="3"/>
      <c r="B85" s="2"/>
      <c r="C85" s="2"/>
    </row>
    <row r="86" spans="1:3" x14ac:dyDescent="0.15">
      <c r="A86" s="3"/>
      <c r="B86" s="2"/>
      <c r="C86" s="2"/>
    </row>
    <row r="87" spans="1:3" x14ac:dyDescent="0.15">
      <c r="A87" s="2"/>
      <c r="B87" s="2"/>
      <c r="C87" s="2"/>
    </row>
    <row r="88" spans="1:3" x14ac:dyDescent="0.15">
      <c r="A88" s="2"/>
    </row>
    <row r="89" spans="1:3" x14ac:dyDescent="0.15">
      <c r="A89" s="3"/>
      <c r="B89" s="2"/>
      <c r="C89" s="2"/>
    </row>
    <row r="90" spans="1:3" x14ac:dyDescent="0.15">
      <c r="A90" s="5"/>
      <c r="B90" s="2"/>
      <c r="C90" s="2"/>
    </row>
    <row r="91" spans="1:3" x14ac:dyDescent="0.15">
      <c r="A91" s="2"/>
      <c r="B91" s="2"/>
      <c r="C91" s="2"/>
    </row>
    <row r="92" spans="1:3" x14ac:dyDescent="0.15">
      <c r="A92" s="2"/>
    </row>
    <row r="93" spans="1:3" x14ac:dyDescent="0.15">
      <c r="A93" s="3"/>
      <c r="B93" s="2"/>
      <c r="C93" s="2"/>
    </row>
    <row r="94" spans="1:3" x14ac:dyDescent="0.15">
      <c r="A94" s="3"/>
      <c r="B94" s="2"/>
      <c r="C94" s="2"/>
    </row>
    <row r="95" spans="1:3" x14ac:dyDescent="0.15">
      <c r="A95" s="3"/>
      <c r="B95" s="2"/>
      <c r="C95" s="2"/>
    </row>
    <row r="96" spans="1:3" x14ac:dyDescent="0.15">
      <c r="A96" s="3"/>
      <c r="B96" s="2"/>
      <c r="C96" s="2"/>
    </row>
  </sheetData>
  <pageMargins left="0.70000000000000007" right="0.70000000000000007" top="0.75" bottom="0.75" header="0.30000000000000004" footer="0.30000000000000004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L53"/>
  <sheetViews>
    <sheetView workbookViewId="0"/>
  </sheetViews>
  <sheetFormatPr baseColWidth="10" defaultColWidth="8.6640625" defaultRowHeight="14" x14ac:dyDescent="0.15"/>
  <cols>
    <col min="1" max="1026" width="8.6640625" style="2" customWidth="1"/>
    <col min="1027" max="1027" width="9" customWidth="1"/>
  </cols>
  <sheetData>
    <row r="1" spans="1:10" x14ac:dyDescent="0.15">
      <c r="B1" s="2" t="s">
        <v>53</v>
      </c>
      <c r="C1" s="2" t="s">
        <v>144</v>
      </c>
      <c r="D1" s="2" t="s">
        <v>145</v>
      </c>
      <c r="E1" s="2" t="s">
        <v>168</v>
      </c>
      <c r="F1" s="2" t="s">
        <v>169</v>
      </c>
      <c r="G1" s="2" t="s">
        <v>170</v>
      </c>
      <c r="H1" s="2" t="s">
        <v>117</v>
      </c>
    </row>
    <row r="2" spans="1:10" x14ac:dyDescent="0.15">
      <c r="A2" s="5">
        <v>42098</v>
      </c>
      <c r="B2" s="2">
        <v>2</v>
      </c>
      <c r="C2" s="2">
        <v>11</v>
      </c>
    </row>
    <row r="3" spans="1:10" x14ac:dyDescent="0.15">
      <c r="A3" s="5">
        <v>42103</v>
      </c>
      <c r="C3" s="2">
        <v>2</v>
      </c>
      <c r="D3" s="2">
        <v>1</v>
      </c>
    </row>
    <row r="4" spans="1:10" x14ac:dyDescent="0.15">
      <c r="A4" s="5">
        <v>42108</v>
      </c>
      <c r="D4" s="2">
        <v>2.5</v>
      </c>
    </row>
    <row r="5" spans="1:10" x14ac:dyDescent="0.15">
      <c r="A5" s="5">
        <v>42115</v>
      </c>
      <c r="D5" s="2">
        <v>5</v>
      </c>
    </row>
    <row r="6" spans="1:10" x14ac:dyDescent="0.15">
      <c r="A6" s="5">
        <v>42125</v>
      </c>
      <c r="H6" s="2">
        <v>42</v>
      </c>
    </row>
    <row r="7" spans="1:10" x14ac:dyDescent="0.15">
      <c r="A7" s="5">
        <v>42133</v>
      </c>
      <c r="B7" s="2">
        <v>2</v>
      </c>
      <c r="F7" s="2">
        <v>8</v>
      </c>
      <c r="G7" s="2">
        <v>13</v>
      </c>
    </row>
    <row r="8" spans="1:10" x14ac:dyDescent="0.15">
      <c r="A8" s="5">
        <v>42137</v>
      </c>
      <c r="B8" s="2">
        <v>1</v>
      </c>
      <c r="H8" s="2">
        <v>3</v>
      </c>
    </row>
    <row r="9" spans="1:10" x14ac:dyDescent="0.15">
      <c r="A9" s="5">
        <v>42139</v>
      </c>
      <c r="B9" s="2">
        <v>3</v>
      </c>
      <c r="F9" s="2">
        <v>5</v>
      </c>
      <c r="H9" s="2">
        <v>8</v>
      </c>
    </row>
    <row r="10" spans="1:10" x14ac:dyDescent="0.15">
      <c r="A10" s="5">
        <v>42146</v>
      </c>
      <c r="C10" s="2">
        <v>5</v>
      </c>
      <c r="D10" s="2">
        <v>2</v>
      </c>
    </row>
    <row r="11" spans="1:10" x14ac:dyDescent="0.15">
      <c r="A11" s="5">
        <v>42185</v>
      </c>
      <c r="C11" s="2">
        <v>5</v>
      </c>
      <c r="E11" s="2">
        <v>1</v>
      </c>
    </row>
    <row r="12" spans="1:10" x14ac:dyDescent="0.15">
      <c r="A12" s="2" t="s">
        <v>146</v>
      </c>
      <c r="B12" s="2">
        <f>SUM(C21:C30)</f>
        <v>8</v>
      </c>
      <c r="C12" s="2">
        <f t="shared" ref="C12:H12" si="0">SUM(C2:C11)</f>
        <v>23</v>
      </c>
      <c r="D12" s="2">
        <f t="shared" si="0"/>
        <v>10.5</v>
      </c>
      <c r="E12" s="2">
        <f t="shared" si="0"/>
        <v>1</v>
      </c>
      <c r="F12" s="2">
        <f t="shared" si="0"/>
        <v>13</v>
      </c>
      <c r="G12" s="2">
        <f t="shared" si="0"/>
        <v>13</v>
      </c>
      <c r="H12" s="2">
        <f t="shared" si="0"/>
        <v>53</v>
      </c>
    </row>
    <row r="13" spans="1:10" x14ac:dyDescent="0.15">
      <c r="A13" s="2" t="s">
        <v>61</v>
      </c>
      <c r="B13" s="2">
        <f>COUNT(C21:C30)</f>
        <v>4</v>
      </c>
      <c r="C13" s="2">
        <f t="shared" ref="C13:H13" si="1">COUNT(C2:C11)</f>
        <v>4</v>
      </c>
      <c r="D13" s="2">
        <f t="shared" si="1"/>
        <v>4</v>
      </c>
      <c r="E13" s="2">
        <f t="shared" si="1"/>
        <v>1</v>
      </c>
      <c r="F13" s="2">
        <f t="shared" si="1"/>
        <v>2</v>
      </c>
      <c r="G13" s="2">
        <f t="shared" si="1"/>
        <v>1</v>
      </c>
      <c r="H13" s="2">
        <f t="shared" si="1"/>
        <v>3</v>
      </c>
    </row>
    <row r="15" spans="1:10" x14ac:dyDescent="0.15">
      <c r="A15" s="2" t="s">
        <v>171</v>
      </c>
    </row>
    <row r="16" spans="1:10" x14ac:dyDescent="0.15">
      <c r="J16" s="2" t="s">
        <v>172</v>
      </c>
    </row>
    <row r="17" spans="1:16" x14ac:dyDescent="0.15">
      <c r="J17" s="2" t="s">
        <v>117</v>
      </c>
      <c r="L17" s="2" t="s">
        <v>54</v>
      </c>
      <c r="M17" s="2" t="s">
        <v>173</v>
      </c>
      <c r="N17" s="2" t="s">
        <v>174</v>
      </c>
      <c r="O17" s="2" t="s">
        <v>175</v>
      </c>
      <c r="P17" s="2" t="s">
        <v>176</v>
      </c>
    </row>
    <row r="18" spans="1:16" x14ac:dyDescent="0.15">
      <c r="J18" s="5">
        <v>42098</v>
      </c>
      <c r="P18" s="2">
        <f>AVERAGE(O22:O25)</f>
        <v>1.0672078461024243E-2</v>
      </c>
    </row>
    <row r="19" spans="1:16" x14ac:dyDescent="0.15">
      <c r="A19" s="2" t="s">
        <v>177</v>
      </c>
      <c r="J19" s="5">
        <v>42103</v>
      </c>
    </row>
    <row r="20" spans="1:16" x14ac:dyDescent="0.15">
      <c r="B20" s="2" t="s">
        <v>55</v>
      </c>
      <c r="C20" s="2" t="s">
        <v>54</v>
      </c>
      <c r="D20" s="2" t="s">
        <v>178</v>
      </c>
      <c r="E20" s="2" t="s">
        <v>174</v>
      </c>
      <c r="F20" s="2" t="s">
        <v>179</v>
      </c>
      <c r="G20" s="2" t="s">
        <v>125</v>
      </c>
      <c r="J20" s="5">
        <v>42108</v>
      </c>
    </row>
    <row r="21" spans="1:16" x14ac:dyDescent="0.15">
      <c r="A21" s="5">
        <v>42098</v>
      </c>
      <c r="B21" s="4">
        <v>9504</v>
      </c>
      <c r="C21" s="2">
        <v>2</v>
      </c>
      <c r="D21" s="11">
        <v>0.4</v>
      </c>
      <c r="E21" s="2">
        <f>(C21/D21)</f>
        <v>5</v>
      </c>
      <c r="F21" s="2">
        <f>(E21/B21)</f>
        <v>5.2609427609427608E-4</v>
      </c>
      <c r="G21" s="2">
        <f>AVERAGE(F21:F28)</f>
        <v>1.604033809248724E-3</v>
      </c>
      <c r="J21" s="5">
        <v>42115</v>
      </c>
    </row>
    <row r="22" spans="1:16" x14ac:dyDescent="0.15">
      <c r="A22" s="5">
        <v>42103</v>
      </c>
      <c r="J22" s="5">
        <v>42125</v>
      </c>
      <c r="K22" s="4">
        <v>8244</v>
      </c>
      <c r="L22" s="2">
        <v>42</v>
      </c>
      <c r="M22" s="2">
        <v>0.2</v>
      </c>
      <c r="N22" s="2">
        <f>(L22/M22)</f>
        <v>210</v>
      </c>
      <c r="O22" s="2">
        <f>(N22/K22)</f>
        <v>2.5473071324599708E-2</v>
      </c>
    </row>
    <row r="23" spans="1:16" x14ac:dyDescent="0.15">
      <c r="A23" s="5">
        <v>42108</v>
      </c>
      <c r="J23" s="5">
        <v>42133</v>
      </c>
    </row>
    <row r="24" spans="1:16" x14ac:dyDescent="0.15">
      <c r="A24" s="5">
        <v>42115</v>
      </c>
      <c r="J24" s="5">
        <v>42137</v>
      </c>
      <c r="K24" s="4">
        <v>5706</v>
      </c>
      <c r="L24" s="2">
        <v>3</v>
      </c>
      <c r="M24" s="2">
        <v>0.4</v>
      </c>
      <c r="N24" s="2">
        <f>(L24/M24)</f>
        <v>7.5</v>
      </c>
      <c r="O24" s="2">
        <f>(N24/K24)</f>
        <v>1.3144058885383807E-3</v>
      </c>
    </row>
    <row r="25" spans="1:16" x14ac:dyDescent="0.15">
      <c r="A25" s="5">
        <v>42125</v>
      </c>
      <c r="J25" s="5">
        <v>42139</v>
      </c>
      <c r="K25" s="4">
        <v>7650</v>
      </c>
      <c r="L25" s="2">
        <v>8</v>
      </c>
      <c r="M25" s="2">
        <v>0.2</v>
      </c>
      <c r="N25" s="2">
        <f>(L25/M25)</f>
        <v>40</v>
      </c>
      <c r="O25" s="2">
        <f>(N25/K25)</f>
        <v>5.2287581699346402E-3</v>
      </c>
    </row>
    <row r="26" spans="1:16" x14ac:dyDescent="0.15">
      <c r="A26" s="5">
        <v>42133</v>
      </c>
      <c r="B26" s="4">
        <v>5202</v>
      </c>
      <c r="C26" s="2">
        <v>2</v>
      </c>
      <c r="D26" s="11">
        <v>0.4</v>
      </c>
      <c r="E26" s="2">
        <f>C26/D26</f>
        <v>5</v>
      </c>
      <c r="F26" s="2">
        <f>(E26/B26)</f>
        <v>9.6116878123798542E-4</v>
      </c>
      <c r="J26" s="5">
        <v>42146</v>
      </c>
    </row>
    <row r="27" spans="1:16" x14ac:dyDescent="0.15">
      <c r="A27" s="5">
        <v>42137</v>
      </c>
      <c r="B27" s="4">
        <v>7578</v>
      </c>
      <c r="C27" s="2">
        <v>1</v>
      </c>
      <c r="D27" s="11">
        <v>0.4</v>
      </c>
      <c r="E27" s="2">
        <f>C27/D27</f>
        <v>2.5</v>
      </c>
      <c r="F27" s="2">
        <f>(E27/B27)</f>
        <v>3.299023489047242E-4</v>
      </c>
      <c r="J27" s="5">
        <v>42185</v>
      </c>
    </row>
    <row r="28" spans="1:16" x14ac:dyDescent="0.15">
      <c r="A28" s="5">
        <v>42139</v>
      </c>
      <c r="B28" s="4">
        <v>8154</v>
      </c>
      <c r="C28" s="2">
        <v>3</v>
      </c>
      <c r="D28" s="11">
        <v>0.08</v>
      </c>
      <c r="E28" s="2">
        <f>C28/D28</f>
        <v>37.5</v>
      </c>
      <c r="F28" s="2">
        <f>(E28/B28)</f>
        <v>4.59896983075791E-3</v>
      </c>
    </row>
    <row r="29" spans="1:16" x14ac:dyDescent="0.15">
      <c r="A29" s="5">
        <v>42146</v>
      </c>
      <c r="K29" s="2" t="s">
        <v>180</v>
      </c>
    </row>
    <row r="30" spans="1:16" x14ac:dyDescent="0.15">
      <c r="A30" s="5">
        <v>42185</v>
      </c>
      <c r="J30" s="5">
        <v>42098</v>
      </c>
    </row>
    <row r="31" spans="1:16" x14ac:dyDescent="0.15">
      <c r="B31" s="2" t="s">
        <v>144</v>
      </c>
      <c r="J31" s="5">
        <v>42103</v>
      </c>
    </row>
    <row r="32" spans="1:16" x14ac:dyDescent="0.15">
      <c r="A32" s="5">
        <v>42098</v>
      </c>
      <c r="B32" s="4">
        <v>4680</v>
      </c>
      <c r="C32" s="2">
        <v>11</v>
      </c>
      <c r="J32" s="5">
        <v>42108</v>
      </c>
    </row>
    <row r="33" spans="1:20" x14ac:dyDescent="0.15">
      <c r="A33" s="5">
        <v>42103</v>
      </c>
      <c r="B33" s="4">
        <v>6588</v>
      </c>
      <c r="C33" s="2">
        <v>2</v>
      </c>
      <c r="J33" s="5">
        <v>42115</v>
      </c>
    </row>
    <row r="34" spans="1:20" x14ac:dyDescent="0.15">
      <c r="A34" s="5">
        <v>42108</v>
      </c>
      <c r="J34" s="5">
        <v>42125</v>
      </c>
    </row>
    <row r="35" spans="1:20" x14ac:dyDescent="0.15">
      <c r="A35" s="5">
        <v>42115</v>
      </c>
      <c r="J35" s="5">
        <v>42133</v>
      </c>
      <c r="K35" s="4">
        <v>3402</v>
      </c>
    </row>
    <row r="36" spans="1:20" x14ac:dyDescent="0.15">
      <c r="A36" s="5">
        <v>42125</v>
      </c>
      <c r="J36" s="5">
        <v>42137</v>
      </c>
    </row>
    <row r="37" spans="1:20" x14ac:dyDescent="0.15">
      <c r="A37" s="5">
        <v>42133</v>
      </c>
      <c r="J37" s="5">
        <v>42139</v>
      </c>
      <c r="K37" s="4">
        <v>6642</v>
      </c>
    </row>
    <row r="38" spans="1:20" x14ac:dyDescent="0.15">
      <c r="A38" s="5">
        <v>42137</v>
      </c>
      <c r="J38" s="5">
        <v>42146</v>
      </c>
    </row>
    <row r="39" spans="1:20" x14ac:dyDescent="0.15">
      <c r="A39" s="5">
        <v>42139</v>
      </c>
      <c r="J39" s="5">
        <v>42185</v>
      </c>
    </row>
    <row r="40" spans="1:20" x14ac:dyDescent="0.15">
      <c r="A40" s="5">
        <v>42146</v>
      </c>
      <c r="B40" s="4">
        <v>7074</v>
      </c>
      <c r="C40" s="2">
        <v>5</v>
      </c>
    </row>
    <row r="41" spans="1:20" x14ac:dyDescent="0.15">
      <c r="A41" s="5">
        <v>42185</v>
      </c>
      <c r="B41" s="4">
        <v>2160</v>
      </c>
      <c r="C41" s="2">
        <v>5</v>
      </c>
      <c r="K41" s="2" t="s">
        <v>181</v>
      </c>
    </row>
    <row r="42" spans="1:20" x14ac:dyDescent="0.15">
      <c r="B42" s="2" t="s">
        <v>145</v>
      </c>
      <c r="J42" s="5">
        <v>42098</v>
      </c>
    </row>
    <row r="43" spans="1:20" x14ac:dyDescent="0.15">
      <c r="A43" s="5">
        <v>42098</v>
      </c>
      <c r="J43" s="5">
        <v>42103</v>
      </c>
    </row>
    <row r="44" spans="1:20" x14ac:dyDescent="0.15">
      <c r="A44" s="5">
        <v>42103</v>
      </c>
      <c r="B44" s="2" t="s">
        <v>182</v>
      </c>
      <c r="C44" s="2">
        <v>1</v>
      </c>
      <c r="J44" s="5">
        <v>42108</v>
      </c>
    </row>
    <row r="45" spans="1:20" x14ac:dyDescent="0.15">
      <c r="A45" s="5">
        <v>42108</v>
      </c>
      <c r="B45" s="4">
        <v>6845</v>
      </c>
      <c r="C45" s="2">
        <v>2.5</v>
      </c>
      <c r="J45" s="5">
        <v>42115</v>
      </c>
      <c r="T45" s="4"/>
    </row>
    <row r="46" spans="1:20" x14ac:dyDescent="0.15">
      <c r="A46" s="5">
        <v>42115</v>
      </c>
      <c r="B46" s="2" t="s">
        <v>182</v>
      </c>
      <c r="C46" s="2">
        <v>5</v>
      </c>
      <c r="J46" s="5">
        <v>42125</v>
      </c>
    </row>
    <row r="47" spans="1:20" x14ac:dyDescent="0.15">
      <c r="A47" s="5">
        <v>42125</v>
      </c>
      <c r="J47" s="5">
        <v>42133</v>
      </c>
      <c r="K47" s="4">
        <v>3690</v>
      </c>
    </row>
    <row r="48" spans="1:20" x14ac:dyDescent="0.15">
      <c r="A48" s="5">
        <v>42133</v>
      </c>
      <c r="J48" s="5">
        <v>42137</v>
      </c>
    </row>
    <row r="49" spans="1:10" x14ac:dyDescent="0.15">
      <c r="A49" s="5">
        <v>42137</v>
      </c>
      <c r="J49" s="5">
        <v>42139</v>
      </c>
    </row>
    <row r="50" spans="1:10" x14ac:dyDescent="0.15">
      <c r="A50" s="5">
        <v>42139</v>
      </c>
      <c r="J50" s="5">
        <v>42146</v>
      </c>
    </row>
    <row r="51" spans="1:10" x14ac:dyDescent="0.15">
      <c r="A51" s="5">
        <v>42146</v>
      </c>
      <c r="B51" s="4">
        <v>10836</v>
      </c>
      <c r="C51" s="2">
        <v>2</v>
      </c>
      <c r="J51" s="5">
        <v>42185</v>
      </c>
    </row>
    <row r="52" spans="1:10" x14ac:dyDescent="0.15">
      <c r="A52" s="5">
        <v>42185</v>
      </c>
    </row>
    <row r="53" spans="1:10" x14ac:dyDescent="0.15">
      <c r="B53" s="2" t="s">
        <v>168</v>
      </c>
    </row>
  </sheetData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96"/>
  <sheetViews>
    <sheetView workbookViewId="0"/>
  </sheetViews>
  <sheetFormatPr baseColWidth="10" defaultColWidth="8.6640625" defaultRowHeight="14" x14ac:dyDescent="0.15"/>
  <cols>
    <col min="1" max="7" width="8.6640625" style="2" customWidth="1"/>
    <col min="8" max="8" width="10.6640625" style="2" customWidth="1"/>
    <col min="9" max="13" width="8.6640625" style="2" customWidth="1"/>
    <col min="14" max="14" width="10.1640625" style="2" customWidth="1"/>
    <col min="15" max="1024" width="8.6640625" style="2" customWidth="1"/>
    <col min="1025" max="1025" width="9" customWidth="1"/>
  </cols>
  <sheetData>
    <row r="1" spans="1:10" x14ac:dyDescent="0.15">
      <c r="A1" s="2" t="s">
        <v>56</v>
      </c>
      <c r="B1" s="2" t="s">
        <v>183</v>
      </c>
      <c r="C1" s="2" t="s">
        <v>70</v>
      </c>
      <c r="D1" s="2" t="s">
        <v>113</v>
      </c>
      <c r="E1" s="2" t="s">
        <v>118</v>
      </c>
      <c r="H1" s="2" t="s">
        <v>184</v>
      </c>
    </row>
    <row r="2" spans="1:10" ht="16" x14ac:dyDescent="0.15">
      <c r="A2" s="12">
        <v>41730</v>
      </c>
      <c r="B2" s="13">
        <v>244</v>
      </c>
      <c r="C2" s="14"/>
      <c r="H2" s="2" t="s">
        <v>185</v>
      </c>
      <c r="I2" s="2" t="s">
        <v>210</v>
      </c>
      <c r="J2" s="2" t="s">
        <v>211</v>
      </c>
    </row>
    <row r="3" spans="1:10" ht="16" x14ac:dyDescent="0.15">
      <c r="A3" s="12">
        <v>41731</v>
      </c>
      <c r="B3" s="13">
        <v>248</v>
      </c>
      <c r="C3" s="15"/>
      <c r="H3" s="12">
        <v>41733</v>
      </c>
      <c r="I3" s="13">
        <v>234</v>
      </c>
      <c r="J3" s="2">
        <v>0.66813973063973064</v>
      </c>
    </row>
    <row r="4" spans="1:10" ht="16" x14ac:dyDescent="0.15">
      <c r="A4" s="12">
        <v>41732</v>
      </c>
      <c r="B4" s="13">
        <v>243</v>
      </c>
      <c r="C4" s="15"/>
      <c r="H4" s="12">
        <v>41743</v>
      </c>
      <c r="I4" s="13">
        <v>1337</v>
      </c>
      <c r="J4" s="2">
        <v>0.39285219559495776</v>
      </c>
    </row>
    <row r="5" spans="1:10" ht="16" x14ac:dyDescent="0.15">
      <c r="A5" s="12">
        <v>41733</v>
      </c>
      <c r="B5" s="13">
        <v>234</v>
      </c>
      <c r="C5" s="2">
        <v>0.66813973063973064</v>
      </c>
      <c r="D5" s="2">
        <v>0.28311965811965811</v>
      </c>
      <c r="E5" s="2">
        <v>0.80378250591016553</v>
      </c>
      <c r="G5" s="3"/>
      <c r="H5" s="12">
        <v>41760</v>
      </c>
      <c r="I5" s="13">
        <v>2282</v>
      </c>
      <c r="J5" s="2">
        <v>1.0918432883750804</v>
      </c>
    </row>
    <row r="6" spans="1:10" ht="16" x14ac:dyDescent="0.15">
      <c r="A6" s="12">
        <v>41734</v>
      </c>
      <c r="B6" s="13">
        <v>233</v>
      </c>
      <c r="C6" s="15"/>
      <c r="D6" s="11"/>
      <c r="G6" s="3"/>
      <c r="H6" s="12">
        <v>41768</v>
      </c>
      <c r="I6" s="13">
        <v>2278</v>
      </c>
      <c r="J6" s="2">
        <v>0.97078046905036519</v>
      </c>
    </row>
    <row r="7" spans="1:10" ht="16" x14ac:dyDescent="0.15">
      <c r="A7" s="12">
        <v>41735</v>
      </c>
      <c r="B7" s="13">
        <v>232</v>
      </c>
      <c r="C7" s="15"/>
      <c r="D7" s="11"/>
      <c r="G7" s="3"/>
      <c r="H7" s="12">
        <v>41772</v>
      </c>
      <c r="I7" s="13">
        <v>2254</v>
      </c>
      <c r="J7" s="2">
        <v>0.74228028503562948</v>
      </c>
    </row>
    <row r="8" spans="1:10" ht="16" x14ac:dyDescent="0.15">
      <c r="A8" s="12">
        <v>41736</v>
      </c>
      <c r="B8" s="13">
        <v>245</v>
      </c>
      <c r="C8" s="15"/>
      <c r="D8" s="3"/>
      <c r="G8" s="3"/>
      <c r="H8" s="12">
        <v>41774</v>
      </c>
      <c r="I8" s="13">
        <v>1711</v>
      </c>
      <c r="J8" s="2">
        <v>0.36019131714495956</v>
      </c>
    </row>
    <row r="9" spans="1:10" ht="16" x14ac:dyDescent="0.15">
      <c r="A9" s="12">
        <v>41737</v>
      </c>
      <c r="B9" s="13">
        <v>374</v>
      </c>
      <c r="C9" s="15"/>
      <c r="D9" s="3"/>
      <c r="G9" s="3"/>
      <c r="H9" s="12">
        <v>41820</v>
      </c>
      <c r="I9" s="13">
        <v>299</v>
      </c>
      <c r="J9" s="2">
        <v>0.5092592592592593</v>
      </c>
    </row>
    <row r="10" spans="1:10" ht="16" x14ac:dyDescent="0.15">
      <c r="A10" s="12">
        <v>41738</v>
      </c>
      <c r="B10" s="13">
        <v>580</v>
      </c>
      <c r="C10" s="15"/>
      <c r="D10" s="2">
        <v>0.38137522768670312</v>
      </c>
      <c r="G10" s="3"/>
    </row>
    <row r="11" spans="1:10" ht="16" x14ac:dyDescent="0.15">
      <c r="A11" s="12">
        <v>41739</v>
      </c>
      <c r="B11" s="13">
        <v>657</v>
      </c>
      <c r="C11" s="15"/>
      <c r="D11" s="3"/>
      <c r="G11" s="3"/>
      <c r="H11" s="2" t="s">
        <v>113</v>
      </c>
      <c r="I11"/>
    </row>
    <row r="12" spans="1:10" ht="16" x14ac:dyDescent="0.15">
      <c r="A12" s="12">
        <v>41740</v>
      </c>
      <c r="B12" s="13">
        <v>652</v>
      </c>
      <c r="C12" s="15"/>
      <c r="D12" s="3"/>
      <c r="G12" s="3"/>
      <c r="H12" s="3">
        <v>41733</v>
      </c>
      <c r="I12" s="2">
        <v>234</v>
      </c>
      <c r="J12" s="2">
        <v>0.28311965811965811</v>
      </c>
    </row>
    <row r="13" spans="1:10" ht="16" x14ac:dyDescent="0.15">
      <c r="A13" s="12">
        <v>41741</v>
      </c>
      <c r="B13" s="13">
        <v>662</v>
      </c>
      <c r="C13" s="15"/>
      <c r="D13"/>
      <c r="G13" s="3"/>
      <c r="H13" s="3">
        <v>41738</v>
      </c>
      <c r="I13" s="2">
        <v>580</v>
      </c>
      <c r="J13" s="2">
        <v>0.38137522768670312</v>
      </c>
    </row>
    <row r="14" spans="1:10" ht="16" x14ac:dyDescent="0.15">
      <c r="A14" s="12">
        <v>41742</v>
      </c>
      <c r="B14" s="13">
        <v>671</v>
      </c>
      <c r="C14" s="15"/>
      <c r="D14"/>
      <c r="G14" s="3"/>
      <c r="H14" s="3">
        <v>41743</v>
      </c>
      <c r="I14" s="2">
        <v>1337</v>
      </c>
      <c r="J14" s="2">
        <v>0.12287903667214012</v>
      </c>
    </row>
    <row r="15" spans="1:10" ht="16" x14ac:dyDescent="0.15">
      <c r="A15" s="12">
        <v>41743</v>
      </c>
      <c r="B15" s="13">
        <v>1337</v>
      </c>
      <c r="C15" s="2">
        <v>0.39285219559495776</v>
      </c>
      <c r="D15" s="2">
        <v>0.12287903667214012</v>
      </c>
      <c r="E15" s="2">
        <v>0.37070854638422207</v>
      </c>
      <c r="H15" s="5">
        <v>41781</v>
      </c>
      <c r="I15" s="2">
        <v>569</v>
      </c>
      <c r="J15" s="2">
        <v>0.18306474413344642</v>
      </c>
    </row>
    <row r="16" spans="1:10" ht="16" x14ac:dyDescent="0.15">
      <c r="A16" s="12">
        <v>41744</v>
      </c>
      <c r="B16" s="13">
        <v>2708</v>
      </c>
      <c r="C16" s="15"/>
      <c r="D16" s="5"/>
      <c r="H16" s="3">
        <v>41820</v>
      </c>
      <c r="I16" s="2">
        <v>299</v>
      </c>
      <c r="J16" s="2">
        <v>0.28587962962962965</v>
      </c>
    </row>
    <row r="17" spans="1:10" ht="16" x14ac:dyDescent="0.15">
      <c r="A17" s="12">
        <v>41745</v>
      </c>
      <c r="B17" s="13">
        <v>2677</v>
      </c>
      <c r="C17" s="15"/>
      <c r="D17" s="3"/>
    </row>
    <row r="18" spans="1:10" ht="16" x14ac:dyDescent="0.15">
      <c r="A18" s="12">
        <v>41746</v>
      </c>
      <c r="B18" s="13">
        <v>2658</v>
      </c>
      <c r="C18" s="15"/>
      <c r="D18" s="3"/>
      <c r="H18" t="s">
        <v>118</v>
      </c>
      <c r="I18"/>
    </row>
    <row r="19" spans="1:10" ht="16" x14ac:dyDescent="0.15">
      <c r="A19" s="12">
        <v>41747</v>
      </c>
      <c r="B19" s="13">
        <v>2685</v>
      </c>
      <c r="C19" s="15"/>
      <c r="D19" s="3"/>
      <c r="H19" s="5">
        <v>41733</v>
      </c>
      <c r="I19" s="2">
        <v>234</v>
      </c>
      <c r="J19" s="2">
        <v>0.80378250591016553</v>
      </c>
    </row>
    <row r="20" spans="1:10" ht="16" x14ac:dyDescent="0.15">
      <c r="A20" s="12">
        <v>41748</v>
      </c>
      <c r="B20" s="13">
        <v>2670</v>
      </c>
      <c r="C20" s="15"/>
      <c r="D20" s="3"/>
      <c r="H20" s="3">
        <v>41743</v>
      </c>
      <c r="I20" s="2">
        <v>1337</v>
      </c>
      <c r="J20" s="2">
        <v>0.37070854638422207</v>
      </c>
    </row>
    <row r="21" spans="1:10" ht="16" x14ac:dyDescent="0.15">
      <c r="A21" s="12">
        <v>41749</v>
      </c>
      <c r="B21" s="13">
        <v>2684</v>
      </c>
      <c r="C21" s="15"/>
      <c r="H21" s="3">
        <v>41781</v>
      </c>
      <c r="I21" s="2">
        <v>569</v>
      </c>
      <c r="J21" s="2">
        <v>0.50526024363233668</v>
      </c>
    </row>
    <row r="22" spans="1:10" ht="16" x14ac:dyDescent="0.15">
      <c r="A22" s="12">
        <v>41750</v>
      </c>
      <c r="B22" s="13">
        <v>2681</v>
      </c>
      <c r="C22" s="15"/>
      <c r="E22"/>
      <c r="H22" s="3">
        <v>41820</v>
      </c>
      <c r="I22" s="2">
        <v>299</v>
      </c>
      <c r="J22" s="2">
        <v>0.40476190476190477</v>
      </c>
    </row>
    <row r="23" spans="1:10" ht="16" x14ac:dyDescent="0.15">
      <c r="A23" s="12">
        <v>41751</v>
      </c>
      <c r="B23" s="13">
        <v>2682</v>
      </c>
      <c r="C23" s="15"/>
      <c r="D23" s="3"/>
    </row>
    <row r="24" spans="1:10" ht="16" x14ac:dyDescent="0.15">
      <c r="A24" s="12">
        <v>41752</v>
      </c>
      <c r="B24" s="13">
        <v>2660</v>
      </c>
      <c r="C24" s="15"/>
      <c r="D24" s="3"/>
    </row>
    <row r="25" spans="1:10" ht="16" x14ac:dyDescent="0.15">
      <c r="A25" s="12">
        <v>41753</v>
      </c>
      <c r="B25" s="13">
        <v>2640</v>
      </c>
      <c r="C25" s="15"/>
      <c r="D25" s="3"/>
    </row>
    <row r="26" spans="1:10" ht="16" x14ac:dyDescent="0.15">
      <c r="A26" s="12">
        <v>41754</v>
      </c>
      <c r="B26" s="13">
        <v>2636</v>
      </c>
      <c r="C26" s="15"/>
      <c r="D26" s="5"/>
    </row>
    <row r="27" spans="1:10" ht="16" x14ac:dyDescent="0.15">
      <c r="A27" s="12">
        <v>41755</v>
      </c>
      <c r="B27" s="13">
        <v>2692</v>
      </c>
      <c r="C27" s="15"/>
      <c r="D27" s="3"/>
    </row>
    <row r="28" spans="1:10" ht="16" x14ac:dyDescent="0.15">
      <c r="A28" s="12">
        <v>41756</v>
      </c>
      <c r="B28" s="13">
        <v>2701</v>
      </c>
      <c r="C28" s="15"/>
    </row>
    <row r="29" spans="1:10" ht="16" x14ac:dyDescent="0.15">
      <c r="A29" s="12">
        <v>41757</v>
      </c>
      <c r="B29" s="13">
        <v>2694</v>
      </c>
      <c r="C29" s="15"/>
    </row>
    <row r="30" spans="1:10" ht="16" x14ac:dyDescent="0.15">
      <c r="A30" s="12">
        <v>41758</v>
      </c>
      <c r="B30" s="13">
        <v>2708</v>
      </c>
      <c r="C30" s="15"/>
    </row>
    <row r="31" spans="1:10" ht="16" x14ac:dyDescent="0.15">
      <c r="A31" s="12">
        <v>41759</v>
      </c>
      <c r="B31" s="13">
        <v>2678</v>
      </c>
      <c r="C31" s="15"/>
    </row>
    <row r="32" spans="1:10" ht="16" x14ac:dyDescent="0.15">
      <c r="A32" s="12">
        <v>41760</v>
      </c>
      <c r="B32" s="13">
        <v>2282</v>
      </c>
      <c r="C32" s="2">
        <v>1.0918432883750804</v>
      </c>
    </row>
    <row r="33" spans="1:3" ht="16" x14ac:dyDescent="0.15">
      <c r="A33" s="12">
        <v>41761</v>
      </c>
      <c r="B33" s="13">
        <v>2289</v>
      </c>
      <c r="C33" s="15"/>
    </row>
    <row r="34" spans="1:3" ht="16" x14ac:dyDescent="0.15">
      <c r="A34" s="12">
        <v>41762</v>
      </c>
      <c r="B34" s="13">
        <v>2306</v>
      </c>
      <c r="C34" s="15"/>
    </row>
    <row r="35" spans="1:3" ht="16" x14ac:dyDescent="0.15">
      <c r="A35" s="12">
        <v>41763</v>
      </c>
      <c r="B35" s="13">
        <v>2300</v>
      </c>
      <c r="C35" s="15"/>
    </row>
    <row r="36" spans="1:3" ht="16" x14ac:dyDescent="0.15">
      <c r="A36" s="12">
        <v>41764</v>
      </c>
      <c r="B36" s="13">
        <v>2294</v>
      </c>
      <c r="C36" s="15"/>
    </row>
    <row r="37" spans="1:3" ht="16" x14ac:dyDescent="0.15">
      <c r="A37" s="12">
        <v>41765</v>
      </c>
      <c r="B37" s="13">
        <v>2285</v>
      </c>
      <c r="C37" s="15"/>
    </row>
    <row r="38" spans="1:3" ht="16" x14ac:dyDescent="0.15">
      <c r="A38" s="12">
        <v>41766</v>
      </c>
      <c r="B38" s="13">
        <v>2282</v>
      </c>
      <c r="C38" s="15"/>
    </row>
    <row r="39" spans="1:3" ht="16" x14ac:dyDescent="0.15">
      <c r="A39" s="12">
        <v>41767</v>
      </c>
      <c r="B39" s="13">
        <v>2277</v>
      </c>
      <c r="C39" s="15"/>
    </row>
    <row r="40" spans="1:3" ht="16" x14ac:dyDescent="0.15">
      <c r="A40" s="12">
        <v>41768</v>
      </c>
      <c r="B40" s="13">
        <v>2278</v>
      </c>
      <c r="C40" s="2">
        <v>0.97078046905036519</v>
      </c>
    </row>
    <row r="41" spans="1:3" ht="16" x14ac:dyDescent="0.15">
      <c r="A41" s="12">
        <v>41769</v>
      </c>
      <c r="B41" s="13">
        <v>2270</v>
      </c>
      <c r="C41" s="15"/>
    </row>
    <row r="42" spans="1:3" ht="16" x14ac:dyDescent="0.15">
      <c r="A42" s="12">
        <v>41770</v>
      </c>
      <c r="B42" s="13">
        <v>2268</v>
      </c>
      <c r="C42" s="15"/>
    </row>
    <row r="43" spans="1:3" ht="16" x14ac:dyDescent="0.15">
      <c r="A43" s="12">
        <v>41771</v>
      </c>
      <c r="B43" s="13">
        <v>2283</v>
      </c>
      <c r="C43" s="15"/>
    </row>
    <row r="44" spans="1:3" ht="16" x14ac:dyDescent="0.15">
      <c r="A44" s="12">
        <v>41772</v>
      </c>
      <c r="B44" s="13">
        <v>2254</v>
      </c>
      <c r="C44" s="2">
        <v>0.74228028503562948</v>
      </c>
    </row>
    <row r="45" spans="1:3" ht="16" x14ac:dyDescent="0.15">
      <c r="A45" s="12">
        <v>41773</v>
      </c>
      <c r="B45" s="13">
        <v>2226</v>
      </c>
      <c r="C45" s="15"/>
    </row>
    <row r="46" spans="1:3" ht="16" x14ac:dyDescent="0.15">
      <c r="A46" s="12">
        <v>41774</v>
      </c>
      <c r="B46" s="13">
        <v>1711</v>
      </c>
      <c r="C46" s="2">
        <v>0.36019131714495956</v>
      </c>
    </row>
    <row r="47" spans="1:3" ht="16" x14ac:dyDescent="0.15">
      <c r="A47" s="12">
        <v>41775</v>
      </c>
      <c r="B47" s="13">
        <v>1236</v>
      </c>
      <c r="C47" s="15"/>
    </row>
    <row r="48" spans="1:3" ht="16" x14ac:dyDescent="0.15">
      <c r="A48" s="12">
        <v>41776</v>
      </c>
      <c r="B48" s="13">
        <v>698</v>
      </c>
      <c r="C48" s="15"/>
    </row>
    <row r="49" spans="1:5" ht="16" x14ac:dyDescent="0.15">
      <c r="A49" s="12">
        <v>41777</v>
      </c>
      <c r="B49" s="13">
        <v>656</v>
      </c>
      <c r="C49" s="15"/>
    </row>
    <row r="50" spans="1:5" ht="16" x14ac:dyDescent="0.15">
      <c r="A50" s="12">
        <v>41778</v>
      </c>
      <c r="B50" s="13">
        <v>652</v>
      </c>
      <c r="C50" s="15"/>
    </row>
    <row r="51" spans="1:5" ht="16" x14ac:dyDescent="0.15">
      <c r="A51" s="12">
        <v>41779</v>
      </c>
      <c r="B51" s="13">
        <v>653</v>
      </c>
      <c r="C51" s="15"/>
    </row>
    <row r="52" spans="1:5" ht="16" x14ac:dyDescent="0.15">
      <c r="A52" s="12">
        <v>41780</v>
      </c>
      <c r="B52" s="13">
        <v>650</v>
      </c>
      <c r="C52" s="15"/>
    </row>
    <row r="53" spans="1:5" ht="16" x14ac:dyDescent="0.15">
      <c r="A53" s="12">
        <v>41781</v>
      </c>
      <c r="B53" s="13">
        <v>569</v>
      </c>
      <c r="C53" s="15"/>
      <c r="D53" s="2">
        <v>0.18306474413344642</v>
      </c>
      <c r="E53" s="2">
        <v>0.50526024363233668</v>
      </c>
    </row>
    <row r="54" spans="1:5" ht="16" x14ac:dyDescent="0.15">
      <c r="A54" s="12">
        <v>41782</v>
      </c>
      <c r="B54" s="13">
        <v>546</v>
      </c>
      <c r="C54" s="15"/>
    </row>
    <row r="55" spans="1:5" ht="16" x14ac:dyDescent="0.15">
      <c r="A55" s="12">
        <v>41783</v>
      </c>
      <c r="B55" s="13">
        <v>548</v>
      </c>
      <c r="C55" s="15"/>
    </row>
    <row r="56" spans="1:5" ht="16" x14ac:dyDescent="0.15">
      <c r="A56" s="12">
        <v>41784</v>
      </c>
      <c r="B56" s="13">
        <v>473</v>
      </c>
      <c r="C56" s="15"/>
    </row>
    <row r="57" spans="1:5" ht="16" x14ac:dyDescent="0.15">
      <c r="A57" s="12">
        <v>41785</v>
      </c>
      <c r="B57" s="13">
        <v>425</v>
      </c>
      <c r="C57" s="15"/>
    </row>
    <row r="58" spans="1:5" ht="16" x14ac:dyDescent="0.15">
      <c r="A58" s="12">
        <v>41786</v>
      </c>
      <c r="B58" s="13">
        <v>423</v>
      </c>
      <c r="C58" s="15"/>
    </row>
    <row r="59" spans="1:5" ht="16" x14ac:dyDescent="0.15">
      <c r="A59" s="12">
        <v>41787</v>
      </c>
      <c r="B59" s="13">
        <v>426</v>
      </c>
      <c r="C59" s="15"/>
    </row>
    <row r="60" spans="1:5" ht="16" x14ac:dyDescent="0.15">
      <c r="A60" s="12">
        <v>41788</v>
      </c>
      <c r="B60" s="13">
        <v>424</v>
      </c>
      <c r="C60" s="15"/>
    </row>
    <row r="61" spans="1:5" ht="16" x14ac:dyDescent="0.15">
      <c r="A61" s="12">
        <v>41789</v>
      </c>
      <c r="B61" s="13">
        <v>360</v>
      </c>
    </row>
    <row r="62" spans="1:5" ht="16" x14ac:dyDescent="0.15">
      <c r="A62" s="12">
        <v>41790</v>
      </c>
      <c r="B62" s="13">
        <v>324</v>
      </c>
      <c r="C62" s="15"/>
    </row>
    <row r="63" spans="1:5" ht="16" x14ac:dyDescent="0.15">
      <c r="A63" s="12">
        <v>41791</v>
      </c>
      <c r="B63" s="13">
        <v>322</v>
      </c>
      <c r="C63" s="15"/>
    </row>
    <row r="64" spans="1:5" ht="16" x14ac:dyDescent="0.15">
      <c r="A64" s="12">
        <v>41792</v>
      </c>
      <c r="B64" s="13">
        <v>335</v>
      </c>
      <c r="C64" s="15"/>
    </row>
    <row r="65" spans="1:14" ht="16" x14ac:dyDescent="0.15">
      <c r="A65" s="12">
        <v>41793</v>
      </c>
      <c r="B65" s="13">
        <v>326</v>
      </c>
      <c r="C65" s="15"/>
    </row>
    <row r="66" spans="1:14" ht="16" x14ac:dyDescent="0.15">
      <c r="A66" s="12">
        <v>41794</v>
      </c>
      <c r="B66" s="13">
        <v>291</v>
      </c>
      <c r="C66" s="15"/>
      <c r="K66" s="3"/>
    </row>
    <row r="67" spans="1:14" ht="16" x14ac:dyDescent="0.15">
      <c r="A67" s="12">
        <v>41795</v>
      </c>
      <c r="B67" s="13">
        <v>290</v>
      </c>
      <c r="C67" s="15"/>
      <c r="K67" s="3"/>
    </row>
    <row r="68" spans="1:14" ht="16" x14ac:dyDescent="0.15">
      <c r="A68" s="12">
        <v>41796</v>
      </c>
      <c r="B68" s="13">
        <v>277</v>
      </c>
      <c r="C68" s="15"/>
      <c r="K68" s="3"/>
    </row>
    <row r="69" spans="1:14" ht="16" x14ac:dyDescent="0.15">
      <c r="A69" s="12">
        <v>41797</v>
      </c>
      <c r="B69" s="13">
        <v>263</v>
      </c>
      <c r="C69" s="15"/>
    </row>
    <row r="70" spans="1:14" ht="16" x14ac:dyDescent="0.15">
      <c r="A70" s="12">
        <v>41798</v>
      </c>
      <c r="B70" s="13">
        <v>241</v>
      </c>
      <c r="C70" s="15"/>
    </row>
    <row r="71" spans="1:14" ht="16" x14ac:dyDescent="0.15">
      <c r="A71" s="12">
        <v>41799</v>
      </c>
      <c r="B71" s="13">
        <v>243</v>
      </c>
      <c r="C71" s="15"/>
    </row>
    <row r="72" spans="1:14" ht="16" x14ac:dyDescent="0.15">
      <c r="A72" s="12">
        <v>41800</v>
      </c>
      <c r="B72" s="13">
        <v>268</v>
      </c>
      <c r="C72" s="15"/>
      <c r="K72" s="3"/>
    </row>
    <row r="73" spans="1:14" ht="16" x14ac:dyDescent="0.15">
      <c r="A73" s="12">
        <v>41801</v>
      </c>
      <c r="B73" s="13">
        <v>269</v>
      </c>
      <c r="C73" s="15"/>
      <c r="K73" s="3"/>
    </row>
    <row r="74" spans="1:14" ht="16" x14ac:dyDescent="0.15">
      <c r="A74" s="12">
        <v>41802</v>
      </c>
      <c r="B74" s="13">
        <v>291</v>
      </c>
      <c r="C74" s="15"/>
    </row>
    <row r="75" spans="1:14" ht="16" x14ac:dyDescent="0.15">
      <c r="A75" s="12">
        <v>41803</v>
      </c>
      <c r="B75" s="13">
        <v>291</v>
      </c>
      <c r="C75" s="15"/>
    </row>
    <row r="76" spans="1:14" ht="16" x14ac:dyDescent="0.15">
      <c r="A76" s="12">
        <v>41804</v>
      </c>
      <c r="B76" s="13">
        <v>295</v>
      </c>
      <c r="C76" s="15"/>
    </row>
    <row r="77" spans="1:14" ht="16" x14ac:dyDescent="0.15">
      <c r="A77" s="12">
        <v>41805</v>
      </c>
      <c r="B77" s="13">
        <v>282</v>
      </c>
      <c r="C77" s="15"/>
    </row>
    <row r="78" spans="1:14" ht="16" x14ac:dyDescent="0.15">
      <c r="A78" s="12">
        <v>41806</v>
      </c>
      <c r="B78" s="13">
        <v>275</v>
      </c>
      <c r="C78" s="15"/>
    </row>
    <row r="79" spans="1:14" ht="16" x14ac:dyDescent="0.15">
      <c r="A79" s="12">
        <v>41807</v>
      </c>
      <c r="B79" s="13">
        <v>275</v>
      </c>
      <c r="K79" s="4"/>
      <c r="L79" s="4"/>
      <c r="M79" s="4"/>
      <c r="N79" s="4"/>
    </row>
    <row r="80" spans="1:14" ht="16" x14ac:dyDescent="0.15">
      <c r="A80" s="12">
        <v>41808</v>
      </c>
      <c r="B80" s="13">
        <v>256</v>
      </c>
      <c r="C80" s="15"/>
    </row>
    <row r="81" spans="1:13" ht="16" x14ac:dyDescent="0.15">
      <c r="A81" s="12">
        <v>41809</v>
      </c>
      <c r="B81" s="13">
        <v>247</v>
      </c>
      <c r="C81" s="15"/>
    </row>
    <row r="82" spans="1:13" ht="16" x14ac:dyDescent="0.15">
      <c r="A82" s="12">
        <v>41810</v>
      </c>
      <c r="B82" s="13">
        <v>247</v>
      </c>
      <c r="C82" s="15"/>
      <c r="K82" s="4"/>
      <c r="L82" s="4"/>
      <c r="M82" s="4"/>
    </row>
    <row r="83" spans="1:13" ht="16" x14ac:dyDescent="0.15">
      <c r="A83" s="12">
        <v>41811</v>
      </c>
      <c r="B83" s="13">
        <v>243</v>
      </c>
      <c r="C83" s="15"/>
    </row>
    <row r="84" spans="1:13" ht="16" x14ac:dyDescent="0.15">
      <c r="A84" s="12">
        <v>41812</v>
      </c>
      <c r="B84" s="13">
        <v>247</v>
      </c>
      <c r="C84" s="15"/>
    </row>
    <row r="85" spans="1:13" ht="16" x14ac:dyDescent="0.15">
      <c r="A85" s="12">
        <v>41813</v>
      </c>
      <c r="B85" s="13">
        <v>234</v>
      </c>
      <c r="C85" s="15"/>
    </row>
    <row r="86" spans="1:13" ht="16" x14ac:dyDescent="0.15">
      <c r="A86" s="12">
        <v>41814</v>
      </c>
      <c r="B86" s="13">
        <v>231</v>
      </c>
      <c r="C86" s="15"/>
    </row>
    <row r="87" spans="1:13" ht="16" x14ac:dyDescent="0.15">
      <c r="A87" s="12">
        <v>41815</v>
      </c>
      <c r="B87" s="13">
        <v>230</v>
      </c>
      <c r="C87" s="15"/>
    </row>
    <row r="88" spans="1:13" ht="16" x14ac:dyDescent="0.15">
      <c r="A88" s="12">
        <v>41816</v>
      </c>
      <c r="B88" s="13">
        <v>231</v>
      </c>
      <c r="C88" s="15"/>
    </row>
    <row r="89" spans="1:13" ht="16" x14ac:dyDescent="0.15">
      <c r="A89" s="12">
        <v>41817</v>
      </c>
      <c r="B89" s="13">
        <v>228</v>
      </c>
      <c r="C89" s="15"/>
    </row>
    <row r="90" spans="1:13" ht="16" x14ac:dyDescent="0.15">
      <c r="A90" s="12">
        <v>41818</v>
      </c>
      <c r="B90" s="13">
        <v>263</v>
      </c>
      <c r="C90" s="15"/>
    </row>
    <row r="91" spans="1:13" ht="16" x14ac:dyDescent="0.15">
      <c r="A91" s="12">
        <v>41819</v>
      </c>
      <c r="B91" s="13">
        <v>275</v>
      </c>
      <c r="C91" s="15"/>
    </row>
    <row r="92" spans="1:13" ht="16" x14ac:dyDescent="0.15">
      <c r="A92" s="12">
        <v>41820</v>
      </c>
      <c r="B92" s="13">
        <v>299</v>
      </c>
      <c r="C92" s="2">
        <v>0.5092592592592593</v>
      </c>
      <c r="D92" s="2">
        <v>0.28587962962962965</v>
      </c>
      <c r="E92" s="2">
        <v>0.40476190476190477</v>
      </c>
    </row>
    <row r="93" spans="1:13" ht="16" x14ac:dyDescent="0.15">
      <c r="A93" s="12">
        <v>41821</v>
      </c>
      <c r="B93" s="13">
        <v>328</v>
      </c>
      <c r="C93" s="15"/>
    </row>
    <row r="94" spans="1:13" ht="16" x14ac:dyDescent="0.15">
      <c r="A94" s="12">
        <v>41822</v>
      </c>
      <c r="B94" s="13">
        <v>324</v>
      </c>
      <c r="C94" s="15"/>
    </row>
    <row r="95" spans="1:13" ht="16" x14ac:dyDescent="0.15">
      <c r="A95" s="12">
        <v>41823</v>
      </c>
      <c r="B95" s="13">
        <v>336</v>
      </c>
      <c r="C95" s="15"/>
    </row>
    <row r="96" spans="1:13" ht="16" x14ac:dyDescent="0.15">
      <c r="A96" s="12">
        <v>41824</v>
      </c>
      <c r="B96" s="13">
        <v>320</v>
      </c>
      <c r="C96" s="15"/>
    </row>
  </sheetData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98"/>
  <sheetViews>
    <sheetView workbookViewId="0"/>
  </sheetViews>
  <sheetFormatPr baseColWidth="10" defaultColWidth="8.6640625" defaultRowHeight="14" x14ac:dyDescent="0.15"/>
  <cols>
    <col min="1" max="1" width="9" customWidth="1"/>
    <col min="11" max="11" width="10.6640625" customWidth="1"/>
  </cols>
  <sheetData>
    <row r="1" spans="1:16" x14ac:dyDescent="0.15">
      <c r="A1" s="16" t="s">
        <v>190</v>
      </c>
    </row>
    <row r="2" spans="1:16" ht="15" x14ac:dyDescent="0.15">
      <c r="A2" s="27" t="s">
        <v>191</v>
      </c>
      <c r="B2" s="17" t="s">
        <v>192</v>
      </c>
      <c r="C2" s="28"/>
      <c r="K2" s="2" t="s">
        <v>193</v>
      </c>
      <c r="L2" s="2"/>
      <c r="M2" s="2"/>
      <c r="N2" s="2"/>
      <c r="O2" s="2"/>
      <c r="P2" s="2"/>
    </row>
    <row r="3" spans="1:16" ht="15" x14ac:dyDescent="0.15">
      <c r="A3" s="27"/>
      <c r="B3" s="18" t="s">
        <v>194</v>
      </c>
      <c r="C3" s="28"/>
      <c r="K3" s="2"/>
      <c r="L3" s="2" t="s">
        <v>53</v>
      </c>
      <c r="M3" s="2" t="s">
        <v>186</v>
      </c>
      <c r="N3" s="2" t="s">
        <v>187</v>
      </c>
      <c r="O3" s="2"/>
      <c r="P3" s="2"/>
    </row>
    <row r="4" spans="1:16" x14ac:dyDescent="0.15">
      <c r="A4" s="19">
        <v>41730</v>
      </c>
      <c r="B4" s="20">
        <v>54.2</v>
      </c>
      <c r="C4" s="21"/>
      <c r="K4" s="3">
        <v>41733</v>
      </c>
      <c r="L4" s="2">
        <v>55</v>
      </c>
      <c r="M4" s="2">
        <v>56.8</v>
      </c>
      <c r="N4" s="2">
        <v>56.8</v>
      </c>
      <c r="O4" s="2"/>
      <c r="P4" s="2"/>
    </row>
    <row r="5" spans="1:16" x14ac:dyDescent="0.15">
      <c r="A5" s="19">
        <v>41731</v>
      </c>
      <c r="B5" s="20">
        <v>54.8</v>
      </c>
      <c r="C5" s="21"/>
      <c r="K5" s="3">
        <v>41743</v>
      </c>
      <c r="L5" s="2" t="s">
        <v>195</v>
      </c>
      <c r="M5" s="2">
        <v>57.2</v>
      </c>
      <c r="N5" s="2">
        <v>56.8</v>
      </c>
      <c r="O5" s="2"/>
      <c r="P5" s="2"/>
    </row>
    <row r="6" spans="1:16" x14ac:dyDescent="0.15">
      <c r="A6" s="19">
        <v>41732</v>
      </c>
      <c r="B6" s="20">
        <v>55.5</v>
      </c>
      <c r="C6" s="21"/>
      <c r="K6" s="3">
        <v>41820</v>
      </c>
      <c r="L6" s="2">
        <v>56</v>
      </c>
      <c r="M6" s="2">
        <v>59</v>
      </c>
      <c r="N6" s="2">
        <v>59</v>
      </c>
      <c r="O6" s="2"/>
      <c r="P6" s="2"/>
    </row>
    <row r="7" spans="1:16" x14ac:dyDescent="0.15">
      <c r="A7" s="19">
        <v>41733</v>
      </c>
      <c r="B7" s="20">
        <v>55.7</v>
      </c>
      <c r="C7" s="21"/>
      <c r="K7" s="2" t="s">
        <v>189</v>
      </c>
      <c r="L7" s="2">
        <f>AVERAGE(L4:L6)</f>
        <v>55.5</v>
      </c>
      <c r="M7" s="2">
        <f>AVERAGE(M4:M6)</f>
        <v>57.666666666666664</v>
      </c>
      <c r="N7" s="2">
        <f>AVERAGE(N4:N6)</f>
        <v>57.533333333333331</v>
      </c>
      <c r="O7" s="2"/>
      <c r="P7" s="2"/>
    </row>
    <row r="8" spans="1:16" x14ac:dyDescent="0.15">
      <c r="A8" s="19">
        <v>41734</v>
      </c>
      <c r="B8" s="20">
        <v>56.1</v>
      </c>
      <c r="C8" s="21"/>
      <c r="K8" s="2" t="s">
        <v>196</v>
      </c>
      <c r="L8" s="2"/>
      <c r="M8" s="2"/>
      <c r="N8" s="2"/>
      <c r="O8" s="2"/>
      <c r="P8" s="2"/>
    </row>
    <row r="9" spans="1:16" x14ac:dyDescent="0.15">
      <c r="A9" s="19">
        <v>41735</v>
      </c>
      <c r="B9" s="20">
        <v>57.4</v>
      </c>
      <c r="C9" s="21"/>
      <c r="K9" s="2"/>
      <c r="L9" s="2" t="s">
        <v>55</v>
      </c>
      <c r="M9" s="2" t="s">
        <v>180</v>
      </c>
      <c r="N9" s="2" t="s">
        <v>188</v>
      </c>
      <c r="O9" s="2" t="s">
        <v>157</v>
      </c>
      <c r="P9" s="2"/>
    </row>
    <row r="10" spans="1:16" x14ac:dyDescent="0.15">
      <c r="A10" s="19">
        <v>41736</v>
      </c>
      <c r="B10" s="20">
        <v>58.9</v>
      </c>
      <c r="C10" s="21"/>
      <c r="K10" s="3">
        <v>41768</v>
      </c>
      <c r="L10" s="2">
        <v>55.9</v>
      </c>
      <c r="M10" s="2">
        <v>55.7</v>
      </c>
      <c r="N10" s="2">
        <v>55.2</v>
      </c>
      <c r="O10" s="2">
        <v>55.2</v>
      </c>
      <c r="P10" s="2"/>
    </row>
    <row r="11" spans="1:16" x14ac:dyDescent="0.15">
      <c r="A11" s="19">
        <v>41737</v>
      </c>
      <c r="B11" s="20">
        <v>59.2</v>
      </c>
      <c r="C11" s="21"/>
      <c r="K11" s="3">
        <v>41772</v>
      </c>
      <c r="L11" s="2">
        <v>57</v>
      </c>
      <c r="M11" s="2">
        <v>56.9</v>
      </c>
      <c r="N11" s="2">
        <v>56.9</v>
      </c>
      <c r="O11" s="2">
        <v>56.9</v>
      </c>
      <c r="P11" s="2"/>
    </row>
    <row r="12" spans="1:16" x14ac:dyDescent="0.15">
      <c r="A12" s="19">
        <v>41738</v>
      </c>
      <c r="B12" s="20">
        <v>57.6</v>
      </c>
      <c r="C12" s="21"/>
      <c r="K12" s="2"/>
      <c r="L12" s="2">
        <f>AVERAGE(L10:L11)</f>
        <v>56.45</v>
      </c>
      <c r="M12" s="2">
        <f>AVERAGE(M10:M11)</f>
        <v>56.3</v>
      </c>
      <c r="N12" s="2">
        <f>AVERAGE(N10:N11)</f>
        <v>56.05</v>
      </c>
      <c r="O12" s="2">
        <f>AVERAGE(O10:O11)</f>
        <v>56.05</v>
      </c>
      <c r="P12" s="2"/>
    </row>
    <row r="13" spans="1:16" x14ac:dyDescent="0.15">
      <c r="A13" s="19">
        <v>41739</v>
      </c>
      <c r="B13" s="20">
        <v>56.8</v>
      </c>
      <c r="C13" s="21"/>
    </row>
    <row r="14" spans="1:16" x14ac:dyDescent="0.15">
      <c r="A14" s="19">
        <v>41740</v>
      </c>
      <c r="B14" s="20">
        <v>56.3</v>
      </c>
      <c r="C14" s="21"/>
    </row>
    <row r="15" spans="1:16" x14ac:dyDescent="0.15">
      <c r="A15" s="19">
        <v>41741</v>
      </c>
      <c r="B15" s="20">
        <v>56.5</v>
      </c>
      <c r="C15" s="21"/>
    </row>
    <row r="16" spans="1:16" x14ac:dyDescent="0.15">
      <c r="A16" s="19">
        <v>41742</v>
      </c>
      <c r="B16" s="20">
        <v>56.2</v>
      </c>
      <c r="C16" s="21"/>
    </row>
    <row r="17" spans="1:3" x14ac:dyDescent="0.15">
      <c r="A17" s="19">
        <v>41743</v>
      </c>
      <c r="B17" s="20">
        <v>55.8</v>
      </c>
      <c r="C17" s="21"/>
    </row>
    <row r="18" spans="1:3" x14ac:dyDescent="0.15">
      <c r="A18" s="19">
        <v>41744</v>
      </c>
      <c r="B18" s="20">
        <v>56.9</v>
      </c>
      <c r="C18" s="21"/>
    </row>
    <row r="19" spans="1:3" x14ac:dyDescent="0.15">
      <c r="A19" s="19">
        <v>41745</v>
      </c>
      <c r="B19" s="20">
        <v>56.8</v>
      </c>
      <c r="C19" s="21"/>
    </row>
    <row r="20" spans="1:3" x14ac:dyDescent="0.15">
      <c r="A20" s="19">
        <v>41746</v>
      </c>
      <c r="B20" s="20">
        <v>56.1</v>
      </c>
      <c r="C20" s="21"/>
    </row>
    <row r="21" spans="1:3" x14ac:dyDescent="0.15">
      <c r="A21" s="19">
        <v>41747</v>
      </c>
      <c r="B21" s="20">
        <v>56</v>
      </c>
      <c r="C21" s="21"/>
    </row>
    <row r="22" spans="1:3" x14ac:dyDescent="0.15">
      <c r="A22" s="19">
        <v>41748</v>
      </c>
      <c r="B22" s="20">
        <v>55.7</v>
      </c>
      <c r="C22" s="21"/>
    </row>
    <row r="23" spans="1:3" x14ac:dyDescent="0.15">
      <c r="A23" s="19">
        <v>41749</v>
      </c>
      <c r="B23" s="20">
        <v>55.6</v>
      </c>
      <c r="C23" s="21"/>
    </row>
    <row r="24" spans="1:3" x14ac:dyDescent="0.15">
      <c r="A24" s="19">
        <v>41750</v>
      </c>
      <c r="B24" s="20">
        <v>55.3</v>
      </c>
      <c r="C24" s="21"/>
    </row>
    <row r="25" spans="1:3" x14ac:dyDescent="0.15">
      <c r="A25" s="19">
        <v>41751</v>
      </c>
      <c r="B25" s="20">
        <v>54.8</v>
      </c>
      <c r="C25" s="21"/>
    </row>
    <row r="26" spans="1:3" x14ac:dyDescent="0.15">
      <c r="A26" s="19">
        <v>41752</v>
      </c>
      <c r="B26" s="20">
        <v>54.6</v>
      </c>
      <c r="C26" s="21"/>
    </row>
    <row r="27" spans="1:3" x14ac:dyDescent="0.15">
      <c r="A27" s="19">
        <v>41753</v>
      </c>
      <c r="B27" s="20">
        <v>55.2</v>
      </c>
      <c r="C27" s="21"/>
    </row>
    <row r="28" spans="1:3" x14ac:dyDescent="0.15">
      <c r="A28" s="19">
        <v>41754</v>
      </c>
      <c r="B28" s="20">
        <v>54.4</v>
      </c>
      <c r="C28" s="21"/>
    </row>
    <row r="29" spans="1:3" x14ac:dyDescent="0.15">
      <c r="A29" s="19">
        <v>41755</v>
      </c>
      <c r="B29" s="20">
        <v>54.3</v>
      </c>
      <c r="C29" s="21"/>
    </row>
    <row r="30" spans="1:3" x14ac:dyDescent="0.15">
      <c r="A30" s="19">
        <v>41756</v>
      </c>
      <c r="B30" s="20">
        <v>54.3</v>
      </c>
      <c r="C30" s="21"/>
    </row>
    <row r="31" spans="1:3" x14ac:dyDescent="0.15">
      <c r="A31" s="19">
        <v>41757</v>
      </c>
      <c r="B31" s="20">
        <v>54.6</v>
      </c>
      <c r="C31" s="21"/>
    </row>
    <row r="32" spans="1:3" x14ac:dyDescent="0.15">
      <c r="A32" s="19">
        <v>41758</v>
      </c>
      <c r="B32" s="20">
        <v>54.9</v>
      </c>
      <c r="C32" s="21"/>
    </row>
    <row r="33" spans="1:3" x14ac:dyDescent="0.15">
      <c r="A33" s="19">
        <v>41759</v>
      </c>
      <c r="B33" s="20">
        <v>55.4</v>
      </c>
      <c r="C33" s="21"/>
    </row>
    <row r="34" spans="1:3" x14ac:dyDescent="0.15">
      <c r="A34" s="19">
        <v>41760</v>
      </c>
      <c r="B34" s="20">
        <v>55.2</v>
      </c>
      <c r="C34" s="21"/>
    </row>
    <row r="35" spans="1:3" x14ac:dyDescent="0.15">
      <c r="A35" s="19">
        <v>41761</v>
      </c>
      <c r="B35" s="20">
        <v>54.9</v>
      </c>
      <c r="C35" s="21"/>
    </row>
    <row r="36" spans="1:3" x14ac:dyDescent="0.15">
      <c r="A36" s="19">
        <v>41762</v>
      </c>
      <c r="B36" s="20">
        <v>54.8</v>
      </c>
      <c r="C36" s="21"/>
    </row>
    <row r="37" spans="1:3" x14ac:dyDescent="0.15">
      <c r="A37" s="19">
        <v>41763</v>
      </c>
      <c r="B37" s="20">
        <v>54.8</v>
      </c>
      <c r="C37" s="21"/>
    </row>
    <row r="38" spans="1:3" x14ac:dyDescent="0.15">
      <c r="A38" s="19">
        <v>41764</v>
      </c>
      <c r="B38" s="20">
        <v>54.6</v>
      </c>
      <c r="C38" s="21"/>
    </row>
    <row r="39" spans="1:3" x14ac:dyDescent="0.15">
      <c r="A39" s="19">
        <v>41765</v>
      </c>
      <c r="B39" s="20">
        <v>54.3</v>
      </c>
      <c r="C39" s="21"/>
    </row>
    <row r="40" spans="1:3" x14ac:dyDescent="0.15">
      <c r="A40" s="19">
        <v>41766</v>
      </c>
      <c r="B40" s="20">
        <v>54.5</v>
      </c>
      <c r="C40" s="21"/>
    </row>
    <row r="41" spans="1:3" x14ac:dyDescent="0.15">
      <c r="A41" s="19">
        <v>41767</v>
      </c>
      <c r="B41" s="20">
        <v>54.5</v>
      </c>
      <c r="C41" s="21"/>
    </row>
    <row r="42" spans="1:3" x14ac:dyDescent="0.15">
      <c r="A42" s="19">
        <v>41768</v>
      </c>
      <c r="B42" s="20">
        <v>55</v>
      </c>
      <c r="C42" s="21"/>
    </row>
    <row r="43" spans="1:3" x14ac:dyDescent="0.15">
      <c r="A43" s="19">
        <v>41769</v>
      </c>
      <c r="B43" s="20">
        <v>54.7</v>
      </c>
      <c r="C43" s="21"/>
    </row>
    <row r="44" spans="1:3" x14ac:dyDescent="0.15">
      <c r="A44" s="19">
        <v>41770</v>
      </c>
      <c r="B44" s="20">
        <v>55.1</v>
      </c>
      <c r="C44" s="21"/>
    </row>
    <row r="45" spans="1:3" x14ac:dyDescent="0.15">
      <c r="A45" s="19">
        <v>41771</v>
      </c>
      <c r="B45" s="20">
        <v>55.6</v>
      </c>
      <c r="C45" s="21"/>
    </row>
    <row r="46" spans="1:3" x14ac:dyDescent="0.15">
      <c r="A46" s="19">
        <v>41772</v>
      </c>
      <c r="B46" s="20">
        <v>55.9</v>
      </c>
      <c r="C46" s="21"/>
    </row>
    <row r="47" spans="1:3" x14ac:dyDescent="0.15">
      <c r="A47" s="19">
        <v>41773</v>
      </c>
      <c r="B47" s="20">
        <v>56</v>
      </c>
      <c r="C47" s="21"/>
    </row>
    <row r="48" spans="1:3" x14ac:dyDescent="0.15">
      <c r="A48" s="19">
        <v>41774</v>
      </c>
      <c r="B48" s="20">
        <v>55.9</v>
      </c>
      <c r="C48" s="21"/>
    </row>
    <row r="49" spans="1:3" x14ac:dyDescent="0.15">
      <c r="A49" s="19">
        <v>41775</v>
      </c>
      <c r="B49" s="20">
        <v>56</v>
      </c>
      <c r="C49" s="21"/>
    </row>
    <row r="50" spans="1:3" x14ac:dyDescent="0.15">
      <c r="A50" s="19">
        <v>41776</v>
      </c>
      <c r="B50" s="20">
        <v>56.6</v>
      </c>
      <c r="C50" s="21"/>
    </row>
    <row r="51" spans="1:3" x14ac:dyDescent="0.15">
      <c r="A51" s="19">
        <v>41777</v>
      </c>
      <c r="B51" s="20">
        <v>57.2</v>
      </c>
      <c r="C51" s="21"/>
    </row>
    <row r="52" spans="1:3" x14ac:dyDescent="0.15">
      <c r="A52" s="19">
        <v>41778</v>
      </c>
      <c r="B52" s="20">
        <v>56.8</v>
      </c>
      <c r="C52" s="21"/>
    </row>
    <row r="53" spans="1:3" x14ac:dyDescent="0.15">
      <c r="A53" s="19">
        <v>41779</v>
      </c>
      <c r="B53" s="20">
        <v>56.2</v>
      </c>
      <c r="C53" s="21"/>
    </row>
    <row r="54" spans="1:3" x14ac:dyDescent="0.15">
      <c r="A54" s="19">
        <v>41780</v>
      </c>
      <c r="B54" s="20">
        <v>57</v>
      </c>
      <c r="C54" s="21"/>
    </row>
    <row r="55" spans="1:3" x14ac:dyDescent="0.15">
      <c r="A55" s="19">
        <v>41781</v>
      </c>
      <c r="B55" s="20">
        <v>58.2</v>
      </c>
      <c r="C55" s="21"/>
    </row>
    <row r="56" spans="1:3" x14ac:dyDescent="0.15">
      <c r="A56" s="19">
        <v>41782</v>
      </c>
      <c r="B56" s="20">
        <v>58.9</v>
      </c>
      <c r="C56" s="21"/>
    </row>
    <row r="57" spans="1:3" x14ac:dyDescent="0.15">
      <c r="A57" s="19">
        <v>41783</v>
      </c>
      <c r="B57" s="20">
        <v>59.3</v>
      </c>
      <c r="C57" s="21"/>
    </row>
    <row r="58" spans="1:3" x14ac:dyDescent="0.15">
      <c r="A58" s="19">
        <v>41784</v>
      </c>
      <c r="B58" s="20">
        <v>60</v>
      </c>
      <c r="C58" s="21"/>
    </row>
    <row r="59" spans="1:3" x14ac:dyDescent="0.15">
      <c r="A59" s="19">
        <v>41785</v>
      </c>
      <c r="B59" s="20">
        <v>60.7</v>
      </c>
      <c r="C59" s="21"/>
    </row>
    <row r="60" spans="1:3" x14ac:dyDescent="0.15">
      <c r="A60" s="19">
        <v>41786</v>
      </c>
      <c r="B60" s="20">
        <v>60.2</v>
      </c>
      <c r="C60" s="21"/>
    </row>
    <row r="61" spans="1:3" x14ac:dyDescent="0.15">
      <c r="A61" s="19">
        <v>41787</v>
      </c>
      <c r="B61" s="20">
        <v>59.4</v>
      </c>
      <c r="C61" s="21"/>
    </row>
    <row r="62" spans="1:3" x14ac:dyDescent="0.15">
      <c r="A62" s="19">
        <v>41788</v>
      </c>
      <c r="B62" s="20">
        <v>59</v>
      </c>
      <c r="C62" s="21"/>
    </row>
    <row r="63" spans="1:3" x14ac:dyDescent="0.15">
      <c r="A63" s="19">
        <v>41789</v>
      </c>
      <c r="B63" s="20">
        <v>59.7</v>
      </c>
      <c r="C63" s="21"/>
    </row>
    <row r="64" spans="1:3" x14ac:dyDescent="0.15">
      <c r="A64" s="19">
        <v>41790</v>
      </c>
      <c r="B64" s="20">
        <v>60.5</v>
      </c>
      <c r="C64" s="21"/>
    </row>
    <row r="65" spans="1:3" x14ac:dyDescent="0.15">
      <c r="A65" s="19">
        <v>41791</v>
      </c>
      <c r="B65" s="20">
        <v>61</v>
      </c>
      <c r="C65" s="21"/>
    </row>
    <row r="66" spans="1:3" x14ac:dyDescent="0.15">
      <c r="A66" s="19">
        <v>41792</v>
      </c>
      <c r="B66" s="20">
        <v>61.4</v>
      </c>
      <c r="C66" s="21"/>
    </row>
    <row r="67" spans="1:3" x14ac:dyDescent="0.15">
      <c r="A67" s="19">
        <v>41793</v>
      </c>
      <c r="B67" s="20">
        <v>61.5</v>
      </c>
      <c r="C67" s="21"/>
    </row>
    <row r="68" spans="1:3" x14ac:dyDescent="0.15">
      <c r="A68" s="19">
        <v>41794</v>
      </c>
      <c r="B68" s="20">
        <v>62</v>
      </c>
      <c r="C68" s="21"/>
    </row>
    <row r="69" spans="1:3" x14ac:dyDescent="0.15">
      <c r="A69" s="19">
        <v>41795</v>
      </c>
      <c r="B69" s="20">
        <v>63.2</v>
      </c>
      <c r="C69" s="21"/>
    </row>
    <row r="70" spans="1:3" x14ac:dyDescent="0.15">
      <c r="A70" s="19">
        <v>41796</v>
      </c>
      <c r="B70" s="20">
        <v>63.2</v>
      </c>
      <c r="C70" s="21"/>
    </row>
    <row r="71" spans="1:3" x14ac:dyDescent="0.15">
      <c r="A71" s="19">
        <v>41797</v>
      </c>
      <c r="B71" s="20">
        <v>63.5</v>
      </c>
      <c r="C71" s="21"/>
    </row>
    <row r="72" spans="1:3" x14ac:dyDescent="0.15">
      <c r="A72" s="19">
        <v>41798</v>
      </c>
      <c r="B72" s="20">
        <v>64.099999999999994</v>
      </c>
      <c r="C72" s="21"/>
    </row>
    <row r="73" spans="1:3" x14ac:dyDescent="0.15">
      <c r="A73" s="19">
        <v>41799</v>
      </c>
      <c r="B73" s="20">
        <v>64.5</v>
      </c>
      <c r="C73" s="21"/>
    </row>
    <row r="74" spans="1:3" x14ac:dyDescent="0.15">
      <c r="A74" s="19">
        <v>41800</v>
      </c>
      <c r="B74" s="20">
        <v>63.8</v>
      </c>
      <c r="C74" s="21"/>
    </row>
    <row r="75" spans="1:3" x14ac:dyDescent="0.15">
      <c r="A75" s="19">
        <v>41801</v>
      </c>
      <c r="B75" s="20">
        <v>63.5</v>
      </c>
      <c r="C75" s="21"/>
    </row>
    <row r="76" spans="1:3" x14ac:dyDescent="0.15">
      <c r="A76" s="19">
        <v>41802</v>
      </c>
      <c r="B76" s="20">
        <v>62.7</v>
      </c>
      <c r="C76" s="21"/>
    </row>
    <row r="77" spans="1:3" x14ac:dyDescent="0.15">
      <c r="A77" s="19">
        <v>41803</v>
      </c>
      <c r="B77" s="20">
        <v>62.1</v>
      </c>
      <c r="C77" s="21"/>
    </row>
    <row r="78" spans="1:3" x14ac:dyDescent="0.15">
      <c r="A78" s="19">
        <v>41804</v>
      </c>
      <c r="B78" s="20">
        <v>61.7</v>
      </c>
      <c r="C78" s="21"/>
    </row>
    <row r="79" spans="1:3" x14ac:dyDescent="0.15">
      <c r="A79" s="19">
        <v>41805</v>
      </c>
      <c r="B79" s="20">
        <v>61.7</v>
      </c>
      <c r="C79" s="21"/>
    </row>
    <row r="80" spans="1:3" x14ac:dyDescent="0.15">
      <c r="A80" s="19">
        <v>41806</v>
      </c>
      <c r="B80" s="20">
        <v>62.1</v>
      </c>
      <c r="C80" s="21"/>
    </row>
    <row r="81" spans="1:3" x14ac:dyDescent="0.15">
      <c r="A81" s="19">
        <v>41807</v>
      </c>
      <c r="B81" s="20">
        <v>61.6</v>
      </c>
      <c r="C81" s="21"/>
    </row>
    <row r="82" spans="1:3" x14ac:dyDescent="0.15">
      <c r="A82" s="19">
        <v>41808</v>
      </c>
      <c r="B82" s="20">
        <v>62.2</v>
      </c>
      <c r="C82" s="21"/>
    </row>
    <row r="83" spans="1:3" x14ac:dyDescent="0.15">
      <c r="A83" s="19">
        <v>41809</v>
      </c>
      <c r="B83" s="20">
        <v>62.9</v>
      </c>
      <c r="C83" s="21"/>
    </row>
    <row r="84" spans="1:3" x14ac:dyDescent="0.15">
      <c r="A84" s="19">
        <v>41810</v>
      </c>
      <c r="B84" s="20">
        <v>63.5</v>
      </c>
      <c r="C84" s="21"/>
    </row>
    <row r="85" spans="1:3" x14ac:dyDescent="0.15">
      <c r="A85" s="19">
        <v>41811</v>
      </c>
      <c r="B85" s="20">
        <v>62.6</v>
      </c>
      <c r="C85" s="21"/>
    </row>
    <row r="86" spans="1:3" x14ac:dyDescent="0.15">
      <c r="A86" s="19">
        <v>41812</v>
      </c>
      <c r="B86" s="20">
        <v>62.3</v>
      </c>
      <c r="C86" s="21"/>
    </row>
    <row r="87" spans="1:3" x14ac:dyDescent="0.15">
      <c r="A87" s="19">
        <v>41813</v>
      </c>
      <c r="B87" s="20">
        <v>63.8</v>
      </c>
      <c r="C87" s="21"/>
    </row>
    <row r="88" spans="1:3" x14ac:dyDescent="0.15">
      <c r="A88" s="19">
        <v>41814</v>
      </c>
      <c r="B88" s="20">
        <v>64.599999999999994</v>
      </c>
      <c r="C88" s="21"/>
    </row>
    <row r="89" spans="1:3" x14ac:dyDescent="0.15">
      <c r="A89" s="19">
        <v>41815</v>
      </c>
      <c r="B89" s="20">
        <v>64.599999999999994</v>
      </c>
      <c r="C89" s="21"/>
    </row>
    <row r="90" spans="1:3" x14ac:dyDescent="0.15">
      <c r="A90" s="19">
        <v>41816</v>
      </c>
      <c r="B90" s="20">
        <v>64.5</v>
      </c>
      <c r="C90" s="21"/>
    </row>
    <row r="91" spans="1:3" x14ac:dyDescent="0.15">
      <c r="A91" s="19">
        <v>41817</v>
      </c>
      <c r="B91" s="20">
        <v>64.5</v>
      </c>
      <c r="C91" s="21"/>
    </row>
    <row r="92" spans="1:3" x14ac:dyDescent="0.15">
      <c r="A92" s="19">
        <v>41818</v>
      </c>
      <c r="B92" s="20">
        <v>64.8</v>
      </c>
      <c r="C92" s="21"/>
    </row>
    <row r="93" spans="1:3" x14ac:dyDescent="0.15">
      <c r="A93" s="19">
        <v>41819</v>
      </c>
      <c r="B93" s="20">
        <v>64.3</v>
      </c>
      <c r="C93" s="21"/>
    </row>
    <row r="94" spans="1:3" x14ac:dyDescent="0.15">
      <c r="A94" s="19">
        <v>41820</v>
      </c>
      <c r="B94" s="20">
        <v>64.5</v>
      </c>
      <c r="C94" s="21"/>
    </row>
    <row r="95" spans="1:3" x14ac:dyDescent="0.15">
      <c r="A95" s="19">
        <v>41821</v>
      </c>
      <c r="B95" s="20">
        <v>64</v>
      </c>
      <c r="C95" s="21"/>
    </row>
    <row r="96" spans="1:3" x14ac:dyDescent="0.15">
      <c r="A96" s="19">
        <v>41822</v>
      </c>
      <c r="B96" s="20">
        <v>64.099999999999994</v>
      </c>
      <c r="C96" s="21"/>
    </row>
    <row r="97" spans="1:3" x14ac:dyDescent="0.15">
      <c r="A97" s="19">
        <v>41823</v>
      </c>
      <c r="B97" s="20">
        <v>63.9</v>
      </c>
      <c r="C97" s="21"/>
    </row>
    <row r="98" spans="1:3" x14ac:dyDescent="0.15">
      <c r="A98" s="19">
        <v>41824</v>
      </c>
      <c r="B98" s="20">
        <v>64.3</v>
      </c>
      <c r="C98" s="21"/>
    </row>
  </sheetData>
  <mergeCells count="2">
    <mergeCell ref="A2:A3"/>
    <mergeCell ref="C2:C3"/>
  </mergeCells>
  <hyperlinks>
    <hyperlink ref="A1" r:id="rId1" xr:uid="{00000000-0004-0000-0800-000000000000}"/>
  </hyperlinks>
  <pageMargins left="0.70000000000000007" right="0.70000000000000007" top="0.75" bottom="0.75" header="0.30000000000000004" footer="0.30000000000000004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Raw_data</vt:lpstr>
      <vt:lpstr>locations</vt:lpstr>
      <vt:lpstr>_Taxa_#_and_total_Composition</vt:lpstr>
      <vt:lpstr>drift_densities,_EPT,_diversity</vt:lpstr>
      <vt:lpstr>S-W Diversity</vt:lpstr>
      <vt:lpstr>EPT_density_over_time</vt:lpstr>
      <vt:lpstr>Fish</vt:lpstr>
      <vt:lpstr>Discharge</vt:lpstr>
      <vt:lpstr>Temperature (OBB)</vt:lpstr>
      <vt:lpstr>FlowTemp</vt:lpstr>
      <vt:lpstr>Compositon_at_Sites</vt:lpstr>
      <vt:lpstr>Raw_data!_FilterDatabase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Yuba_ARIS2013</dc:creator>
  <cp:lastModifiedBy>J. Guignard</cp:lastModifiedBy>
  <dcterms:created xsi:type="dcterms:W3CDTF">2015-05-15T19:24:36Z</dcterms:created>
  <dcterms:modified xsi:type="dcterms:W3CDTF">2022-05-06T18:54:30Z</dcterms:modified>
</cp:coreProperties>
</file>