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vstrategies/Downloads/"/>
    </mc:Choice>
  </mc:AlternateContent>
  <xr:revisionPtr revIDLastSave="0" documentId="13_ncr:1_{8EAD6364-9755-2248-9B30-B6CBE878E221}" xr6:coauthVersionLast="47" xr6:coauthVersionMax="47" xr10:uidLastSave="{00000000-0000-0000-0000-000000000000}"/>
  <bookViews>
    <workbookView xWindow="0" yWindow="500" windowWidth="28800" windowHeight="14020" xr2:uid="{FA12B5EB-A2C4-4598-8074-1ABE51BC5A1C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9" i="2" l="1"/>
  <c r="D102" i="2"/>
  <c r="L102" i="2"/>
  <c r="K102" i="2"/>
  <c r="J102" i="2"/>
  <c r="G102" i="2"/>
  <c r="F102" i="2"/>
  <c r="E102" i="2"/>
  <c r="C102" i="2"/>
  <c r="B102" i="2"/>
  <c r="L97" i="2"/>
  <c r="K97" i="2"/>
  <c r="J97" i="2"/>
  <c r="G97" i="2"/>
  <c r="F97" i="2"/>
  <c r="E97" i="2"/>
  <c r="D97" i="2"/>
  <c r="C97" i="2"/>
  <c r="B97" i="2"/>
  <c r="L93" i="2"/>
  <c r="K93" i="2"/>
  <c r="J93" i="2"/>
  <c r="G93" i="2"/>
  <c r="F93" i="2"/>
  <c r="E93" i="2"/>
  <c r="D93" i="2"/>
  <c r="C93" i="2"/>
  <c r="B93" i="2"/>
  <c r="I78" i="2"/>
  <c r="H78" i="2"/>
  <c r="G78" i="2"/>
  <c r="F78" i="2"/>
  <c r="E78" i="2"/>
  <c r="D78" i="2"/>
  <c r="C78" i="2"/>
  <c r="B78" i="2"/>
  <c r="I73" i="2"/>
  <c r="H73" i="2"/>
  <c r="G73" i="2"/>
  <c r="F73" i="2"/>
  <c r="E73" i="2"/>
  <c r="D73" i="2"/>
  <c r="C73" i="2"/>
  <c r="B73" i="2"/>
  <c r="I69" i="2"/>
  <c r="H69" i="2"/>
  <c r="G69" i="2"/>
  <c r="F69" i="2"/>
  <c r="E69" i="2"/>
  <c r="D69" i="2"/>
  <c r="C69" i="2"/>
  <c r="M57" i="2"/>
  <c r="L57" i="2"/>
  <c r="K57" i="2"/>
  <c r="J57" i="2"/>
  <c r="I57" i="2"/>
  <c r="H57" i="2"/>
  <c r="G57" i="2"/>
  <c r="F57" i="2"/>
  <c r="E57" i="2"/>
  <c r="D57" i="2"/>
  <c r="C57" i="2"/>
  <c r="B57" i="2"/>
  <c r="M52" i="2"/>
  <c r="L52" i="2"/>
  <c r="K52" i="2"/>
  <c r="J52" i="2"/>
  <c r="I52" i="2"/>
  <c r="H52" i="2"/>
  <c r="G52" i="2"/>
  <c r="F52" i="2"/>
  <c r="E52" i="2"/>
  <c r="D52" i="2"/>
  <c r="C52" i="2"/>
  <c r="B52" i="2"/>
  <c r="M48" i="2"/>
  <c r="L48" i="2"/>
  <c r="K48" i="2"/>
  <c r="J48" i="2"/>
  <c r="I48" i="2"/>
  <c r="H48" i="2"/>
  <c r="G48" i="2"/>
  <c r="F48" i="2"/>
  <c r="E48" i="2"/>
  <c r="D48" i="2"/>
  <c r="C48" i="2"/>
  <c r="B48" i="2"/>
  <c r="M35" i="2"/>
  <c r="L35" i="2"/>
  <c r="K35" i="2"/>
  <c r="J35" i="2"/>
  <c r="I35" i="2"/>
  <c r="H35" i="2"/>
  <c r="F35" i="2"/>
  <c r="E35" i="2"/>
  <c r="D35" i="2"/>
  <c r="C35" i="2"/>
  <c r="B35" i="2"/>
  <c r="M30" i="2"/>
  <c r="L30" i="2"/>
  <c r="K30" i="2"/>
  <c r="J30" i="2"/>
  <c r="I30" i="2"/>
  <c r="H30" i="2"/>
  <c r="G30" i="2"/>
  <c r="F30" i="2"/>
  <c r="E30" i="2"/>
  <c r="D30" i="2"/>
  <c r="C30" i="2"/>
  <c r="B30" i="2"/>
  <c r="M26" i="2"/>
  <c r="L26" i="2"/>
  <c r="K26" i="2"/>
  <c r="J26" i="2"/>
  <c r="I26" i="2"/>
  <c r="H26" i="2"/>
  <c r="G26" i="2"/>
  <c r="F26" i="2"/>
  <c r="E26" i="2"/>
  <c r="D26" i="2"/>
  <c r="C26" i="2"/>
  <c r="B26" i="2"/>
  <c r="L101" i="2"/>
  <c r="K101" i="2"/>
  <c r="J101" i="2"/>
  <c r="G101" i="2"/>
  <c r="F101" i="2"/>
  <c r="E101" i="2"/>
  <c r="D101" i="2"/>
  <c r="C101" i="2"/>
  <c r="B101" i="2"/>
  <c r="L96" i="2"/>
  <c r="K96" i="2"/>
  <c r="J96" i="2"/>
  <c r="G96" i="2"/>
  <c r="F96" i="2"/>
  <c r="E96" i="2"/>
  <c r="D96" i="2"/>
  <c r="C96" i="2"/>
  <c r="B96" i="2"/>
  <c r="L92" i="2"/>
  <c r="K92" i="2"/>
  <c r="J92" i="2"/>
  <c r="G92" i="2"/>
  <c r="F92" i="2"/>
  <c r="E92" i="2"/>
  <c r="D92" i="2"/>
  <c r="C92" i="2"/>
  <c r="B92" i="2"/>
  <c r="I77" i="2"/>
  <c r="H77" i="2"/>
  <c r="G77" i="2"/>
  <c r="F77" i="2"/>
  <c r="E77" i="2"/>
  <c r="D77" i="2"/>
  <c r="C77" i="2"/>
  <c r="B77" i="2"/>
  <c r="I72" i="2"/>
  <c r="H72" i="2"/>
  <c r="G72" i="2"/>
  <c r="F72" i="2"/>
  <c r="E72" i="2"/>
  <c r="D72" i="2"/>
  <c r="C72" i="2"/>
  <c r="B72" i="2"/>
  <c r="I68" i="2"/>
  <c r="H68" i="2"/>
  <c r="G68" i="2"/>
  <c r="F68" i="2"/>
  <c r="E68" i="2"/>
  <c r="D68" i="2"/>
  <c r="C68" i="2"/>
  <c r="B68" i="2"/>
  <c r="M56" i="2"/>
  <c r="L56" i="2"/>
  <c r="K56" i="2"/>
  <c r="J56" i="2"/>
  <c r="I56" i="2"/>
  <c r="H56" i="2"/>
  <c r="G56" i="2"/>
  <c r="F56" i="2"/>
  <c r="E56" i="2"/>
  <c r="D56" i="2"/>
  <c r="C56" i="2"/>
  <c r="B56" i="2"/>
  <c r="M51" i="2"/>
  <c r="L51" i="2"/>
  <c r="K51" i="2"/>
  <c r="J51" i="2"/>
  <c r="I51" i="2"/>
  <c r="H51" i="2"/>
  <c r="G51" i="2"/>
  <c r="F51" i="2"/>
  <c r="E51" i="2"/>
  <c r="D51" i="2"/>
  <c r="C51" i="2"/>
  <c r="B51" i="2"/>
  <c r="M47" i="2"/>
  <c r="L47" i="2"/>
  <c r="K47" i="2"/>
  <c r="J47" i="2"/>
  <c r="I47" i="2"/>
  <c r="H47" i="2"/>
  <c r="G47" i="2"/>
  <c r="F47" i="2"/>
  <c r="E47" i="2"/>
  <c r="D47" i="2"/>
  <c r="C47" i="2"/>
  <c r="B47" i="2"/>
  <c r="M34" i="2"/>
  <c r="L34" i="2"/>
  <c r="K34" i="2"/>
  <c r="J34" i="2"/>
  <c r="I34" i="2"/>
  <c r="G34" i="2"/>
  <c r="E34" i="2"/>
  <c r="D34" i="2"/>
  <c r="C34" i="2"/>
  <c r="B34" i="2"/>
  <c r="M29" i="2"/>
  <c r="L29" i="2"/>
  <c r="K29" i="2"/>
  <c r="J29" i="2"/>
  <c r="I29" i="2"/>
  <c r="F29" i="2"/>
  <c r="D29" i="2"/>
  <c r="C29" i="2"/>
  <c r="L25" i="2"/>
  <c r="K25" i="2"/>
  <c r="J25" i="2"/>
  <c r="I25" i="2"/>
  <c r="H25" i="2"/>
  <c r="G25" i="2"/>
  <c r="F25" i="2"/>
  <c r="E25" i="2"/>
  <c r="D25" i="2"/>
  <c r="C25" i="2"/>
  <c r="B25" i="2"/>
</calcChain>
</file>

<file path=xl/sharedStrings.xml><?xml version="1.0" encoding="utf-8"?>
<sst xmlns="http://schemas.openxmlformats.org/spreadsheetml/2006/main" count="111" uniqueCount="33">
  <si>
    <r>
      <t>CURRENT AND PROPOSED RATES FOR SOLID WASTE SERVICES CHARGES</t>
    </r>
    <r>
      <rPr>
        <sz val="8"/>
        <color theme="1"/>
        <rFont val="Times New Roman"/>
        <family val="1"/>
      </rPr>
      <t> </t>
    </r>
  </si>
  <si>
    <t>Automated 3-cart Set</t>
  </si>
  <si>
    <t>Automated Extra Refuse Cart</t>
  </si>
  <si>
    <t>Gallons</t>
  </si>
  <si>
    <t>Current</t>
  </si>
  <si>
    <t>Automated Extra Recycling Carts</t>
  </si>
  <si>
    <t>Carts</t>
  </si>
  <si>
    <t>Bins</t>
  </si>
  <si>
    <t>96 gal</t>
  </si>
  <si>
    <t>1.5 yd</t>
  </si>
  <si>
    <t>2 yd</t>
  </si>
  <si>
    <t>3 yd</t>
  </si>
  <si>
    <t>4 yd</t>
  </si>
  <si>
    <t>6 yd</t>
  </si>
  <si>
    <t>Once per week service – first container:</t>
  </si>
  <si>
    <t>Each additional pickup per week – each additional container:</t>
  </si>
  <si>
    <t>Commercial Recycling Rates</t>
  </si>
  <si>
    <t>Compactor</t>
  </si>
  <si>
    <t>32 gal</t>
  </si>
  <si>
    <t>64 gal</t>
  </si>
  <si>
    <t>Commercial Refuse Rates</t>
  </si>
  <si>
    <t>Automated Extra Organic Waste Carts</t>
  </si>
  <si>
    <t>Each additional pickup per week - first container</t>
  </si>
  <si>
    <t>Commercial Green Rates</t>
  </si>
  <si>
    <t>Roll-Off Containers</t>
  </si>
  <si>
    <t>10 YD - Refuse</t>
  </si>
  <si>
    <t>20 YD - Refuse</t>
  </si>
  <si>
    <t>30 YD - Refuse</t>
  </si>
  <si>
    <t>40 YD - Refuse</t>
  </si>
  <si>
    <t>Recyling per load</t>
  </si>
  <si>
    <t xml:space="preserve">Inert/Green Waste per Load </t>
  </si>
  <si>
    <t>Dry Run/Other Haul Charge</t>
  </si>
  <si>
    <t>Commercial Organic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</si>
</sst>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9" x14ac:knownFonts="1">
    <font>
      <sz val="11"/>
      <color theme="1"/>
      <name val="Aptos Narrow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8"/>
      <color theme="1"/>
      <name val="Times New Roman"/>
      <family val="1"/>
    </font>
    <font>
      <b/>
      <u/>
      <sz val="10"/>
      <color theme="1"/>
      <name val="Times New Roman"/>
      <family val="1"/>
    </font>
    <font>
      <u/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u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4" fillId="0" borderId="0" xfId="0" applyFont="1" applyAlignment="1">
      <alignment horizontal="center" vertical="center" wrapText="1"/>
    </xf>
    <xf numFmtId="15" fontId="4" fillId="0" borderId="0" xfId="0" applyNumberFormat="1" applyFont="1" applyAlignment="1">
      <alignment horizontal="center" vertical="center" wrapText="1"/>
    </xf>
    <xf numFmtId="17" fontId="4" fillId="0" borderId="3" xfId="0" applyNumberFormat="1" applyFont="1" applyBorder="1" applyAlignment="1">
      <alignment horizontal="center" vertical="center" wrapText="1"/>
    </xf>
    <xf numFmtId="17" fontId="4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8" fontId="1" fillId="0" borderId="0" xfId="0" applyNumberFormat="1" applyFont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8" fontId="1" fillId="0" borderId="4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8" fontId="1" fillId="0" borderId="5" xfId="0" applyNumberFormat="1" applyFont="1" applyBorder="1" applyAlignment="1">
      <alignment horizontal="center" vertical="center" wrapText="1"/>
    </xf>
    <xf numFmtId="0" fontId="0" fillId="0" borderId="3" xfId="0" applyBorder="1"/>
    <xf numFmtId="0" fontId="2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8" fontId="1" fillId="0" borderId="0" xfId="0" applyNumberFormat="1" applyFont="1" applyAlignment="1">
      <alignment vertical="center" wrapText="1"/>
    </xf>
    <xf numFmtId="8" fontId="1" fillId="2" borderId="0" xfId="0" applyNumberFormat="1" applyFont="1" applyFill="1" applyAlignment="1">
      <alignment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8" fontId="1" fillId="2" borderId="4" xfId="0" applyNumberFormat="1" applyFont="1" applyFill="1" applyBorder="1" applyAlignment="1">
      <alignment horizontal="center" vertical="center" wrapText="1"/>
    </xf>
    <xf numFmtId="8" fontId="1" fillId="0" borderId="2" xfId="0" applyNumberFormat="1" applyFont="1" applyBorder="1" applyAlignment="1">
      <alignment horizontal="center" vertical="center" wrapText="1"/>
    </xf>
    <xf numFmtId="15" fontId="5" fillId="0" borderId="7" xfId="0" applyNumberFormat="1" applyFont="1" applyBorder="1" applyAlignment="1">
      <alignment horizontal="center" vertical="center" wrapText="1"/>
    </xf>
    <xf numFmtId="17" fontId="5" fillId="0" borderId="10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8" fontId="1" fillId="2" borderId="1" xfId="0" applyNumberFormat="1" applyFont="1" applyFill="1" applyBorder="1" applyAlignment="1">
      <alignment horizontal="center" vertical="center" wrapText="1"/>
    </xf>
    <xf numFmtId="8" fontId="1" fillId="2" borderId="3" xfId="0" applyNumberFormat="1" applyFont="1" applyFill="1" applyBorder="1" applyAlignment="1">
      <alignment horizontal="center" vertical="center" wrapText="1"/>
    </xf>
    <xf numFmtId="8" fontId="1" fillId="2" borderId="5" xfId="0" applyNumberFormat="1" applyFont="1" applyFill="1" applyBorder="1" applyAlignment="1">
      <alignment horizontal="center" vertical="center" wrapText="1"/>
    </xf>
    <xf numFmtId="8" fontId="1" fillId="3" borderId="0" xfId="0" applyNumberFormat="1" applyFont="1" applyFill="1" applyAlignment="1">
      <alignment horizontal="center" vertical="center" wrapText="1"/>
    </xf>
    <xf numFmtId="8" fontId="1" fillId="3" borderId="3" xfId="0" applyNumberFormat="1" applyFont="1" applyFill="1" applyBorder="1" applyAlignment="1">
      <alignment horizontal="center" vertical="center" wrapText="1"/>
    </xf>
    <xf numFmtId="8" fontId="1" fillId="3" borderId="4" xfId="0" applyNumberFormat="1" applyFont="1" applyFill="1" applyBorder="1" applyAlignment="1">
      <alignment horizontal="center" vertical="center" wrapText="1"/>
    </xf>
    <xf numFmtId="8" fontId="1" fillId="3" borderId="5" xfId="0" applyNumberFormat="1" applyFont="1" applyFill="1" applyBorder="1" applyAlignment="1">
      <alignment horizontal="center" vertical="center" wrapText="1"/>
    </xf>
    <xf numFmtId="8" fontId="1" fillId="0" borderId="2" xfId="0" applyNumberFormat="1" applyFont="1" applyBorder="1" applyAlignment="1">
      <alignment vertical="center" wrapText="1"/>
    </xf>
    <xf numFmtId="8" fontId="1" fillId="2" borderId="2" xfId="0" applyNumberFormat="1" applyFont="1" applyFill="1" applyBorder="1" applyAlignment="1">
      <alignment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5" fontId="5" fillId="0" borderId="9" xfId="0" applyNumberFormat="1" applyFont="1" applyBorder="1" applyAlignment="1">
      <alignment horizontal="center" vertical="center" wrapText="1"/>
    </xf>
    <xf numFmtId="164" fontId="1" fillId="0" borderId="9" xfId="0" applyNumberFormat="1" applyFont="1" applyBorder="1" applyAlignment="1">
      <alignment horizontal="center" vertical="center" wrapText="1"/>
    </xf>
    <xf numFmtId="0" fontId="0" fillId="0" borderId="7" xfId="0" applyBorder="1"/>
    <xf numFmtId="0" fontId="6" fillId="0" borderId="7" xfId="0" applyFont="1" applyBorder="1"/>
    <xf numFmtId="0" fontId="6" fillId="0" borderId="0" xfId="0" applyFont="1"/>
    <xf numFmtId="0" fontId="6" fillId="0" borderId="3" xfId="0" applyFont="1" applyBorder="1"/>
    <xf numFmtId="164" fontId="1" fillId="0" borderId="8" xfId="0" applyNumberFormat="1" applyFont="1" applyBorder="1" applyAlignment="1">
      <alignment horizontal="center"/>
    </xf>
    <xf numFmtId="15" fontId="8" fillId="0" borderId="8" xfId="0" applyNumberFormat="1" applyFont="1" applyBorder="1" applyAlignment="1">
      <alignment horizontal="center" vertical="center" wrapText="1"/>
    </xf>
    <xf numFmtId="17" fontId="8" fillId="0" borderId="8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left"/>
    </xf>
    <xf numFmtId="0" fontId="2" fillId="0" borderId="1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13" xfId="0" applyFont="1" applyBorder="1" applyAlignment="1">
      <alignment horizontal="left"/>
    </xf>
    <xf numFmtId="0" fontId="2" fillId="4" borderId="11" xfId="0" applyFont="1" applyFill="1" applyBorder="1" applyAlignment="1">
      <alignment horizontal="left" vertical="center" wrapText="1"/>
    </xf>
    <xf numFmtId="0" fontId="2" fillId="4" borderId="12" xfId="0" applyFont="1" applyFill="1" applyBorder="1" applyAlignment="1">
      <alignment horizontal="left" vertical="center" wrapText="1"/>
    </xf>
    <xf numFmtId="0" fontId="2" fillId="4" borderId="13" xfId="0" applyFont="1" applyFill="1" applyBorder="1" applyAlignment="1">
      <alignment horizontal="left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vertical="center" wrapText="1"/>
    </xf>
    <xf numFmtId="0" fontId="1" fillId="4" borderId="9" xfId="0" applyFont="1" applyFill="1" applyBorder="1" applyAlignment="1">
      <alignment horizontal="center" vertical="center" wrapText="1"/>
    </xf>
    <xf numFmtId="164" fontId="4" fillId="4" borderId="3" xfId="0" applyNumberFormat="1" applyFont="1" applyFill="1" applyBorder="1" applyAlignment="1">
      <alignment horizontal="center" vertical="center" wrapText="1"/>
    </xf>
    <xf numFmtId="8" fontId="1" fillId="4" borderId="3" xfId="0" applyNumberFormat="1" applyFont="1" applyFill="1" applyBorder="1" applyAlignment="1">
      <alignment horizontal="center" vertical="center" wrapText="1"/>
    </xf>
    <xf numFmtId="8" fontId="1" fillId="4" borderId="0" xfId="0" applyNumberFormat="1" applyFont="1" applyFill="1" applyAlignment="1">
      <alignment horizontal="center" vertical="center" wrapText="1"/>
    </xf>
    <xf numFmtId="15" fontId="5" fillId="4" borderId="7" xfId="0" applyNumberFormat="1" applyFont="1" applyFill="1" applyBorder="1" applyAlignment="1">
      <alignment horizontal="center" vertical="center" wrapText="1"/>
    </xf>
    <xf numFmtId="164" fontId="1" fillId="4" borderId="7" xfId="0" applyNumberFormat="1" applyFont="1" applyFill="1" applyBorder="1" applyAlignment="1">
      <alignment horizontal="center" vertical="center" wrapText="1"/>
    </xf>
    <xf numFmtId="8" fontId="1" fillId="4" borderId="9" xfId="0" applyNumberFormat="1" applyFont="1" applyFill="1" applyBorder="1" applyAlignment="1">
      <alignment horizontal="center" vertical="center" wrapText="1"/>
    </xf>
    <xf numFmtId="17" fontId="5" fillId="4" borderId="10" xfId="0" applyNumberFormat="1" applyFont="1" applyFill="1" applyBorder="1" applyAlignment="1">
      <alignment horizontal="center" vertical="center" wrapText="1"/>
    </xf>
    <xf numFmtId="164" fontId="1" fillId="4" borderId="5" xfId="0" applyNumberFormat="1" applyFont="1" applyFill="1" applyBorder="1" applyAlignment="1">
      <alignment horizontal="center" vertical="center" wrapText="1"/>
    </xf>
    <xf numFmtId="8" fontId="1" fillId="4" borderId="5" xfId="0" applyNumberFormat="1" applyFont="1" applyFill="1" applyBorder="1" applyAlignment="1">
      <alignment horizontal="center" vertical="center" wrapText="1"/>
    </xf>
    <xf numFmtId="8" fontId="1" fillId="4" borderId="4" xfId="0" applyNumberFormat="1" applyFont="1" applyFill="1" applyBorder="1" applyAlignment="1">
      <alignment horizontal="center" vertical="center" wrapText="1"/>
    </xf>
    <xf numFmtId="8" fontId="1" fillId="4" borderId="0" xfId="0" applyNumberFormat="1" applyFont="1" applyFill="1" applyAlignment="1">
      <alignment vertical="center" wrapText="1"/>
    </xf>
    <xf numFmtId="8" fontId="1" fillId="4" borderId="3" xfId="0" applyNumberFormat="1" applyFont="1" applyFill="1" applyBorder="1" applyAlignment="1">
      <alignment vertical="center" wrapText="1"/>
    </xf>
    <xf numFmtId="8" fontId="1" fillId="4" borderId="4" xfId="0" applyNumberFormat="1" applyFont="1" applyFill="1" applyBorder="1" applyAlignment="1">
      <alignment vertical="center" wrapText="1"/>
    </xf>
    <xf numFmtId="8" fontId="1" fillId="4" borderId="5" xfId="0" applyNumberFormat="1" applyFont="1" applyFill="1" applyBorder="1" applyAlignment="1">
      <alignment vertical="center" wrapText="1"/>
    </xf>
    <xf numFmtId="164" fontId="1" fillId="4" borderId="3" xfId="0" applyNumberFormat="1" applyFont="1" applyFill="1" applyBorder="1" applyAlignment="1">
      <alignment horizontal="center" vertical="center" wrapText="1"/>
    </xf>
    <xf numFmtId="164" fontId="1" fillId="4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8FBDE-0EF2-4EB8-BA2F-4191098D5BB6}">
  <dimension ref="A2:N114"/>
  <sheetViews>
    <sheetView tabSelected="1" topLeftCell="A97" workbookViewId="0">
      <selection activeCell="J101" sqref="J101:L101"/>
    </sheetView>
  </sheetViews>
  <sheetFormatPr baseColWidth="10" defaultColWidth="8.83203125" defaultRowHeight="15" x14ac:dyDescent="0.2"/>
  <cols>
    <col min="1" max="1" width="9.83203125" customWidth="1"/>
  </cols>
  <sheetData>
    <row r="2" spans="1:13" ht="16" thickBot="1" x14ac:dyDescent="0.25">
      <c r="A2" s="50" t="s">
        <v>0</v>
      </c>
      <c r="B2" s="50"/>
      <c r="C2" s="50"/>
      <c r="D2" s="50"/>
      <c r="E2" s="50"/>
      <c r="F2" s="50"/>
      <c r="G2" s="50"/>
      <c r="H2" s="50"/>
    </row>
    <row r="3" spans="1:13" x14ac:dyDescent="0.2">
      <c r="A3" s="51" t="s">
        <v>1</v>
      </c>
      <c r="B3" s="51"/>
      <c r="C3" s="51"/>
      <c r="D3" s="52"/>
      <c r="E3" s="53" t="s">
        <v>2</v>
      </c>
      <c r="F3" s="51"/>
      <c r="G3" s="51"/>
      <c r="H3" s="51"/>
    </row>
    <row r="4" spans="1:13" x14ac:dyDescent="0.2">
      <c r="A4" s="1" t="s">
        <v>3</v>
      </c>
      <c r="B4" s="1" t="s">
        <v>4</v>
      </c>
      <c r="C4" s="2">
        <v>45931</v>
      </c>
      <c r="D4" s="3">
        <v>46204</v>
      </c>
      <c r="E4" s="1" t="s">
        <v>3</v>
      </c>
      <c r="F4" s="1" t="s">
        <v>4</v>
      </c>
      <c r="G4" s="2">
        <v>45931</v>
      </c>
      <c r="H4" s="4">
        <v>46204</v>
      </c>
    </row>
    <row r="5" spans="1:13" x14ac:dyDescent="0.2">
      <c r="A5" s="5">
        <v>96</v>
      </c>
      <c r="B5" s="6">
        <v>43.81</v>
      </c>
      <c r="C5" s="8">
        <v>47.7</v>
      </c>
      <c r="D5" s="9">
        <v>51.59</v>
      </c>
      <c r="E5" s="5">
        <v>96</v>
      </c>
      <c r="F5" s="6">
        <v>12.15</v>
      </c>
      <c r="G5" s="6">
        <v>14.04</v>
      </c>
      <c r="H5" s="6">
        <v>15.93</v>
      </c>
    </row>
    <row r="6" spans="1:13" x14ac:dyDescent="0.2">
      <c r="A6" s="5">
        <v>64</v>
      </c>
      <c r="B6" s="6">
        <v>39.450000000000003</v>
      </c>
      <c r="C6" s="8">
        <v>42.68</v>
      </c>
      <c r="D6" s="9">
        <v>45.91</v>
      </c>
      <c r="E6" s="5">
        <v>64</v>
      </c>
      <c r="F6" s="6">
        <v>7.73</v>
      </c>
      <c r="G6" s="6">
        <v>8.9600000000000009</v>
      </c>
      <c r="H6" s="6">
        <v>10.19</v>
      </c>
    </row>
    <row r="7" spans="1:13" ht="16" thickBot="1" x14ac:dyDescent="0.25">
      <c r="A7" s="5">
        <v>32</v>
      </c>
      <c r="B7" s="6">
        <v>35.6</v>
      </c>
      <c r="C7" s="10">
        <v>38.090000000000003</v>
      </c>
      <c r="D7" s="11">
        <v>40.590000000000003</v>
      </c>
      <c r="E7" s="5">
        <v>32</v>
      </c>
      <c r="F7" s="6">
        <v>3.75</v>
      </c>
      <c r="G7" s="6">
        <v>4.2699999999999996</v>
      </c>
      <c r="H7" s="6">
        <v>4.79</v>
      </c>
    </row>
    <row r="8" spans="1:13" x14ac:dyDescent="0.2">
      <c r="A8" s="51" t="s">
        <v>5</v>
      </c>
      <c r="B8" s="51"/>
      <c r="C8" s="51"/>
      <c r="D8" s="52"/>
      <c r="E8" s="53" t="s">
        <v>21</v>
      </c>
      <c r="F8" s="51"/>
      <c r="G8" s="51"/>
      <c r="H8" s="51"/>
    </row>
    <row r="9" spans="1:13" x14ac:dyDescent="0.2">
      <c r="A9" s="1" t="s">
        <v>3</v>
      </c>
      <c r="B9" s="1" t="s">
        <v>4</v>
      </c>
      <c r="C9" s="2">
        <v>45931</v>
      </c>
      <c r="D9" s="3">
        <v>46204</v>
      </c>
      <c r="E9" s="1" t="s">
        <v>3</v>
      </c>
      <c r="F9" s="1" t="s">
        <v>4</v>
      </c>
      <c r="G9" s="2">
        <v>45931</v>
      </c>
      <c r="H9" s="4">
        <v>46204</v>
      </c>
    </row>
    <row r="10" spans="1:13" x14ac:dyDescent="0.2">
      <c r="A10" s="5">
        <v>96</v>
      </c>
      <c r="B10" s="6">
        <v>7.34</v>
      </c>
      <c r="C10" s="6">
        <v>8.2799999999999994</v>
      </c>
      <c r="D10" s="6">
        <v>9.23</v>
      </c>
      <c r="E10" s="15">
        <v>96</v>
      </c>
      <c r="F10" s="6">
        <v>13.69</v>
      </c>
      <c r="G10" s="6">
        <v>14.02</v>
      </c>
      <c r="H10" s="6">
        <v>14.36</v>
      </c>
    </row>
    <row r="11" spans="1:13" x14ac:dyDescent="0.2">
      <c r="A11" s="5">
        <v>64</v>
      </c>
      <c r="B11" s="1"/>
      <c r="C11" s="20">
        <v>7</v>
      </c>
      <c r="D11" s="21">
        <v>6.66</v>
      </c>
      <c r="E11" s="5">
        <v>64</v>
      </c>
      <c r="F11" s="1"/>
      <c r="G11" s="20">
        <v>12.24</v>
      </c>
      <c r="H11" s="20">
        <v>10.79</v>
      </c>
    </row>
    <row r="12" spans="1:13" ht="16" thickBot="1" x14ac:dyDescent="0.25">
      <c r="A12" s="12">
        <v>32</v>
      </c>
      <c r="B12" s="10"/>
      <c r="C12" s="19">
        <v>5.81</v>
      </c>
      <c r="D12" s="13">
        <v>4.28</v>
      </c>
      <c r="E12" s="12">
        <v>32</v>
      </c>
      <c r="F12" s="10"/>
      <c r="G12" s="10">
        <v>10.55</v>
      </c>
      <c r="H12" s="10">
        <v>7.4</v>
      </c>
    </row>
    <row r="15" spans="1:13" ht="16" thickBot="1" x14ac:dyDescent="0.25"/>
    <row r="16" spans="1:13" ht="16" thickBot="1" x14ac:dyDescent="0.25">
      <c r="A16" s="60" t="s">
        <v>20</v>
      </c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2"/>
    </row>
    <row r="17" spans="1:13" ht="16" thickBot="1" x14ac:dyDescent="0.25">
      <c r="A17" s="63"/>
      <c r="B17" s="64" t="s">
        <v>6</v>
      </c>
      <c r="C17" s="65"/>
      <c r="D17" s="66"/>
      <c r="E17" s="64" t="s">
        <v>7</v>
      </c>
      <c r="F17" s="65"/>
      <c r="G17" s="65"/>
      <c r="H17" s="65"/>
      <c r="I17" s="65"/>
      <c r="J17" s="65" t="s">
        <v>17</v>
      </c>
      <c r="K17" s="65"/>
      <c r="L17" s="65"/>
      <c r="M17" s="66"/>
    </row>
    <row r="18" spans="1:13" ht="16" thickBot="1" x14ac:dyDescent="0.25">
      <c r="A18" s="67"/>
      <c r="B18" s="68" t="s">
        <v>18</v>
      </c>
      <c r="C18" s="68" t="s">
        <v>19</v>
      </c>
      <c r="D18" s="68" t="s">
        <v>8</v>
      </c>
      <c r="E18" s="69" t="s">
        <v>9</v>
      </c>
      <c r="F18" s="69" t="s">
        <v>10</v>
      </c>
      <c r="G18" s="70" t="s">
        <v>11</v>
      </c>
      <c r="H18" s="70" t="s">
        <v>12</v>
      </c>
      <c r="I18" s="70" t="s">
        <v>13</v>
      </c>
      <c r="J18" s="70" t="s">
        <v>10</v>
      </c>
      <c r="K18" s="70" t="s">
        <v>11</v>
      </c>
      <c r="L18" s="70" t="s">
        <v>12</v>
      </c>
      <c r="M18" s="71" t="s">
        <v>13</v>
      </c>
    </row>
    <row r="19" spans="1:13" ht="16" thickBot="1" x14ac:dyDescent="0.25">
      <c r="A19" s="60" t="s">
        <v>14</v>
      </c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2"/>
    </row>
    <row r="20" spans="1:13" x14ac:dyDescent="0.2">
      <c r="A20" s="72" t="s">
        <v>4</v>
      </c>
      <c r="B20" s="73"/>
      <c r="C20" s="73"/>
      <c r="D20" s="74">
        <v>16.809999999999999</v>
      </c>
      <c r="E20" s="75">
        <v>140.01</v>
      </c>
      <c r="F20" s="75">
        <v>154.22999999999999</v>
      </c>
      <c r="G20" s="75">
        <v>179.09</v>
      </c>
      <c r="H20" s="75">
        <v>213.25</v>
      </c>
      <c r="I20" s="75">
        <v>281.57</v>
      </c>
      <c r="J20" s="75">
        <v>235.71</v>
      </c>
      <c r="K20" s="75">
        <v>315.26</v>
      </c>
      <c r="L20" s="75">
        <v>404.12</v>
      </c>
      <c r="M20" s="74">
        <v>684.98</v>
      </c>
    </row>
    <row r="21" spans="1:13" x14ac:dyDescent="0.2">
      <c r="A21" s="76">
        <v>45931</v>
      </c>
      <c r="B21" s="77">
        <v>8.48</v>
      </c>
      <c r="C21" s="77">
        <v>13.09</v>
      </c>
      <c r="D21" s="78">
        <v>18.57</v>
      </c>
      <c r="E21" s="75">
        <v>149.4</v>
      </c>
      <c r="F21" s="75">
        <v>163.25</v>
      </c>
      <c r="G21" s="75">
        <v>190.79</v>
      </c>
      <c r="H21" s="75">
        <v>222.89</v>
      </c>
      <c r="I21" s="75">
        <v>295.88</v>
      </c>
      <c r="J21" s="75">
        <v>237.86</v>
      </c>
      <c r="K21" s="75">
        <v>318.33999999999997</v>
      </c>
      <c r="L21" s="75">
        <v>404.31</v>
      </c>
      <c r="M21" s="74">
        <v>674.6</v>
      </c>
    </row>
    <row r="22" spans="1:13" ht="16" thickBot="1" x14ac:dyDescent="0.25">
      <c r="A22" s="79">
        <v>46204</v>
      </c>
      <c r="B22" s="80">
        <v>9.08</v>
      </c>
      <c r="C22" s="80">
        <v>14.42</v>
      </c>
      <c r="D22" s="81">
        <v>20.329999999999998</v>
      </c>
      <c r="E22" s="82">
        <v>158.78</v>
      </c>
      <c r="F22" s="82">
        <v>172.28</v>
      </c>
      <c r="G22" s="82">
        <v>202.49</v>
      </c>
      <c r="H22" s="82">
        <v>232.53</v>
      </c>
      <c r="I22" s="82">
        <v>310.18</v>
      </c>
      <c r="J22" s="82">
        <v>240.02</v>
      </c>
      <c r="K22" s="82">
        <v>321.41000000000003</v>
      </c>
      <c r="L22" s="82">
        <v>404.5</v>
      </c>
      <c r="M22" s="81">
        <v>664.21</v>
      </c>
    </row>
    <row r="23" spans="1:13" ht="16" thickBot="1" x14ac:dyDescent="0.25">
      <c r="A23" s="47" t="s">
        <v>22</v>
      </c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9"/>
    </row>
    <row r="24" spans="1:13" x14ac:dyDescent="0.2">
      <c r="A24" s="16" t="s">
        <v>4</v>
      </c>
      <c r="B24" s="36"/>
      <c r="C24" s="36"/>
      <c r="D24" s="36">
        <v>23.8</v>
      </c>
      <c r="E24" s="23">
        <v>58.15</v>
      </c>
      <c r="F24" s="23">
        <v>74.069999999999993</v>
      </c>
      <c r="G24" s="34">
        <v>98.92</v>
      </c>
      <c r="H24" s="34">
        <v>133.08000000000001</v>
      </c>
      <c r="I24" s="34">
        <v>201.4</v>
      </c>
      <c r="J24" s="35">
        <v>155.54</v>
      </c>
      <c r="K24" s="35">
        <v>235.09</v>
      </c>
      <c r="L24" s="35">
        <v>323.95999999999998</v>
      </c>
      <c r="M24" s="27">
        <v>604.82000000000005</v>
      </c>
    </row>
    <row r="25" spans="1:13" x14ac:dyDescent="0.2">
      <c r="A25" s="24">
        <v>45931</v>
      </c>
      <c r="B25" s="38">
        <f>(21.91-8.48)</f>
        <v>13.43</v>
      </c>
      <c r="C25" s="21">
        <f>(31.11-13.09)</f>
        <v>18.02</v>
      </c>
      <c r="D25" s="21">
        <f>(41.19-18.57)</f>
        <v>22.619999999999997</v>
      </c>
      <c r="E25" s="6">
        <f>(203.08-149.4)</f>
        <v>53.680000000000007</v>
      </c>
      <c r="F25" s="6">
        <f>(233.05-163.25)</f>
        <v>69.800000000000011</v>
      </c>
      <c r="G25" s="17">
        <f>(288.12-190.79)</f>
        <v>97.330000000000013</v>
      </c>
      <c r="H25" s="17">
        <f>(352.32-222.89)</f>
        <v>129.43</v>
      </c>
      <c r="I25" s="17">
        <f>(498.29-295.88)</f>
        <v>202.41000000000003</v>
      </c>
      <c r="J25" s="18">
        <f>(382.26-237.86)</f>
        <v>144.39999999999998</v>
      </c>
      <c r="K25" s="18">
        <f>(543.21-318.34)</f>
        <v>224.87000000000006</v>
      </c>
      <c r="L25" s="18">
        <f>(715.16-404.31)</f>
        <v>310.84999999999997</v>
      </c>
      <c r="M25" s="28">
        <v>581.14</v>
      </c>
    </row>
    <row r="26" spans="1:13" ht="16" thickBot="1" x14ac:dyDescent="0.25">
      <c r="A26" s="25">
        <v>46204</v>
      </c>
      <c r="B26" s="26">
        <f>(20.39-9.08)</f>
        <v>11.31</v>
      </c>
      <c r="C26" s="26">
        <f>(31.05-14.42)</f>
        <v>16.630000000000003</v>
      </c>
      <c r="D26" s="26">
        <f>(42.44-20.33)</f>
        <v>22.11</v>
      </c>
      <c r="E26" s="10">
        <f>(209.68-158.78)</f>
        <v>50.900000000000006</v>
      </c>
      <c r="F26" s="10">
        <f>(237.8-172.28)</f>
        <v>65.52000000000001</v>
      </c>
      <c r="G26" s="10">
        <f>(298.22-202.49)</f>
        <v>95.730000000000018</v>
      </c>
      <c r="H26" s="10">
        <f>(358.3-232.53)</f>
        <v>125.77000000000001</v>
      </c>
      <c r="I26" s="10">
        <f>(513.6-310.18)</f>
        <v>203.42000000000002</v>
      </c>
      <c r="J26" s="22">
        <f>(373.27-240.02)</f>
        <v>133.24999999999997</v>
      </c>
      <c r="K26" s="22">
        <f>(536.06-321.41)</f>
        <v>214.64999999999992</v>
      </c>
      <c r="L26" s="22">
        <f>(702.25-404.5)</f>
        <v>297.75</v>
      </c>
      <c r="M26" s="29">
        <f>(1221.67-664.21)</f>
        <v>557.46</v>
      </c>
    </row>
    <row r="27" spans="1:13" ht="16" thickBot="1" x14ac:dyDescent="0.25">
      <c r="A27" s="47" t="s">
        <v>15</v>
      </c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9"/>
    </row>
    <row r="28" spans="1:13" x14ac:dyDescent="0.2">
      <c r="A28" s="16" t="s">
        <v>4</v>
      </c>
      <c r="B28" s="21"/>
      <c r="C28" s="21"/>
      <c r="D28" s="21"/>
      <c r="E28" s="6"/>
      <c r="F28" s="6"/>
      <c r="G28" s="6"/>
      <c r="H28" s="6"/>
      <c r="I28" s="6"/>
      <c r="J28" s="30"/>
      <c r="K28" s="30"/>
      <c r="L28" s="30"/>
      <c r="M28" s="31"/>
    </row>
    <row r="29" spans="1:13" x14ac:dyDescent="0.2">
      <c r="A29" s="24">
        <v>45931</v>
      </c>
      <c r="B29" s="38">
        <v>13.43</v>
      </c>
      <c r="C29" s="21">
        <f>(54.22-31.11)</f>
        <v>23.11</v>
      </c>
      <c r="D29" s="21">
        <f>(71.45-41.19)</f>
        <v>30.260000000000005</v>
      </c>
      <c r="E29" s="6">
        <v>54.81</v>
      </c>
      <c r="F29" s="6">
        <f>(302.85-233.05)</f>
        <v>69.800000000000011</v>
      </c>
      <c r="G29" s="6">
        <v>97.33</v>
      </c>
      <c r="H29" s="6">
        <v>129.43</v>
      </c>
      <c r="I29" s="6">
        <f>(700.7-498.29)</f>
        <v>202.41000000000003</v>
      </c>
      <c r="J29" s="30">
        <f>(526.66-382.26)</f>
        <v>144.39999999999998</v>
      </c>
      <c r="K29" s="30">
        <f>(768.08-543.21)</f>
        <v>224.87</v>
      </c>
      <c r="L29" s="30">
        <f>(1026.01-715.16)</f>
        <v>310.85000000000002</v>
      </c>
      <c r="M29" s="31">
        <f>(1836.87-1255.73)</f>
        <v>581.13999999999987</v>
      </c>
    </row>
    <row r="30" spans="1:13" ht="16" thickBot="1" x14ac:dyDescent="0.25">
      <c r="A30" s="25">
        <v>46204</v>
      </c>
      <c r="B30" s="26">
        <f>(31.7-20.39)</f>
        <v>11.309999999999999</v>
      </c>
      <c r="C30" s="26">
        <f>(57.86-31.05)</f>
        <v>26.81</v>
      </c>
      <c r="D30" s="26">
        <f>(79.16-42.44)</f>
        <v>36.72</v>
      </c>
      <c r="E30" s="10">
        <f>(261.14-209.68)</f>
        <v>51.45999999999998</v>
      </c>
      <c r="F30" s="10">
        <f>(303.32-237.8)</f>
        <v>65.519999999999982</v>
      </c>
      <c r="G30" s="10">
        <f>(393.95-298.22)</f>
        <v>95.729999999999961</v>
      </c>
      <c r="H30" s="10">
        <f>(484.07-358.3)</f>
        <v>125.76999999999998</v>
      </c>
      <c r="I30" s="10">
        <f>(717.02-513.6)</f>
        <v>203.41999999999996</v>
      </c>
      <c r="J30" s="32">
        <f>(506.53-373.27)</f>
        <v>133.26</v>
      </c>
      <c r="K30" s="32">
        <f>(750.71-536.06)</f>
        <v>214.65000000000009</v>
      </c>
      <c r="L30" s="32">
        <f>(999.99-702.25)</f>
        <v>297.74</v>
      </c>
      <c r="M30" s="33">
        <f>(1779.12-1221.67)</f>
        <v>557.44999999999982</v>
      </c>
    </row>
    <row r="31" spans="1:13" ht="16" thickBot="1" x14ac:dyDescent="0.25"/>
    <row r="32" spans="1:13" ht="16" thickBot="1" x14ac:dyDescent="0.25">
      <c r="A32" s="47" t="s">
        <v>15</v>
      </c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9"/>
    </row>
    <row r="33" spans="1:13" x14ac:dyDescent="0.2">
      <c r="A33" s="16" t="s">
        <v>4</v>
      </c>
      <c r="B33" s="21"/>
      <c r="C33" s="21"/>
      <c r="D33" s="21"/>
      <c r="E33" s="6"/>
      <c r="F33" s="6"/>
      <c r="G33" s="6"/>
      <c r="H33" s="6"/>
      <c r="I33" s="6"/>
      <c r="J33" s="30"/>
      <c r="K33" s="30"/>
      <c r="L33" s="30"/>
      <c r="M33" s="31"/>
    </row>
    <row r="34" spans="1:13" x14ac:dyDescent="0.2">
      <c r="A34" s="24">
        <v>45931</v>
      </c>
      <c r="B34" s="38">
        <f>(48.76-35.33)</f>
        <v>13.43</v>
      </c>
      <c r="C34" s="21">
        <f>(82.42-54.22)</f>
        <v>28.200000000000003</v>
      </c>
      <c r="D34" s="21">
        <f>(108.91-71.45)</f>
        <v>37.459999999999994</v>
      </c>
      <c r="E34" s="6">
        <f>(312.69-257.88)</f>
        <v>54.81</v>
      </c>
      <c r="F34" s="6">
        <v>69.8</v>
      </c>
      <c r="G34" s="6">
        <f>(482.77-385.44)</f>
        <v>97.329999999999984</v>
      </c>
      <c r="H34" s="6">
        <v>129.43</v>
      </c>
      <c r="I34" s="6">
        <f>(903-10-700.7)</f>
        <v>192.29999999999995</v>
      </c>
      <c r="J34" s="30">
        <f>(671.06-526.66)</f>
        <v>144.39999999999998</v>
      </c>
      <c r="K34" s="30">
        <f>(992.95-768.08)</f>
        <v>224.87</v>
      </c>
      <c r="L34" s="30">
        <f>(1336.86-1026.01)</f>
        <v>310.84999999999991</v>
      </c>
      <c r="M34" s="31">
        <f>(2418.01-1836.87)</f>
        <v>581.14000000000033</v>
      </c>
    </row>
    <row r="35" spans="1:13" ht="16" thickBot="1" x14ac:dyDescent="0.25">
      <c r="A35" s="25">
        <v>46204</v>
      </c>
      <c r="B35" s="26">
        <f>(43.01-31.7)</f>
        <v>11.309999999999999</v>
      </c>
      <c r="C35" s="26">
        <f>(94.82-57.86)</f>
        <v>36.959999999999994</v>
      </c>
      <c r="D35" s="26">
        <f>(130.28-79.16)</f>
        <v>51.120000000000005</v>
      </c>
      <c r="E35" s="10">
        <f>(312.6-261.14)</f>
        <v>51.460000000000036</v>
      </c>
      <c r="F35" s="10">
        <f>(368.84-303.32)</f>
        <v>65.519999999999982</v>
      </c>
      <c r="G35" s="10">
        <v>95.73</v>
      </c>
      <c r="H35" s="10">
        <f>(609.84-484.07)</f>
        <v>125.77000000000004</v>
      </c>
      <c r="I35" s="10">
        <f>(920.44-717.02)</f>
        <v>203.42000000000007</v>
      </c>
      <c r="J35" s="32">
        <f>(639.79-506.53)</f>
        <v>133.26</v>
      </c>
      <c r="K35" s="32">
        <f>(965.36-750.71)</f>
        <v>214.64999999999998</v>
      </c>
      <c r="L35" s="32">
        <f>(1297.73-999.99)</f>
        <v>297.74</v>
      </c>
      <c r="M35" s="33">
        <f>(2336.58-1779.12)</f>
        <v>557.46</v>
      </c>
    </row>
    <row r="37" spans="1:13" ht="16" thickBot="1" x14ac:dyDescent="0.25"/>
    <row r="38" spans="1:13" ht="16" thickBot="1" x14ac:dyDescent="0.25">
      <c r="A38" s="60" t="s">
        <v>16</v>
      </c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2"/>
    </row>
    <row r="39" spans="1:13" ht="16" thickBot="1" x14ac:dyDescent="0.25">
      <c r="A39" s="63"/>
      <c r="B39" s="64" t="s">
        <v>6</v>
      </c>
      <c r="C39" s="65"/>
      <c r="D39" s="66"/>
      <c r="E39" s="64" t="s">
        <v>7</v>
      </c>
      <c r="F39" s="65"/>
      <c r="G39" s="65"/>
      <c r="H39" s="65"/>
      <c r="I39" s="65"/>
      <c r="J39" s="65" t="s">
        <v>17</v>
      </c>
      <c r="K39" s="65"/>
      <c r="L39" s="65"/>
      <c r="M39" s="66"/>
    </row>
    <row r="40" spans="1:13" ht="16" thickBot="1" x14ac:dyDescent="0.25">
      <c r="A40" s="67"/>
      <c r="B40" s="68" t="s">
        <v>18</v>
      </c>
      <c r="C40" s="68" t="s">
        <v>19</v>
      </c>
      <c r="D40" s="68" t="s">
        <v>8</v>
      </c>
      <c r="E40" s="69" t="s">
        <v>9</v>
      </c>
      <c r="F40" s="69" t="s">
        <v>10</v>
      </c>
      <c r="G40" s="70" t="s">
        <v>11</v>
      </c>
      <c r="H40" s="70" t="s">
        <v>12</v>
      </c>
      <c r="I40" s="70" t="s">
        <v>13</v>
      </c>
      <c r="J40" s="70" t="s">
        <v>10</v>
      </c>
      <c r="K40" s="70" t="s">
        <v>11</v>
      </c>
      <c r="L40" s="70" t="s">
        <v>12</v>
      </c>
      <c r="M40" s="71" t="s">
        <v>13</v>
      </c>
    </row>
    <row r="41" spans="1:13" ht="16" thickBot="1" x14ac:dyDescent="0.25">
      <c r="A41" s="60" t="s">
        <v>14</v>
      </c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2"/>
    </row>
    <row r="42" spans="1:13" x14ac:dyDescent="0.2">
      <c r="A42" s="72" t="s">
        <v>4</v>
      </c>
      <c r="B42" s="73"/>
      <c r="C42" s="73"/>
      <c r="D42" s="74">
        <v>10.210000000000001</v>
      </c>
      <c r="E42" s="75">
        <v>98.21</v>
      </c>
      <c r="F42" s="75">
        <v>107.56</v>
      </c>
      <c r="G42" s="83">
        <v>126.27</v>
      </c>
      <c r="H42" s="83">
        <v>144.97999999999999</v>
      </c>
      <c r="I42" s="83">
        <v>193.77</v>
      </c>
      <c r="J42" s="83">
        <v>141.13999999999999</v>
      </c>
      <c r="K42" s="83">
        <v>202.46</v>
      </c>
      <c r="L42" s="83">
        <v>253.14</v>
      </c>
      <c r="M42" s="84">
        <v>386.42</v>
      </c>
    </row>
    <row r="43" spans="1:13" x14ac:dyDescent="0.2">
      <c r="A43" s="76">
        <v>45931</v>
      </c>
      <c r="B43" s="77">
        <v>5.96</v>
      </c>
      <c r="C43" s="77">
        <v>8.84</v>
      </c>
      <c r="D43" s="78">
        <v>11.62</v>
      </c>
      <c r="E43" s="75">
        <v>113.3</v>
      </c>
      <c r="F43" s="83">
        <v>123.44</v>
      </c>
      <c r="G43" s="83">
        <v>147.4</v>
      </c>
      <c r="H43" s="75">
        <v>168.84</v>
      </c>
      <c r="I43" s="83">
        <v>226.79</v>
      </c>
      <c r="J43" s="83">
        <v>166.28</v>
      </c>
      <c r="K43" s="83">
        <v>232.58</v>
      </c>
      <c r="L43" s="83">
        <v>286.7</v>
      </c>
      <c r="M43" s="84">
        <v>446.72</v>
      </c>
    </row>
    <row r="44" spans="1:13" ht="16" thickBot="1" x14ac:dyDescent="0.25">
      <c r="A44" s="79">
        <v>46204</v>
      </c>
      <c r="B44" s="80">
        <v>6.55</v>
      </c>
      <c r="C44" s="80">
        <v>9.74</v>
      </c>
      <c r="D44" s="81">
        <v>13.03</v>
      </c>
      <c r="E44" s="82">
        <v>128.4</v>
      </c>
      <c r="F44" s="82">
        <v>139.32</v>
      </c>
      <c r="G44" s="85">
        <v>168.54</v>
      </c>
      <c r="H44" s="85">
        <v>192.71</v>
      </c>
      <c r="I44" s="85">
        <v>259.8</v>
      </c>
      <c r="J44" s="85">
        <v>191.43</v>
      </c>
      <c r="K44" s="85">
        <v>262.7</v>
      </c>
      <c r="L44" s="85">
        <v>320.27</v>
      </c>
      <c r="M44" s="86">
        <v>507.01</v>
      </c>
    </row>
    <row r="45" spans="1:13" ht="16" thickBot="1" x14ac:dyDescent="0.25">
      <c r="A45" s="47" t="s">
        <v>22</v>
      </c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9"/>
    </row>
    <row r="46" spans="1:13" x14ac:dyDescent="0.2">
      <c r="A46" s="16" t="s">
        <v>4</v>
      </c>
      <c r="B46" s="36"/>
      <c r="C46" s="36"/>
      <c r="D46" s="36"/>
      <c r="E46" s="23"/>
      <c r="F46" s="23"/>
      <c r="G46" s="34"/>
      <c r="H46" s="34"/>
      <c r="I46" s="34"/>
      <c r="J46" s="35"/>
      <c r="K46" s="35"/>
      <c r="L46" s="35"/>
      <c r="M46" s="27"/>
    </row>
    <row r="47" spans="1:13" x14ac:dyDescent="0.2">
      <c r="A47" s="37">
        <v>45931</v>
      </c>
      <c r="B47" s="21">
        <f>(17.6-5.96)</f>
        <v>11.64</v>
      </c>
      <c r="C47" s="21">
        <f>(23.37-8.84)</f>
        <v>14.530000000000001</v>
      </c>
      <c r="D47" s="21">
        <f>(28.92-11.62)</f>
        <v>17.300000000000004</v>
      </c>
      <c r="E47" s="6">
        <f>(161.96-113.3)</f>
        <v>48.660000000000011</v>
      </c>
      <c r="F47" s="6">
        <f>(182.17-123.44)</f>
        <v>58.72999999999999</v>
      </c>
      <c r="G47" s="17">
        <f>(230.09-147.4)</f>
        <v>82.69</v>
      </c>
      <c r="H47" s="17">
        <f>(272.98-168.84)</f>
        <v>104.14000000000001</v>
      </c>
      <c r="I47" s="17">
        <f>(400.04-226.79)</f>
        <v>173.25000000000003</v>
      </c>
      <c r="J47" s="18">
        <f>(281.95-166.28)</f>
        <v>115.66999999999999</v>
      </c>
      <c r="K47" s="18">
        <f>(414.53-232.58)</f>
        <v>181.94999999999996</v>
      </c>
      <c r="L47" s="18">
        <f>(522.78-286.7)</f>
        <v>236.07999999999998</v>
      </c>
      <c r="M47" s="28">
        <f>(842.81-446.72)</f>
        <v>396.08999999999992</v>
      </c>
    </row>
    <row r="48" spans="1:13" ht="16" thickBot="1" x14ac:dyDescent="0.25">
      <c r="A48" s="25">
        <v>46204</v>
      </c>
      <c r="B48" s="26">
        <f>(15.69-6.55)</f>
        <v>9.14</v>
      </c>
      <c r="C48" s="26">
        <f>(22.08-9.74)</f>
        <v>12.339999999999998</v>
      </c>
      <c r="D48" s="26">
        <f>(28.65-13.03)</f>
        <v>15.62</v>
      </c>
      <c r="E48" s="10">
        <f>(174.58-128.4)</f>
        <v>46.180000000000007</v>
      </c>
      <c r="F48" s="10">
        <f>(196.39-139.32)</f>
        <v>57.069999999999993</v>
      </c>
      <c r="G48" s="10">
        <f>(254.83-168.54)</f>
        <v>86.29000000000002</v>
      </c>
      <c r="H48" s="10">
        <f>(303.18-192.71)</f>
        <v>110.47</v>
      </c>
      <c r="I48" s="10">
        <f>(442.95-259.8)</f>
        <v>183.14999999999998</v>
      </c>
      <c r="J48" s="22">
        <f>(307.66-191.43)</f>
        <v>116.23000000000002</v>
      </c>
      <c r="K48" s="22">
        <f>(450.2-262.7)</f>
        <v>187.5</v>
      </c>
      <c r="L48" s="22">
        <f>(565.34-320.27)</f>
        <v>245.07000000000005</v>
      </c>
      <c r="M48" s="29">
        <f>(938.82-507.01)</f>
        <v>431.81000000000006</v>
      </c>
    </row>
    <row r="49" spans="1:13" ht="16" thickBot="1" x14ac:dyDescent="0.25">
      <c r="A49" s="47" t="s">
        <v>15</v>
      </c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9"/>
    </row>
    <row r="50" spans="1:13" x14ac:dyDescent="0.2">
      <c r="A50" s="16" t="s">
        <v>4</v>
      </c>
      <c r="B50" s="21"/>
      <c r="C50" s="21"/>
      <c r="D50" s="21"/>
      <c r="E50" s="6"/>
      <c r="F50" s="6"/>
      <c r="G50" s="6"/>
      <c r="H50" s="6"/>
      <c r="I50" s="6"/>
      <c r="J50" s="30"/>
      <c r="K50" s="30"/>
      <c r="L50" s="30"/>
      <c r="M50" s="31"/>
    </row>
    <row r="51" spans="1:13" x14ac:dyDescent="0.2">
      <c r="A51" s="24">
        <v>45931</v>
      </c>
      <c r="B51" s="38">
        <f>(29.25-17.6)</f>
        <v>11.649999999999999</v>
      </c>
      <c r="C51" s="21">
        <f>(23.37-8.84)</f>
        <v>14.530000000000001</v>
      </c>
      <c r="D51" s="21">
        <f>(46.22-28.92)</f>
        <v>17.299999999999997</v>
      </c>
      <c r="E51" s="6">
        <f>(210.62-161.96)</f>
        <v>48.66</v>
      </c>
      <c r="F51" s="6">
        <f>(240.89-182.17)</f>
        <v>58.72</v>
      </c>
      <c r="G51" s="6">
        <f>(314.47-230.09)</f>
        <v>84.380000000000024</v>
      </c>
      <c r="H51" s="6">
        <f>(383.11-272.98)</f>
        <v>110.13</v>
      </c>
      <c r="I51" s="6">
        <f>(574.75-400.04)</f>
        <v>174.70999999999998</v>
      </c>
      <c r="J51" s="30">
        <f>(397.6-281.95)</f>
        <v>115.65000000000003</v>
      </c>
      <c r="K51" s="30">
        <f>(596.49-414.53)</f>
        <v>181.96000000000004</v>
      </c>
      <c r="L51" s="30">
        <f>(758.86-522.78)</f>
        <v>236.08000000000004</v>
      </c>
      <c r="M51" s="31">
        <f>(1238.9-842.81)</f>
        <v>396.09000000000015</v>
      </c>
    </row>
    <row r="52" spans="1:13" ht="16" thickBot="1" x14ac:dyDescent="0.25">
      <c r="A52" s="25">
        <v>46204</v>
      </c>
      <c r="B52" s="26">
        <f>(24.83-15.69)</f>
        <v>9.1399999999999988</v>
      </c>
      <c r="C52" s="26">
        <f>(34.41-22.08)</f>
        <v>12.329999999999998</v>
      </c>
      <c r="D52" s="26">
        <f>(44.27-28.65)</f>
        <v>15.620000000000005</v>
      </c>
      <c r="E52" s="10">
        <f>(220.77-174.58)</f>
        <v>46.19</v>
      </c>
      <c r="F52" s="10">
        <f>(253.47-196.39)</f>
        <v>57.080000000000013</v>
      </c>
      <c r="G52" s="10">
        <f>(341.96-254.83)</f>
        <v>87.129999999999967</v>
      </c>
      <c r="H52" s="10">
        <f>(416.65-303.18)</f>
        <v>113.46999999999997</v>
      </c>
      <c r="I52" s="10">
        <f>(626.83-442.95)</f>
        <v>183.88000000000005</v>
      </c>
      <c r="J52" s="32">
        <f>(423.89-307.66)</f>
        <v>116.22999999999996</v>
      </c>
      <c r="K52" s="32">
        <f>(637.7-450.2)</f>
        <v>187.50000000000006</v>
      </c>
      <c r="L52" s="32">
        <f>(810.41-565.34)</f>
        <v>245.06999999999994</v>
      </c>
      <c r="M52" s="33">
        <f>(1370.63-938.82)</f>
        <v>431.81000000000006</v>
      </c>
    </row>
    <row r="53" spans="1:13" ht="16" thickBot="1" x14ac:dyDescent="0.25">
      <c r="A53" s="39"/>
      <c r="M53" s="14"/>
    </row>
    <row r="54" spans="1:13" ht="16" thickBot="1" x14ac:dyDescent="0.25">
      <c r="A54" s="47" t="s">
        <v>15</v>
      </c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9"/>
    </row>
    <row r="55" spans="1:13" x14ac:dyDescent="0.2">
      <c r="A55" s="16" t="s">
        <v>4</v>
      </c>
      <c r="B55" s="21"/>
      <c r="C55" s="21"/>
      <c r="D55" s="21"/>
      <c r="E55" s="6"/>
      <c r="F55" s="6"/>
      <c r="G55" s="6"/>
      <c r="H55" s="6"/>
      <c r="I55" s="6"/>
      <c r="J55" s="30"/>
      <c r="K55" s="30"/>
      <c r="L55" s="30"/>
      <c r="M55" s="31"/>
    </row>
    <row r="56" spans="1:13" x14ac:dyDescent="0.2">
      <c r="A56" s="24">
        <v>45931</v>
      </c>
      <c r="B56" s="38">
        <f>(40.89-29.25)</f>
        <v>11.64</v>
      </c>
      <c r="C56" s="21">
        <f>(52.42-37.89)</f>
        <v>14.530000000000001</v>
      </c>
      <c r="D56" s="21">
        <f>(46.22-28.92)</f>
        <v>17.299999999999997</v>
      </c>
      <c r="E56" s="6">
        <f>(259.28-210.62)</f>
        <v>48.659999999999968</v>
      </c>
      <c r="F56" s="6">
        <f>(240.89-182.17)</f>
        <v>58.72</v>
      </c>
      <c r="G56" s="6">
        <f>(314.47-230.09)</f>
        <v>84.380000000000024</v>
      </c>
      <c r="H56" s="6">
        <f>(383.11-272.98)</f>
        <v>110.13</v>
      </c>
      <c r="I56" s="6">
        <f>(749.46-574.75)</f>
        <v>174.71000000000004</v>
      </c>
      <c r="J56" s="30">
        <f>(513.26-397.6)</f>
        <v>115.65999999999997</v>
      </c>
      <c r="K56" s="30">
        <f>(778.44-596.49)</f>
        <v>181.95000000000005</v>
      </c>
      <c r="L56" s="30">
        <f>(994.94-758.86)</f>
        <v>236.08000000000004</v>
      </c>
      <c r="M56" s="31">
        <f>(1634.99-1238.9)</f>
        <v>396.08999999999992</v>
      </c>
    </row>
    <row r="57" spans="1:13" ht="16" thickBot="1" x14ac:dyDescent="0.25">
      <c r="A57" s="25">
        <v>46204</v>
      </c>
      <c r="B57" s="26">
        <f>(33.97-24.83)</f>
        <v>9.14</v>
      </c>
      <c r="C57" s="26">
        <f>(46.75-34.41)</f>
        <v>12.340000000000003</v>
      </c>
      <c r="D57" s="26">
        <f>(59.89-44.27)</f>
        <v>15.619999999999997</v>
      </c>
      <c r="E57" s="10">
        <f>(266.96-220.77)</f>
        <v>46.189999999999969</v>
      </c>
      <c r="F57" s="10">
        <f>(311.13-253.47)</f>
        <v>57.66</v>
      </c>
      <c r="G57" s="10">
        <f>(430.89-341.96)</f>
        <v>88.93</v>
      </c>
      <c r="H57" s="10">
        <f>(530.46-416.65)</f>
        <v>113.81000000000006</v>
      </c>
      <c r="I57" s="10">
        <f>(810.71-626.83)</f>
        <v>183.88</v>
      </c>
      <c r="J57" s="32">
        <f>(540.12-423.89)</f>
        <v>116.23000000000002</v>
      </c>
      <c r="K57" s="32">
        <f>(825.2-637.7)</f>
        <v>187.5</v>
      </c>
      <c r="L57" s="32">
        <f>(1055.48-810.41)</f>
        <v>245.07000000000005</v>
      </c>
      <c r="M57" s="33">
        <f>(1802.45-1370.63)</f>
        <v>431.81999999999994</v>
      </c>
    </row>
    <row r="58" spans="1:13" ht="16" thickBot="1" x14ac:dyDescent="0.25"/>
    <row r="59" spans="1:13" ht="15" customHeight="1" thickBot="1" x14ac:dyDescent="0.25">
      <c r="A59" s="60" t="s">
        <v>23</v>
      </c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2"/>
    </row>
    <row r="60" spans="1:13" ht="15" customHeight="1" thickBot="1" x14ac:dyDescent="0.25">
      <c r="A60" s="63"/>
      <c r="B60" s="64" t="s">
        <v>6</v>
      </c>
      <c r="C60" s="65"/>
      <c r="D60" s="66"/>
      <c r="E60" s="64" t="s">
        <v>7</v>
      </c>
      <c r="F60" s="65"/>
      <c r="G60" s="65"/>
      <c r="H60" s="65"/>
      <c r="I60" s="65"/>
      <c r="J60" s="65"/>
      <c r="K60" s="65"/>
      <c r="L60" s="65"/>
      <c r="M60" s="66"/>
    </row>
    <row r="61" spans="1:13" ht="16" thickBot="1" x14ac:dyDescent="0.25">
      <c r="A61" s="67"/>
      <c r="B61" s="68" t="s">
        <v>18</v>
      </c>
      <c r="C61" s="68" t="s">
        <v>19</v>
      </c>
      <c r="D61" s="68" t="s">
        <v>8</v>
      </c>
      <c r="E61" s="69" t="s">
        <v>9</v>
      </c>
      <c r="F61" s="69" t="s">
        <v>10</v>
      </c>
      <c r="G61" s="70" t="s">
        <v>11</v>
      </c>
      <c r="H61" s="70" t="s">
        <v>12</v>
      </c>
      <c r="I61" s="70" t="s">
        <v>13</v>
      </c>
      <c r="J61" s="70"/>
      <c r="K61" s="70"/>
      <c r="L61" s="70"/>
      <c r="M61" s="71"/>
    </row>
    <row r="62" spans="1:13" ht="15" customHeight="1" thickBot="1" x14ac:dyDescent="0.25">
      <c r="A62" s="60" t="s">
        <v>14</v>
      </c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2"/>
    </row>
    <row r="63" spans="1:13" x14ac:dyDescent="0.2">
      <c r="A63" s="72" t="s">
        <v>4</v>
      </c>
      <c r="B63" s="73"/>
      <c r="C63" s="73"/>
      <c r="D63" s="87">
        <v>16.72</v>
      </c>
      <c r="E63" s="75">
        <v>109.27</v>
      </c>
      <c r="F63" s="75">
        <v>122.66</v>
      </c>
      <c r="G63" s="83">
        <v>149.44999999999999</v>
      </c>
      <c r="H63" s="83">
        <v>176.24</v>
      </c>
      <c r="I63" s="83">
        <v>229.82</v>
      </c>
      <c r="J63" s="83"/>
      <c r="K63" s="83"/>
      <c r="L63" s="83"/>
      <c r="M63" s="84"/>
    </row>
    <row r="64" spans="1:13" x14ac:dyDescent="0.2">
      <c r="A64" s="76">
        <v>45931</v>
      </c>
      <c r="B64" s="77">
        <v>7.87</v>
      </c>
      <c r="C64" s="77">
        <v>12.47</v>
      </c>
      <c r="D64" s="88">
        <v>17.47</v>
      </c>
      <c r="E64" s="75">
        <v>131.97999999999999</v>
      </c>
      <c r="F64" s="83">
        <v>156.04</v>
      </c>
      <c r="G64" s="83">
        <v>190.45</v>
      </c>
      <c r="H64" s="75">
        <v>225</v>
      </c>
      <c r="I64" s="83">
        <v>293.67</v>
      </c>
      <c r="J64" s="83"/>
      <c r="K64" s="83"/>
      <c r="L64" s="83"/>
      <c r="M64" s="84"/>
    </row>
    <row r="65" spans="1:13" ht="16" thickBot="1" x14ac:dyDescent="0.25">
      <c r="A65" s="79">
        <v>46204</v>
      </c>
      <c r="B65" s="80">
        <v>8.26</v>
      </c>
      <c r="C65" s="80">
        <v>13.06</v>
      </c>
      <c r="D65" s="80">
        <v>18.21</v>
      </c>
      <c r="E65" s="82">
        <v>154.69</v>
      </c>
      <c r="F65" s="82">
        <v>189.42</v>
      </c>
      <c r="G65" s="85">
        <v>231.44</v>
      </c>
      <c r="H65" s="85">
        <v>273.76</v>
      </c>
      <c r="I65" s="85">
        <v>357.52</v>
      </c>
      <c r="J65" s="85"/>
      <c r="K65" s="85"/>
      <c r="L65" s="85"/>
      <c r="M65" s="86"/>
    </row>
    <row r="66" spans="1:13" ht="15" customHeight="1" thickBot="1" x14ac:dyDescent="0.25">
      <c r="A66" s="47" t="s">
        <v>22</v>
      </c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9"/>
    </row>
    <row r="67" spans="1:13" x14ac:dyDescent="0.2">
      <c r="A67" s="16" t="s">
        <v>4</v>
      </c>
      <c r="B67" s="36"/>
      <c r="C67" s="36"/>
      <c r="D67" s="36"/>
      <c r="E67" s="23"/>
      <c r="F67" s="23"/>
      <c r="G67" s="34"/>
      <c r="H67" s="34"/>
      <c r="I67" s="34"/>
      <c r="J67" s="35"/>
      <c r="K67" s="35"/>
      <c r="L67" s="35"/>
      <c r="M67" s="27"/>
    </row>
    <row r="68" spans="1:13" x14ac:dyDescent="0.2">
      <c r="A68" s="37">
        <v>45931</v>
      </c>
      <c r="B68" s="21">
        <f>(21.33-7.87)</f>
        <v>13.459999999999997</v>
      </c>
      <c r="C68" s="21">
        <f>(30.52-12.47)</f>
        <v>18.049999999999997</v>
      </c>
      <c r="D68" s="21">
        <f>(40.51-17.47)</f>
        <v>23.04</v>
      </c>
      <c r="E68" s="6">
        <f>(194.89-131.98)</f>
        <v>62.91</v>
      </c>
      <c r="F68" s="6">
        <f>(243.01-156.04)</f>
        <v>86.97</v>
      </c>
      <c r="G68" s="17">
        <f>(311.83-190.45)</f>
        <v>121.38</v>
      </c>
      <c r="H68" s="17">
        <f>(380-94-225)</f>
        <v>61</v>
      </c>
      <c r="I68" s="17">
        <f>(518.28-293.67)</f>
        <v>224.60999999999996</v>
      </c>
      <c r="J68" s="18"/>
      <c r="K68" s="18"/>
      <c r="L68" s="18"/>
      <c r="M68" s="28"/>
    </row>
    <row r="69" spans="1:13" ht="16" thickBot="1" x14ac:dyDescent="0.25">
      <c r="A69" s="25">
        <v>46204</v>
      </c>
      <c r="B69" s="26">
        <f>(19.06-8.26)</f>
        <v>10.799999999999999</v>
      </c>
      <c r="C69" s="26">
        <f>(28.67-13.06)</f>
        <v>15.610000000000001</v>
      </c>
      <c r="D69" s="26">
        <f>(38.96-18.21)</f>
        <v>20.75</v>
      </c>
      <c r="E69" s="10">
        <f>(217.36-154.69)</f>
        <v>62.670000000000016</v>
      </c>
      <c r="F69" s="10">
        <f>(286.82-189.42)</f>
        <v>97.4</v>
      </c>
      <c r="G69" s="10">
        <f>(370.87-231.44)</f>
        <v>139.43</v>
      </c>
      <c r="H69" s="10">
        <f>(455.51-273.76)</f>
        <v>181.75</v>
      </c>
      <c r="I69" s="10">
        <f>(623.03-357.52)</f>
        <v>265.51</v>
      </c>
      <c r="J69" s="22"/>
      <c r="K69" s="22"/>
      <c r="L69" s="22"/>
      <c r="M69" s="29"/>
    </row>
    <row r="70" spans="1:13" ht="15" customHeight="1" thickBot="1" x14ac:dyDescent="0.25">
      <c r="A70" s="47" t="s">
        <v>15</v>
      </c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9"/>
    </row>
    <row r="71" spans="1:13" x14ac:dyDescent="0.2">
      <c r="A71" s="16" t="s">
        <v>4</v>
      </c>
      <c r="B71" s="21"/>
      <c r="C71" s="21"/>
      <c r="D71" s="21"/>
      <c r="E71" s="6"/>
      <c r="F71" s="6"/>
      <c r="G71" s="6"/>
      <c r="H71" s="6"/>
      <c r="I71" s="6"/>
      <c r="J71" s="30"/>
      <c r="K71" s="30"/>
      <c r="L71" s="30"/>
      <c r="M71" s="31"/>
    </row>
    <row r="72" spans="1:13" x14ac:dyDescent="0.2">
      <c r="A72" s="24">
        <v>45931</v>
      </c>
      <c r="B72" s="38">
        <f>(34.79-21.33)</f>
        <v>13.46</v>
      </c>
      <c r="C72" s="21">
        <f>(49.24-30.52)</f>
        <v>18.720000000000002</v>
      </c>
      <c r="D72" s="21">
        <f>(40.51-17.47)</f>
        <v>23.04</v>
      </c>
      <c r="E72" s="6">
        <f>(194.89-131.98)</f>
        <v>62.91</v>
      </c>
      <c r="F72" s="6">
        <f>(329.99-243.01)</f>
        <v>86.980000000000018</v>
      </c>
      <c r="G72" s="6">
        <f>(433.21-311.83)</f>
        <v>121.38</v>
      </c>
      <c r="H72" s="6">
        <f>(536.88-380.94)</f>
        <v>155.94</v>
      </c>
      <c r="I72" s="6">
        <f>(742.89-518.28)</f>
        <v>224.61</v>
      </c>
      <c r="J72" s="30"/>
      <c r="K72" s="30"/>
      <c r="L72" s="30"/>
      <c r="M72" s="31"/>
    </row>
    <row r="73" spans="1:13" ht="16" thickBot="1" x14ac:dyDescent="0.25">
      <c r="A73" s="25">
        <v>46204</v>
      </c>
      <c r="B73" s="26">
        <f>(29.86-19.06)</f>
        <v>10.8</v>
      </c>
      <c r="C73" s="26">
        <f>(44.6-28.67)</f>
        <v>15.93</v>
      </c>
      <c r="D73" s="26">
        <f>(59.71-38.96)</f>
        <v>20.75</v>
      </c>
      <c r="E73" s="10">
        <f>(280.04-217.36)</f>
        <v>62.680000000000007</v>
      </c>
      <c r="F73" s="10">
        <f>(384.22-286.82)</f>
        <v>97.400000000000034</v>
      </c>
      <c r="G73" s="10">
        <f>(510.3-370.87)</f>
        <v>139.43</v>
      </c>
      <c r="H73" s="10">
        <f>(637.26-455.51)</f>
        <v>181.75</v>
      </c>
      <c r="I73" s="10">
        <f>(888.54-623.03)</f>
        <v>265.51</v>
      </c>
      <c r="J73" s="32"/>
      <c r="K73" s="32"/>
      <c r="L73" s="32"/>
      <c r="M73" s="33"/>
    </row>
    <row r="74" spans="1:13" ht="16" thickBot="1" x14ac:dyDescent="0.25">
      <c r="A74" s="40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2"/>
    </row>
    <row r="75" spans="1:13" ht="15" customHeight="1" thickBot="1" x14ac:dyDescent="0.25">
      <c r="A75" s="47" t="s">
        <v>15</v>
      </c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9"/>
    </row>
    <row r="76" spans="1:13" x14ac:dyDescent="0.2">
      <c r="A76" s="16" t="s">
        <v>4</v>
      </c>
      <c r="B76" s="21"/>
      <c r="C76" s="21"/>
      <c r="D76" s="21"/>
      <c r="E76" s="6"/>
      <c r="F76" s="6"/>
      <c r="G76" s="6"/>
      <c r="H76" s="6"/>
      <c r="I76" s="6"/>
      <c r="J76" s="30"/>
      <c r="K76" s="30"/>
      <c r="L76" s="30"/>
      <c r="M76" s="31"/>
    </row>
    <row r="77" spans="1:13" x14ac:dyDescent="0.2">
      <c r="A77" s="24">
        <v>45931</v>
      </c>
      <c r="B77" s="38">
        <f>(48.24-34.79)</f>
        <v>13.450000000000003</v>
      </c>
      <c r="C77" s="21">
        <f>(66.62-49.24)</f>
        <v>17.380000000000003</v>
      </c>
      <c r="D77" s="21">
        <f>(86.6-63.56)</f>
        <v>23.039999999999992</v>
      </c>
      <c r="E77" s="6">
        <f>(320.71-257.8)</f>
        <v>62.909999999999968</v>
      </c>
      <c r="F77" s="6">
        <f>(416.96-329.99)</f>
        <v>86.96999999999997</v>
      </c>
      <c r="G77" s="6">
        <f>(554.6-433.21)</f>
        <v>121.39000000000004</v>
      </c>
      <c r="H77" s="6">
        <f>(692.82-536.86)</f>
        <v>155.96000000000004</v>
      </c>
      <c r="I77" s="6">
        <f>(967.5-742.89)</f>
        <v>224.61</v>
      </c>
      <c r="J77" s="30"/>
      <c r="K77" s="30"/>
      <c r="L77" s="30"/>
      <c r="M77" s="31"/>
    </row>
    <row r="78" spans="1:13" ht="16" thickBot="1" x14ac:dyDescent="0.25">
      <c r="A78" s="25">
        <v>46204</v>
      </c>
      <c r="B78" s="26">
        <f>(40.66-29.86)</f>
        <v>10.799999999999997</v>
      </c>
      <c r="C78" s="26">
        <f>(59.87-44.6)</f>
        <v>15.269999999999996</v>
      </c>
      <c r="D78" s="26">
        <f>(80.47-59.71)</f>
        <v>20.759999999999998</v>
      </c>
      <c r="E78" s="10">
        <f>(342.71-280.04)</f>
        <v>62.669999999999959</v>
      </c>
      <c r="F78" s="10">
        <f>(481.62-384.22)</f>
        <v>97.399999999999977</v>
      </c>
      <c r="G78" s="10">
        <f>(649.73-510.3)</f>
        <v>139.43</v>
      </c>
      <c r="H78" s="10">
        <f>(819.01-637.26)</f>
        <v>181.75</v>
      </c>
      <c r="I78" s="10">
        <f>(1154.05-888.54)</f>
        <v>265.51</v>
      </c>
      <c r="J78" s="32"/>
      <c r="K78" s="32"/>
      <c r="L78" s="32"/>
      <c r="M78" s="33"/>
    </row>
    <row r="82" spans="1:13" ht="16" thickBot="1" x14ac:dyDescent="0.25"/>
    <row r="83" spans="1:13" ht="16" thickBot="1" x14ac:dyDescent="0.25">
      <c r="A83" s="60" t="s">
        <v>32</v>
      </c>
      <c r="B83" s="61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2"/>
    </row>
    <row r="84" spans="1:13" ht="16" thickBot="1" x14ac:dyDescent="0.25">
      <c r="A84" s="63"/>
      <c r="B84" s="64" t="s">
        <v>6</v>
      </c>
      <c r="C84" s="65"/>
      <c r="D84" s="66"/>
      <c r="E84" s="64" t="s">
        <v>7</v>
      </c>
      <c r="F84" s="65"/>
      <c r="G84" s="65"/>
      <c r="H84" s="65"/>
      <c r="I84" s="65"/>
      <c r="J84" s="65" t="s">
        <v>17</v>
      </c>
      <c r="K84" s="65"/>
      <c r="L84" s="65"/>
      <c r="M84" s="66"/>
    </row>
    <row r="85" spans="1:13" ht="16" thickBot="1" x14ac:dyDescent="0.25">
      <c r="A85" s="67"/>
      <c r="B85" s="68" t="s">
        <v>18</v>
      </c>
      <c r="C85" s="68" t="s">
        <v>19</v>
      </c>
      <c r="D85" s="68" t="s">
        <v>8</v>
      </c>
      <c r="E85" s="69" t="s">
        <v>9</v>
      </c>
      <c r="F85" s="69" t="s">
        <v>10</v>
      </c>
      <c r="G85" s="70" t="s">
        <v>11</v>
      </c>
      <c r="H85" s="70"/>
      <c r="I85" s="70"/>
      <c r="J85" s="70" t="s">
        <v>9</v>
      </c>
      <c r="K85" s="70" t="s">
        <v>10</v>
      </c>
      <c r="L85" s="70" t="s">
        <v>11</v>
      </c>
      <c r="M85" s="71"/>
    </row>
    <row r="86" spans="1:13" ht="16" thickBot="1" x14ac:dyDescent="0.25">
      <c r="A86" s="60" t="s">
        <v>14</v>
      </c>
      <c r="B86" s="61"/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2"/>
    </row>
    <row r="87" spans="1:13" x14ac:dyDescent="0.2">
      <c r="A87" s="72" t="s">
        <v>4</v>
      </c>
      <c r="B87" s="87">
        <v>9.9600000000000009</v>
      </c>
      <c r="C87" s="87">
        <v>16.82</v>
      </c>
      <c r="D87" s="74">
        <v>24.14</v>
      </c>
      <c r="E87" s="75">
        <v>292.06</v>
      </c>
      <c r="F87" s="75">
        <v>302.23</v>
      </c>
      <c r="G87" s="83">
        <v>322.57</v>
      </c>
      <c r="H87" s="83"/>
      <c r="I87" s="83"/>
      <c r="J87" s="83"/>
      <c r="K87" s="83"/>
      <c r="L87" s="83"/>
      <c r="M87" s="84"/>
    </row>
    <row r="88" spans="1:13" x14ac:dyDescent="0.2">
      <c r="A88" s="76">
        <v>45931</v>
      </c>
      <c r="B88" s="77">
        <v>7.47</v>
      </c>
      <c r="C88" s="77">
        <v>11.81</v>
      </c>
      <c r="D88" s="78">
        <v>16.39</v>
      </c>
      <c r="E88" s="75">
        <v>176.93</v>
      </c>
      <c r="F88" s="83">
        <v>224.03</v>
      </c>
      <c r="G88" s="83">
        <v>282.64</v>
      </c>
      <c r="H88" s="75"/>
      <c r="I88" s="83"/>
      <c r="J88" s="83">
        <v>282.64</v>
      </c>
      <c r="K88" s="83">
        <v>341.63</v>
      </c>
      <c r="L88" s="83">
        <v>458.47</v>
      </c>
      <c r="M88" s="84"/>
    </row>
    <row r="89" spans="1:13" ht="16" thickBot="1" x14ac:dyDescent="0.25">
      <c r="A89" s="79">
        <v>46204</v>
      </c>
      <c r="B89" s="80">
        <v>8.06</v>
      </c>
      <c r="C89" s="80">
        <v>12.73</v>
      </c>
      <c r="D89" s="81">
        <v>17.670000000000002</v>
      </c>
      <c r="E89" s="82">
        <v>190.76</v>
      </c>
      <c r="F89" s="82">
        <v>241.54</v>
      </c>
      <c r="G89" s="85">
        <v>304.73</v>
      </c>
      <c r="H89" s="85"/>
      <c r="I89" s="85"/>
      <c r="J89" s="85">
        <v>304.73</v>
      </c>
      <c r="K89" s="85">
        <v>368.33</v>
      </c>
      <c r="L89" s="85">
        <v>494.31</v>
      </c>
      <c r="M89" s="86"/>
    </row>
    <row r="90" spans="1:13" ht="16" thickBot="1" x14ac:dyDescent="0.25">
      <c r="A90" s="47" t="s">
        <v>22</v>
      </c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9"/>
    </row>
    <row r="91" spans="1:13" x14ac:dyDescent="0.2">
      <c r="A91" s="16" t="s">
        <v>4</v>
      </c>
      <c r="B91" s="36"/>
      <c r="C91" s="36"/>
      <c r="D91" s="36"/>
      <c r="E91" s="23"/>
      <c r="F91" s="23"/>
      <c r="G91" s="34"/>
      <c r="H91" s="34"/>
      <c r="I91" s="34"/>
      <c r="J91" s="35"/>
      <c r="K91" s="35"/>
      <c r="L91" s="35"/>
      <c r="M91" s="27"/>
    </row>
    <row r="92" spans="1:13" x14ac:dyDescent="0.2">
      <c r="A92" s="37">
        <v>45931</v>
      </c>
      <c r="B92" s="21">
        <f>(14.52-7.47)</f>
        <v>7.05</v>
      </c>
      <c r="C92" s="21">
        <f>(23.19-11.81)</f>
        <v>11.38</v>
      </c>
      <c r="D92" s="21">
        <f>(32.35-16.39)</f>
        <v>15.96</v>
      </c>
      <c r="E92" s="6">
        <f>(254.44-176.93)</f>
        <v>77.509999999999991</v>
      </c>
      <c r="F92" s="6">
        <f>(348.63-224.03)</f>
        <v>124.6</v>
      </c>
      <c r="G92" s="17">
        <f>(465.82-282.64)</f>
        <v>183.18</v>
      </c>
      <c r="H92" s="17"/>
      <c r="I92" s="17"/>
      <c r="J92" s="18">
        <f>(465.85-282.64)</f>
        <v>183.21000000000004</v>
      </c>
      <c r="K92" s="18">
        <f>(583.83-341.63)</f>
        <v>242.20000000000005</v>
      </c>
      <c r="L92" s="18">
        <f>(817.52-458.47)</f>
        <v>359.04999999999995</v>
      </c>
      <c r="M92" s="28"/>
    </row>
    <row r="93" spans="1:13" ht="16" thickBot="1" x14ac:dyDescent="0.25">
      <c r="A93" s="25">
        <v>46204</v>
      </c>
      <c r="B93" s="26">
        <f>(15.65-8.06)</f>
        <v>7.59</v>
      </c>
      <c r="C93" s="26">
        <f>(25-12.73)</f>
        <v>12.27</v>
      </c>
      <c r="D93" s="26">
        <f>(34.88-17.67)</f>
        <v>17.21</v>
      </c>
      <c r="E93" s="10">
        <f>(274.33-190.76)</f>
        <v>83.57</v>
      </c>
      <c r="F93" s="10">
        <f>(375.88)</f>
        <v>375.88</v>
      </c>
      <c r="G93" s="10">
        <f>(502.27-304.73)</f>
        <v>197.53999999999996</v>
      </c>
      <c r="H93" s="10"/>
      <c r="I93" s="10"/>
      <c r="J93" s="22">
        <f>(502-27-304.73)</f>
        <v>170.26999999999998</v>
      </c>
      <c r="K93" s="22">
        <f>(629.47-368.33)</f>
        <v>261.14000000000004</v>
      </c>
      <c r="L93" s="22">
        <f>(881.42-494.31)</f>
        <v>387.10999999999996</v>
      </c>
      <c r="M93" s="29"/>
    </row>
    <row r="94" spans="1:13" ht="16" thickBot="1" x14ac:dyDescent="0.25">
      <c r="A94" s="47" t="s">
        <v>15</v>
      </c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9"/>
    </row>
    <row r="95" spans="1:13" x14ac:dyDescent="0.2">
      <c r="A95" s="16" t="s">
        <v>4</v>
      </c>
      <c r="B95" s="21"/>
      <c r="C95" s="21"/>
      <c r="D95" s="21"/>
      <c r="E95" s="6"/>
      <c r="F95" s="6"/>
      <c r="G95" s="6"/>
      <c r="H95" s="6"/>
      <c r="I95" s="6"/>
      <c r="J95" s="30"/>
      <c r="K95" s="30"/>
      <c r="L95" s="30"/>
      <c r="M95" s="31"/>
    </row>
    <row r="96" spans="1:13" x14ac:dyDescent="0.2">
      <c r="A96" s="24">
        <v>45931</v>
      </c>
      <c r="B96" s="38">
        <f>(21.56-14.52)</f>
        <v>7.0399999999999991</v>
      </c>
      <c r="C96" s="21">
        <f>(34.57-23.19)</f>
        <v>11.379999999999999</v>
      </c>
      <c r="D96" s="21">
        <f>(48.32-32.35)</f>
        <v>15.969999999999999</v>
      </c>
      <c r="E96" s="6">
        <f>(331.95-254.44)</f>
        <v>77.509999999999991</v>
      </c>
      <c r="F96" s="6">
        <f>(473.23-348.63)</f>
        <v>124.60000000000002</v>
      </c>
      <c r="G96" s="6">
        <f>(649.07-465.85)</f>
        <v>183.22000000000003</v>
      </c>
      <c r="H96" s="6"/>
      <c r="I96" s="6"/>
      <c r="J96" s="30">
        <f>(649.07-465.85)</f>
        <v>183.22000000000003</v>
      </c>
      <c r="K96" s="30">
        <f>(826.04-583.83)</f>
        <v>242.20999999999992</v>
      </c>
      <c r="L96" s="30">
        <f>(1176.56-817.52)</f>
        <v>359.03999999999996</v>
      </c>
      <c r="M96" s="31"/>
    </row>
    <row r="97" spans="1:14" ht="16" thickBot="1" x14ac:dyDescent="0.25">
      <c r="A97" s="25">
        <v>46204</v>
      </c>
      <c r="B97" s="26">
        <f>(23.24-15.65)</f>
        <v>7.5899999999999981</v>
      </c>
      <c r="C97" s="26">
        <f>(37.27-25)</f>
        <v>12.270000000000003</v>
      </c>
      <c r="D97" s="26">
        <f>(52.09-34.88)</f>
        <v>17.21</v>
      </c>
      <c r="E97" s="10">
        <f>(357.9-274.33)</f>
        <v>83.57</v>
      </c>
      <c r="F97" s="10">
        <f>(510.22-375.88)</f>
        <v>134.34000000000003</v>
      </c>
      <c r="G97" s="10">
        <f>(699.8-502.27)</f>
        <v>197.52999999999997</v>
      </c>
      <c r="H97" s="10"/>
      <c r="I97" s="10"/>
      <c r="J97" s="32">
        <f>(699.8-502.27)</f>
        <v>197.52999999999997</v>
      </c>
      <c r="K97" s="32">
        <f>(890.61-629.47)</f>
        <v>261.14</v>
      </c>
      <c r="L97" s="32">
        <f>(1268.53-881.42)</f>
        <v>387.11</v>
      </c>
      <c r="M97" s="33"/>
    </row>
    <row r="98" spans="1:14" ht="16" thickBot="1" x14ac:dyDescent="0.25">
      <c r="A98" s="40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2"/>
      <c r="N98" s="41"/>
    </row>
    <row r="99" spans="1:14" ht="16" thickBot="1" x14ac:dyDescent="0.25">
      <c r="A99" s="47" t="s">
        <v>15</v>
      </c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9"/>
      <c r="N99" s="41"/>
    </row>
    <row r="100" spans="1:14" x14ac:dyDescent="0.2">
      <c r="A100" s="16" t="s">
        <v>4</v>
      </c>
      <c r="B100" s="21"/>
      <c r="C100" s="21"/>
      <c r="D100" s="21"/>
      <c r="E100" s="6"/>
      <c r="F100" s="6"/>
      <c r="G100" s="6"/>
      <c r="H100" s="6"/>
      <c r="I100" s="6"/>
      <c r="J100" s="30"/>
      <c r="K100" s="30"/>
      <c r="L100" s="30"/>
      <c r="M100" s="31"/>
      <c r="N100" s="41"/>
    </row>
    <row r="101" spans="1:14" x14ac:dyDescent="0.2">
      <c r="A101" s="24">
        <v>45931</v>
      </c>
      <c r="B101" s="38">
        <f>(28.6-21.56)</f>
        <v>7.0400000000000027</v>
      </c>
      <c r="C101" s="21">
        <f>(45.94-34.57)</f>
        <v>11.369999999999997</v>
      </c>
      <c r="D101" s="21">
        <f>(64.24-48.32)</f>
        <v>15.919999999999995</v>
      </c>
      <c r="E101" s="6">
        <f>(409.46-331.95)</f>
        <v>77.509999999999991</v>
      </c>
      <c r="F101" s="6">
        <f>(597.84-473.23)</f>
        <v>124.61000000000001</v>
      </c>
      <c r="G101" s="6">
        <f>(832.28-649.07)</f>
        <v>183.20999999999992</v>
      </c>
      <c r="H101" s="6"/>
      <c r="I101" s="6"/>
      <c r="J101" s="30">
        <f>(832.28-649.07)</f>
        <v>183.20999999999992</v>
      </c>
      <c r="K101" s="30">
        <f>(1068.24-826.04)</f>
        <v>242.20000000000005</v>
      </c>
      <c r="L101" s="30">
        <f>(1535.61-1176.56)</f>
        <v>359.04999999999995</v>
      </c>
      <c r="M101" s="31"/>
      <c r="N101" s="41"/>
    </row>
    <row r="102" spans="1:14" ht="16" thickBot="1" x14ac:dyDescent="0.25">
      <c r="A102" s="25">
        <v>46204</v>
      </c>
      <c r="B102" s="26">
        <f>(30.84-23.24)</f>
        <v>7.6000000000000014</v>
      </c>
      <c r="C102" s="26">
        <f>(49.54-37.27)</f>
        <v>12.269999999999996</v>
      </c>
      <c r="D102" s="26">
        <f>(69.3-52.09)</f>
        <v>17.209999999999994</v>
      </c>
      <c r="E102" s="10">
        <f>(441.46-357.9)</f>
        <v>83.56</v>
      </c>
      <c r="F102" s="10">
        <f>(644.57-510.22)</f>
        <v>134.35000000000002</v>
      </c>
      <c r="G102" s="10">
        <f>(897.33-699.8)</f>
        <v>197.53000000000009</v>
      </c>
      <c r="H102" s="10"/>
      <c r="I102" s="10"/>
      <c r="J102" s="32">
        <f>897.33-699.8</f>
        <v>197.53000000000009</v>
      </c>
      <c r="K102" s="32">
        <f>(1151.74-890.61)</f>
        <v>261.13</v>
      </c>
      <c r="L102" s="32">
        <f>(1655.64-1268.53)</f>
        <v>387.11000000000013</v>
      </c>
      <c r="M102" s="33"/>
      <c r="N102" s="41"/>
    </row>
    <row r="103" spans="1:14" x14ac:dyDescent="0.2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</row>
    <row r="104" spans="1:14" ht="16" thickBot="1" x14ac:dyDescent="0.25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</row>
    <row r="105" spans="1:14" ht="16" thickBot="1" x14ac:dyDescent="0.25">
      <c r="A105" s="57" t="s">
        <v>24</v>
      </c>
      <c r="B105" s="58"/>
      <c r="C105" s="59"/>
      <c r="D105" s="44" t="s">
        <v>4</v>
      </c>
      <c r="E105" s="44">
        <v>45931</v>
      </c>
      <c r="F105" s="45">
        <v>46204</v>
      </c>
      <c r="G105" s="41"/>
      <c r="H105" s="41"/>
      <c r="I105" s="41"/>
      <c r="J105" s="41"/>
      <c r="K105" s="41"/>
      <c r="L105" s="41"/>
      <c r="M105" s="41"/>
      <c r="N105" s="41"/>
    </row>
    <row r="106" spans="1:14" ht="16" thickBot="1" x14ac:dyDescent="0.25">
      <c r="A106" s="54" t="s">
        <v>25</v>
      </c>
      <c r="B106" s="55"/>
      <c r="C106" s="56"/>
      <c r="D106" s="43">
        <v>247.61</v>
      </c>
      <c r="E106" s="43">
        <v>308.48</v>
      </c>
      <c r="F106" s="43">
        <v>369.29</v>
      </c>
      <c r="G106" s="7"/>
      <c r="H106" s="41"/>
      <c r="I106" s="41"/>
      <c r="J106" s="41"/>
      <c r="K106" s="41"/>
      <c r="L106" s="41"/>
      <c r="M106" s="41"/>
      <c r="N106" s="41"/>
    </row>
    <row r="107" spans="1:14" ht="16" thickBot="1" x14ac:dyDescent="0.25">
      <c r="A107" s="54" t="s">
        <v>26</v>
      </c>
      <c r="B107" s="55"/>
      <c r="C107" s="56"/>
      <c r="D107" s="43">
        <v>247.61</v>
      </c>
      <c r="E107" s="43">
        <v>308.48</v>
      </c>
      <c r="F107" s="43">
        <v>369.29</v>
      </c>
      <c r="G107" s="7"/>
      <c r="H107" s="41"/>
      <c r="I107" s="41"/>
      <c r="J107" s="41"/>
      <c r="K107" s="41"/>
      <c r="L107" s="41"/>
      <c r="M107" s="41"/>
      <c r="N107" s="41"/>
    </row>
    <row r="108" spans="1:14" ht="16" thickBot="1" x14ac:dyDescent="0.25">
      <c r="A108" s="54" t="s">
        <v>27</v>
      </c>
      <c r="B108" s="55"/>
      <c r="C108" s="56"/>
      <c r="D108" s="43">
        <v>247.61</v>
      </c>
      <c r="E108" s="43">
        <v>308.48</v>
      </c>
      <c r="F108" s="43">
        <v>369.29</v>
      </c>
      <c r="G108" s="7"/>
      <c r="H108" s="41"/>
      <c r="I108" s="41"/>
      <c r="J108" s="41"/>
      <c r="K108" s="41"/>
      <c r="L108" s="41"/>
      <c r="M108" s="41"/>
      <c r="N108" s="41"/>
    </row>
    <row r="109" spans="1:14" ht="16" thickBot="1" x14ac:dyDescent="0.25">
      <c r="A109" s="54" t="s">
        <v>28</v>
      </c>
      <c r="B109" s="55"/>
      <c r="C109" s="56"/>
      <c r="D109" s="43">
        <v>247.61</v>
      </c>
      <c r="E109" s="43">
        <v>308.48</v>
      </c>
      <c r="F109" s="43">
        <v>369.29</v>
      </c>
      <c r="G109" s="7"/>
      <c r="H109" s="41"/>
      <c r="I109" s="41"/>
      <c r="J109" s="41"/>
      <c r="K109" s="41"/>
      <c r="L109" s="41"/>
      <c r="M109" s="41"/>
      <c r="N109" s="41"/>
    </row>
    <row r="110" spans="1:14" ht="16" thickBot="1" x14ac:dyDescent="0.25">
      <c r="A110" s="54" t="s">
        <v>29</v>
      </c>
      <c r="B110" s="55"/>
      <c r="C110" s="56"/>
      <c r="D110" s="43">
        <v>247.61</v>
      </c>
      <c r="E110" s="43">
        <v>308.48</v>
      </c>
      <c r="F110" s="43">
        <v>369.29</v>
      </c>
      <c r="G110" s="7"/>
      <c r="H110" s="41"/>
      <c r="I110" s="41"/>
      <c r="J110" s="41"/>
      <c r="K110" s="41"/>
      <c r="L110" s="41"/>
      <c r="M110" s="41"/>
      <c r="N110" s="41"/>
    </row>
    <row r="111" spans="1:14" ht="16" thickBot="1" x14ac:dyDescent="0.25">
      <c r="A111" s="46" t="s">
        <v>30</v>
      </c>
      <c r="B111" s="46"/>
      <c r="C111" s="46"/>
      <c r="D111" s="43">
        <v>247.61</v>
      </c>
      <c r="E111" s="43">
        <v>308.48</v>
      </c>
      <c r="F111" s="43">
        <v>369.29</v>
      </c>
      <c r="G111" s="7"/>
      <c r="H111" s="41"/>
      <c r="I111" s="41"/>
      <c r="J111" s="41"/>
      <c r="K111" s="41"/>
      <c r="L111" s="41"/>
      <c r="M111" s="41"/>
      <c r="N111" s="41"/>
    </row>
    <row r="112" spans="1:14" ht="16" thickBot="1" x14ac:dyDescent="0.25">
      <c r="A112" s="54" t="s">
        <v>17</v>
      </c>
      <c r="B112" s="55"/>
      <c r="C112" s="56"/>
      <c r="D112" s="43">
        <v>283.68</v>
      </c>
      <c r="E112" s="43">
        <v>352.16</v>
      </c>
      <c r="F112" s="43">
        <v>420.63</v>
      </c>
      <c r="G112" s="7"/>
      <c r="H112" s="41"/>
      <c r="I112" s="41"/>
      <c r="J112" s="41"/>
      <c r="K112" s="41"/>
      <c r="L112" s="41"/>
      <c r="M112" s="41"/>
      <c r="N112" s="41"/>
    </row>
    <row r="113" spans="1:14" ht="16" thickBot="1" x14ac:dyDescent="0.25">
      <c r="A113" s="46" t="s">
        <v>31</v>
      </c>
      <c r="B113" s="46"/>
      <c r="C113" s="46"/>
      <c r="D113" s="43">
        <v>247.61</v>
      </c>
      <c r="E113" s="43">
        <v>308.48</v>
      </c>
      <c r="F113" s="43">
        <v>369.29</v>
      </c>
      <c r="G113" s="7"/>
      <c r="H113" s="41"/>
      <c r="I113" s="41"/>
      <c r="J113" s="41"/>
      <c r="K113" s="41"/>
      <c r="L113" s="41"/>
      <c r="M113" s="41"/>
      <c r="N113" s="41"/>
    </row>
    <row r="114" spans="1:14" x14ac:dyDescent="0.2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</row>
  </sheetData>
  <mergeCells count="48">
    <mergeCell ref="A66:M66"/>
    <mergeCell ref="A70:M70"/>
    <mergeCell ref="A75:M75"/>
    <mergeCell ref="A59:M59"/>
    <mergeCell ref="A60:A61"/>
    <mergeCell ref="B60:D60"/>
    <mergeCell ref="E60:I60"/>
    <mergeCell ref="J60:M60"/>
    <mergeCell ref="A62:M62"/>
    <mergeCell ref="A90:M90"/>
    <mergeCell ref="A94:M94"/>
    <mergeCell ref="A99:M99"/>
    <mergeCell ref="A112:C112"/>
    <mergeCell ref="A110:C110"/>
    <mergeCell ref="A109:C109"/>
    <mergeCell ref="A108:C108"/>
    <mergeCell ref="A107:C107"/>
    <mergeCell ref="A106:C106"/>
    <mergeCell ref="A105:C105"/>
    <mergeCell ref="A83:M83"/>
    <mergeCell ref="A84:A85"/>
    <mergeCell ref="B84:D84"/>
    <mergeCell ref="E84:I84"/>
    <mergeCell ref="J84:M84"/>
    <mergeCell ref="A86:M86"/>
    <mergeCell ref="A49:M49"/>
    <mergeCell ref="A54:M54"/>
    <mergeCell ref="A2:H2"/>
    <mergeCell ref="A3:D3"/>
    <mergeCell ref="E3:H3"/>
    <mergeCell ref="A8:D8"/>
    <mergeCell ref="E8:H8"/>
    <mergeCell ref="A39:A40"/>
    <mergeCell ref="B39:D39"/>
    <mergeCell ref="E39:I39"/>
    <mergeCell ref="J39:M39"/>
    <mergeCell ref="A41:M41"/>
    <mergeCell ref="A45:M45"/>
    <mergeCell ref="A19:M19"/>
    <mergeCell ref="A16:M16"/>
    <mergeCell ref="B17:D17"/>
    <mergeCell ref="A32:M32"/>
    <mergeCell ref="A38:M38"/>
    <mergeCell ref="A17:A18"/>
    <mergeCell ref="E17:I17"/>
    <mergeCell ref="J17:M17"/>
    <mergeCell ref="A27:M27"/>
    <mergeCell ref="A23:M23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Dennice Raygoza</dc:creator>
  <cp:lastModifiedBy>Alejandro Grant</cp:lastModifiedBy>
  <dcterms:created xsi:type="dcterms:W3CDTF">2025-07-14T23:15:25Z</dcterms:created>
  <dcterms:modified xsi:type="dcterms:W3CDTF">2025-07-18T20:15:09Z</dcterms:modified>
</cp:coreProperties>
</file>