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 Ricaurte\Documents\APM\Los-Juguetes-Hermanos\Evaluacion_economica\"/>
    </mc:Choice>
  </mc:AlternateContent>
  <xr:revisionPtr revIDLastSave="0" documentId="8_{5AF97234-4D40-4237-8785-9AE74961E50D}" xr6:coauthVersionLast="47" xr6:coauthVersionMax="47" xr10:uidLastSave="{00000000-0000-0000-0000-000000000000}"/>
  <bookViews>
    <workbookView xWindow="-120" yWindow="-120" windowWidth="20640" windowHeight="11040" activeTab="2" xr2:uid="{71A2CFA5-3CCA-4416-8394-03154B541686}"/>
  </bookViews>
  <sheets>
    <sheet name="Costos" sheetId="1" r:id="rId1"/>
    <sheet name="Evaluación" sheetId="5" r:id="rId2"/>
    <sheet name="Proyección" sheetId="6" r:id="rId3"/>
    <sheet name="Demanda" sheetId="2" r:id="rId4"/>
    <sheet name="Procesos" sheetId="3" r:id="rId5"/>
    <sheet name="Lista de partes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5" l="1"/>
  <c r="J5" i="5"/>
  <c r="J3" i="5"/>
  <c r="K6" i="1"/>
  <c r="K5" i="1"/>
  <c r="K4" i="1"/>
  <c r="E14" i="6"/>
  <c r="E17" i="6"/>
  <c r="E26" i="6"/>
  <c r="E29" i="6"/>
  <c r="E38" i="6"/>
  <c r="E41" i="6"/>
  <c r="E50" i="6"/>
  <c r="D15" i="6"/>
  <c r="D27" i="6" s="1"/>
  <c r="D39" i="6" s="1"/>
  <c r="D51" i="6" s="1"/>
  <c r="B16" i="6"/>
  <c r="E16" i="6" s="1"/>
  <c r="C16" i="6"/>
  <c r="D16" i="6"/>
  <c r="B17" i="6"/>
  <c r="C17" i="6"/>
  <c r="D17" i="6"/>
  <c r="D18" i="6"/>
  <c r="D30" i="6" s="1"/>
  <c r="D42" i="6" s="1"/>
  <c r="D54" i="6" s="1"/>
  <c r="B19" i="6"/>
  <c r="B31" i="6" s="1"/>
  <c r="C19" i="6"/>
  <c r="C31" i="6" s="1"/>
  <c r="C43" i="6" s="1"/>
  <c r="C55" i="6" s="1"/>
  <c r="D19" i="6"/>
  <c r="D31" i="6" s="1"/>
  <c r="D43" i="6" s="1"/>
  <c r="D55" i="6" s="1"/>
  <c r="B20" i="6"/>
  <c r="B32" i="6" s="1"/>
  <c r="C20" i="6"/>
  <c r="B21" i="6"/>
  <c r="B24" i="6"/>
  <c r="B36" i="6" s="1"/>
  <c r="B26" i="6"/>
  <c r="B38" i="6" s="1"/>
  <c r="B50" i="6" s="1"/>
  <c r="C26" i="6"/>
  <c r="C38" i="6" s="1"/>
  <c r="C50" i="6" s="1"/>
  <c r="D26" i="6"/>
  <c r="D38" i="6" s="1"/>
  <c r="D50" i="6" s="1"/>
  <c r="B28" i="6"/>
  <c r="B40" i="6" s="1"/>
  <c r="C28" i="6"/>
  <c r="C40" i="6" s="1"/>
  <c r="C52" i="6" s="1"/>
  <c r="D28" i="6"/>
  <c r="D40" i="6" s="1"/>
  <c r="D52" i="6" s="1"/>
  <c r="B29" i="6"/>
  <c r="C29" i="6"/>
  <c r="D29" i="6"/>
  <c r="C32" i="6"/>
  <c r="C44" i="6" s="1"/>
  <c r="C56" i="6" s="1"/>
  <c r="B33" i="6"/>
  <c r="B45" i="6" s="1"/>
  <c r="B41" i="6"/>
  <c r="C41" i="6"/>
  <c r="C53" i="6" s="1"/>
  <c r="D41" i="6"/>
  <c r="D53" i="6" s="1"/>
  <c r="B53" i="6"/>
  <c r="C14" i="6"/>
  <c r="D14" i="6"/>
  <c r="B14" i="6"/>
  <c r="F2" i="6"/>
  <c r="E2" i="6"/>
  <c r="D3" i="6"/>
  <c r="D4" i="6"/>
  <c r="D5" i="6"/>
  <c r="D6" i="6"/>
  <c r="D7" i="6"/>
  <c r="D8" i="6"/>
  <c r="D20" i="6" s="1"/>
  <c r="D32" i="6" s="1"/>
  <c r="D44" i="6" s="1"/>
  <c r="D56" i="6" s="1"/>
  <c r="D9" i="6"/>
  <c r="D21" i="6" s="1"/>
  <c r="D33" i="6" s="1"/>
  <c r="D45" i="6" s="1"/>
  <c r="D57" i="6" s="1"/>
  <c r="D10" i="6"/>
  <c r="D22" i="6" s="1"/>
  <c r="D34" i="6" s="1"/>
  <c r="D46" i="6" s="1"/>
  <c r="D58" i="6" s="1"/>
  <c r="D11" i="6"/>
  <c r="E11" i="6" s="1"/>
  <c r="D12" i="6"/>
  <c r="D24" i="6" s="1"/>
  <c r="D36" i="6" s="1"/>
  <c r="D48" i="6" s="1"/>
  <c r="D60" i="6" s="1"/>
  <c r="D13" i="6"/>
  <c r="D25" i="6" s="1"/>
  <c r="D37" i="6" s="1"/>
  <c r="D49" i="6" s="1"/>
  <c r="D61" i="6" s="1"/>
  <c r="D2" i="6"/>
  <c r="C4" i="6"/>
  <c r="C5" i="6"/>
  <c r="C6" i="6"/>
  <c r="C18" i="6" s="1"/>
  <c r="C30" i="6" s="1"/>
  <c r="C42" i="6" s="1"/>
  <c r="C54" i="6" s="1"/>
  <c r="C7" i="6"/>
  <c r="C8" i="6"/>
  <c r="E8" i="6" s="1"/>
  <c r="C9" i="6"/>
  <c r="E9" i="6" s="1"/>
  <c r="C10" i="6"/>
  <c r="E10" i="6" s="1"/>
  <c r="C11" i="6"/>
  <c r="C23" i="6" s="1"/>
  <c r="C35" i="6" s="1"/>
  <c r="C47" i="6" s="1"/>
  <c r="C59" i="6" s="1"/>
  <c r="C12" i="6"/>
  <c r="C24" i="6" s="1"/>
  <c r="C36" i="6" s="1"/>
  <c r="C48" i="6" s="1"/>
  <c r="C60" i="6" s="1"/>
  <c r="C13" i="6"/>
  <c r="C25" i="6" s="1"/>
  <c r="C37" i="6" s="1"/>
  <c r="C49" i="6" s="1"/>
  <c r="C61" i="6" s="1"/>
  <c r="C3" i="6"/>
  <c r="C15" i="6" s="1"/>
  <c r="C27" i="6" s="1"/>
  <c r="C39" i="6" s="1"/>
  <c r="C51" i="6" s="1"/>
  <c r="C2" i="6"/>
  <c r="B5" i="6"/>
  <c r="E5" i="6" s="1"/>
  <c r="B6" i="6"/>
  <c r="B18" i="6" s="1"/>
  <c r="B7" i="6"/>
  <c r="E7" i="6" s="1"/>
  <c r="B8" i="6"/>
  <c r="B9" i="6"/>
  <c r="B10" i="6"/>
  <c r="B22" i="6" s="1"/>
  <c r="B11" i="6"/>
  <c r="B23" i="6" s="1"/>
  <c r="B12" i="6"/>
  <c r="B13" i="6"/>
  <c r="E13" i="6" s="1"/>
  <c r="B4" i="6"/>
  <c r="B3" i="6"/>
  <c r="B15" i="6" s="1"/>
  <c r="B2" i="6"/>
  <c r="C22" i="1"/>
  <c r="C4" i="5"/>
  <c r="C5" i="5"/>
  <c r="C20" i="5" s="1"/>
  <c r="C22" i="5" s="1"/>
  <c r="G5" i="5" s="1"/>
  <c r="C18" i="5"/>
  <c r="C13" i="5"/>
  <c r="C14" i="5" s="1"/>
  <c r="E4" i="5" s="1"/>
  <c r="C19" i="5"/>
  <c r="E5" i="5" s="1"/>
  <c r="C8" i="5"/>
  <c r="C9" i="5" s="1"/>
  <c r="I16" i="3"/>
  <c r="G16" i="3"/>
  <c r="C16" i="3"/>
  <c r="G14" i="3"/>
  <c r="G13" i="3"/>
  <c r="G12" i="3"/>
  <c r="G11" i="3"/>
  <c r="E15" i="3"/>
  <c r="F15" i="3" s="1"/>
  <c r="E12" i="3"/>
  <c r="F12" i="3" s="1"/>
  <c r="C15" i="3"/>
  <c r="I15" i="3"/>
  <c r="I14" i="3"/>
  <c r="C14" i="3"/>
  <c r="I13" i="3"/>
  <c r="C13" i="3"/>
  <c r="I12" i="3"/>
  <c r="C12" i="3"/>
  <c r="E11" i="3"/>
  <c r="F11" i="3" s="1"/>
  <c r="I11" i="3"/>
  <c r="C11" i="3"/>
  <c r="K3" i="1"/>
  <c r="G4" i="2"/>
  <c r="G10" i="2"/>
  <c r="G9" i="2"/>
  <c r="G7" i="2"/>
  <c r="G6" i="2"/>
  <c r="G8" i="2"/>
  <c r="I3" i="3"/>
  <c r="I4" i="3"/>
  <c r="I10" i="3"/>
  <c r="J10" i="3" s="1"/>
  <c r="E10" i="3"/>
  <c r="F10" i="3" s="1"/>
  <c r="E9" i="3"/>
  <c r="E8" i="3"/>
  <c r="F8" i="3" s="1"/>
  <c r="E6" i="3"/>
  <c r="F6" i="3" s="1"/>
  <c r="E5" i="3"/>
  <c r="E4" i="3"/>
  <c r="F4" i="3" s="1"/>
  <c r="E3" i="3"/>
  <c r="F3" i="3" s="1"/>
  <c r="E2" i="3"/>
  <c r="C3" i="5"/>
  <c r="C10" i="5" s="1"/>
  <c r="C11" i="5" s="1"/>
  <c r="I3" i="5" s="1"/>
  <c r="F9" i="3"/>
  <c r="C9" i="3"/>
  <c r="C10" i="3"/>
  <c r="G7" i="3"/>
  <c r="G6" i="3"/>
  <c r="G5" i="3"/>
  <c r="G4" i="3"/>
  <c r="F5" i="3"/>
  <c r="F2" i="3"/>
  <c r="C3" i="3"/>
  <c r="C4" i="3"/>
  <c r="C5" i="3"/>
  <c r="C6" i="3"/>
  <c r="C7" i="3"/>
  <c r="C8" i="3"/>
  <c r="C2" i="3"/>
  <c r="G3" i="3"/>
  <c r="G5" i="2"/>
  <c r="G11" i="2"/>
  <c r="G12" i="2"/>
  <c r="G13" i="2"/>
  <c r="G14" i="2"/>
  <c r="G15" i="2"/>
  <c r="E5" i="2"/>
  <c r="E6" i="2"/>
  <c r="E7" i="2"/>
  <c r="E8" i="2"/>
  <c r="E9" i="2"/>
  <c r="E10" i="2"/>
  <c r="E11" i="2"/>
  <c r="E12" i="2"/>
  <c r="E13" i="2"/>
  <c r="E14" i="2"/>
  <c r="E15" i="2"/>
  <c r="E4" i="2"/>
  <c r="C5" i="2"/>
  <c r="C6" i="2"/>
  <c r="C7" i="2"/>
  <c r="C8" i="2"/>
  <c r="C9" i="2"/>
  <c r="C10" i="2"/>
  <c r="C11" i="2"/>
  <c r="C12" i="2"/>
  <c r="C13" i="2"/>
  <c r="C14" i="2"/>
  <c r="C15" i="2"/>
  <c r="C4" i="2"/>
  <c r="I5" i="5" l="1"/>
  <c r="B57" i="6"/>
  <c r="B30" i="6"/>
  <c r="E18" i="6"/>
  <c r="E31" i="6"/>
  <c r="B43" i="6"/>
  <c r="B27" i="6"/>
  <c r="E15" i="6"/>
  <c r="B52" i="6"/>
  <c r="E52" i="6" s="1"/>
  <c r="E40" i="6"/>
  <c r="B34" i="6"/>
  <c r="E53" i="6"/>
  <c r="E32" i="6"/>
  <c r="B44" i="6"/>
  <c r="B35" i="6"/>
  <c r="E36" i="6"/>
  <c r="B48" i="6"/>
  <c r="D23" i="6"/>
  <c r="D35" i="6" s="1"/>
  <c r="D47" i="6" s="1"/>
  <c r="D59" i="6" s="1"/>
  <c r="E4" i="6"/>
  <c r="C21" i="6"/>
  <c r="C33" i="6" s="1"/>
  <c r="C45" i="6" s="1"/>
  <c r="C57" i="6" s="1"/>
  <c r="B25" i="6"/>
  <c r="E20" i="6"/>
  <c r="E3" i="6"/>
  <c r="E19" i="6"/>
  <c r="E12" i="6"/>
  <c r="E28" i="6"/>
  <c r="C22" i="6"/>
  <c r="C34" i="6" s="1"/>
  <c r="C46" i="6" s="1"/>
  <c r="C58" i="6" s="1"/>
  <c r="E24" i="6"/>
  <c r="E6" i="6"/>
  <c r="C15" i="5"/>
  <c r="C17" i="5" s="1"/>
  <c r="I4" i="5" s="1"/>
  <c r="E13" i="3"/>
  <c r="J3" i="3"/>
  <c r="J4" i="3"/>
  <c r="E7" i="3"/>
  <c r="F7" i="3" s="1"/>
  <c r="E16" i="3"/>
  <c r="F16" i="3" s="1"/>
  <c r="C21" i="5"/>
  <c r="F5" i="5" s="1"/>
  <c r="H5" i="5" s="1"/>
  <c r="C16" i="5"/>
  <c r="F4" i="5" s="1"/>
  <c r="E3" i="5"/>
  <c r="C12" i="5"/>
  <c r="F3" i="5"/>
  <c r="J16" i="3"/>
  <c r="J12" i="3"/>
  <c r="J15" i="3"/>
  <c r="J11" i="3"/>
  <c r="I2" i="3"/>
  <c r="J2" i="3" s="1"/>
  <c r="I9" i="3"/>
  <c r="J9" i="3" s="1"/>
  <c r="I8" i="3"/>
  <c r="J8" i="3" s="1"/>
  <c r="I7" i="3"/>
  <c r="J7" i="3" s="1"/>
  <c r="I6" i="3"/>
  <c r="J6" i="3" s="1"/>
  <c r="I5" i="3"/>
  <c r="J5" i="3" s="1"/>
  <c r="H14" i="2"/>
  <c r="H15" i="2"/>
  <c r="H13" i="2"/>
  <c r="H4" i="2"/>
  <c r="H9" i="2"/>
  <c r="H10" i="2"/>
  <c r="H11" i="2"/>
  <c r="H8" i="2"/>
  <c r="H12" i="2"/>
  <c r="H7" i="2"/>
  <c r="H6" i="2"/>
  <c r="H5" i="2"/>
  <c r="G4" i="5" l="1"/>
  <c r="E21" i="6"/>
  <c r="E23" i="6"/>
  <c r="B42" i="6"/>
  <c r="E30" i="6"/>
  <c r="E27" i="6"/>
  <c r="B39" i="6"/>
  <c r="E43" i="6"/>
  <c r="B55" i="6"/>
  <c r="E55" i="6" s="1"/>
  <c r="B56" i="6"/>
  <c r="E56" i="6" s="1"/>
  <c r="E44" i="6"/>
  <c r="E25" i="6"/>
  <c r="B37" i="6"/>
  <c r="E22" i="6"/>
  <c r="E45" i="6"/>
  <c r="E48" i="6"/>
  <c r="B60" i="6"/>
  <c r="E60" i="6" s="1"/>
  <c r="B47" i="6"/>
  <c r="E35" i="6"/>
  <c r="E33" i="6"/>
  <c r="B46" i="6"/>
  <c r="E34" i="6"/>
  <c r="E57" i="6"/>
  <c r="H4" i="5"/>
  <c r="G3" i="5"/>
  <c r="H3" i="5" s="1"/>
  <c r="B5" i="5"/>
  <c r="E14" i="3"/>
  <c r="F14" i="3" s="1"/>
  <c r="J14" i="3" s="1"/>
  <c r="F13" i="3"/>
  <c r="J13" i="3" s="1"/>
  <c r="B4" i="5" s="1"/>
  <c r="B3" i="5"/>
  <c r="E37" i="6" l="1"/>
  <c r="B49" i="6"/>
  <c r="B51" i="6"/>
  <c r="E51" i="6" s="1"/>
  <c r="E39" i="6"/>
  <c r="E47" i="6"/>
  <c r="B59" i="6"/>
  <c r="E59" i="6" s="1"/>
  <c r="B54" i="6"/>
  <c r="E54" i="6" s="1"/>
  <c r="E42" i="6"/>
  <c r="B58" i="6"/>
  <c r="E58" i="6" s="1"/>
  <c r="E46" i="6"/>
  <c r="E49" i="6" l="1"/>
  <c r="B61" i="6"/>
  <c r="E61" i="6" s="1"/>
  <c r="G2" i="6" l="1"/>
  <c r="F3" i="6" s="1"/>
  <c r="G3" i="6" s="1"/>
  <c r="F4" i="6" s="1"/>
  <c r="G4" i="6" s="1"/>
  <c r="F5" i="6" s="1"/>
  <c r="G5" i="6" s="1"/>
  <c r="F6" i="6" s="1"/>
  <c r="G6" i="6" s="1"/>
  <c r="F7" i="6" s="1"/>
  <c r="G7" i="6" s="1"/>
  <c r="F8" i="6" s="1"/>
  <c r="G8" i="6" s="1"/>
  <c r="F9" i="6" s="1"/>
  <c r="G9" i="6" s="1"/>
  <c r="F10" i="6" s="1"/>
  <c r="G10" i="6" s="1"/>
  <c r="F11" i="6" s="1"/>
  <c r="G11" i="6" s="1"/>
  <c r="F12" i="6" s="1"/>
  <c r="G12" i="6" s="1"/>
  <c r="F13" i="6" s="1"/>
  <c r="G13" i="6" s="1"/>
  <c r="F14" i="6" s="1"/>
  <c r="G14" i="6" s="1"/>
  <c r="F15" i="6" s="1"/>
  <c r="G15" i="6" s="1"/>
  <c r="F16" i="6" s="1"/>
  <c r="G16" i="6" s="1"/>
  <c r="F17" i="6" s="1"/>
  <c r="G17" i="6" s="1"/>
  <c r="F18" i="6" s="1"/>
  <c r="G18" i="6" s="1"/>
  <c r="F19" i="6" s="1"/>
  <c r="G19" i="6" s="1"/>
  <c r="F20" i="6" s="1"/>
  <c r="G20" i="6" s="1"/>
  <c r="F21" i="6" s="1"/>
  <c r="G21" i="6" s="1"/>
  <c r="F22" i="6" s="1"/>
  <c r="G22" i="6" s="1"/>
  <c r="F23" i="6" s="1"/>
  <c r="G23" i="6" s="1"/>
  <c r="F24" i="6" s="1"/>
  <c r="G24" i="6" s="1"/>
  <c r="F25" i="6" s="1"/>
  <c r="G25" i="6" s="1"/>
  <c r="F26" i="6" s="1"/>
  <c r="G26" i="6" s="1"/>
  <c r="F27" i="6" s="1"/>
  <c r="G27" i="6" s="1"/>
  <c r="F28" i="6" s="1"/>
  <c r="G28" i="6" s="1"/>
  <c r="F29" i="6" s="1"/>
  <c r="G29" i="6" s="1"/>
  <c r="F30" i="6" s="1"/>
  <c r="G30" i="6" s="1"/>
  <c r="F31" i="6" s="1"/>
  <c r="G31" i="6" s="1"/>
  <c r="F32" i="6" s="1"/>
  <c r="G32" i="6" s="1"/>
  <c r="F33" i="6" s="1"/>
  <c r="G33" i="6" s="1"/>
  <c r="F34" i="6" s="1"/>
  <c r="G34" i="6" s="1"/>
  <c r="F35" i="6" s="1"/>
  <c r="G35" i="6" s="1"/>
  <c r="F36" i="6" s="1"/>
  <c r="G36" i="6" s="1"/>
  <c r="F37" i="6" s="1"/>
  <c r="G37" i="6" s="1"/>
  <c r="F38" i="6" s="1"/>
  <c r="G38" i="6" s="1"/>
  <c r="F39" i="6" s="1"/>
  <c r="G39" i="6" s="1"/>
  <c r="F40" i="6" s="1"/>
  <c r="G40" i="6" s="1"/>
  <c r="F41" i="6" s="1"/>
  <c r="G41" i="6" s="1"/>
  <c r="F42" i="6" s="1"/>
  <c r="G42" i="6" s="1"/>
  <c r="F43" i="6" s="1"/>
  <c r="G43" i="6" s="1"/>
  <c r="F44" i="6" s="1"/>
  <c r="G44" i="6" s="1"/>
  <c r="F45" i="6" s="1"/>
  <c r="G45" i="6" s="1"/>
  <c r="F46" i="6" s="1"/>
  <c r="G46" i="6" s="1"/>
  <c r="F47" i="6" s="1"/>
  <c r="G47" i="6" s="1"/>
  <c r="F48" i="6" s="1"/>
  <c r="G48" i="6" s="1"/>
  <c r="F49" i="6" s="1"/>
  <c r="G49" i="6" s="1"/>
  <c r="F50" i="6" s="1"/>
  <c r="G50" i="6" s="1"/>
  <c r="F51" i="6" s="1"/>
  <c r="G51" i="6" s="1"/>
  <c r="F52" i="6" s="1"/>
  <c r="G52" i="6" s="1"/>
  <c r="F53" i="6" s="1"/>
  <c r="G53" i="6" s="1"/>
  <c r="F54" i="6" s="1"/>
  <c r="G54" i="6" s="1"/>
  <c r="F55" i="6" s="1"/>
  <c r="G55" i="6" s="1"/>
  <c r="F56" i="6" s="1"/>
  <c r="G56" i="6" s="1"/>
  <c r="F57" i="6" s="1"/>
  <c r="G57" i="6" s="1"/>
  <c r="F58" i="6" s="1"/>
  <c r="G58" i="6" s="1"/>
  <c r="F59" i="6" s="1"/>
  <c r="G59" i="6" s="1"/>
  <c r="F60" i="6" s="1"/>
  <c r="G60" i="6" s="1"/>
  <c r="F61" i="6" s="1"/>
  <c r="G61" i="6" s="1"/>
  <c r="H2" i="6"/>
  <c r="I2" i="6" s="1"/>
  <c r="J2" i="6" s="1"/>
  <c r="H3" i="6" l="1"/>
  <c r="H4" i="6" l="1"/>
  <c r="I3" i="6"/>
  <c r="J3" i="6" s="1"/>
  <c r="I4" i="6" l="1"/>
  <c r="J4" i="6" s="1"/>
  <c r="H5" i="6"/>
  <c r="I5" i="6" l="1"/>
  <c r="J5" i="6" s="1"/>
  <c r="H6" i="6"/>
  <c r="I6" i="6" l="1"/>
  <c r="J6" i="6" s="1"/>
  <c r="H7" i="6"/>
  <c r="I7" i="6" l="1"/>
  <c r="J7" i="6" s="1"/>
  <c r="H8" i="6"/>
  <c r="I8" i="6" l="1"/>
  <c r="J8" i="6" s="1"/>
  <c r="H9" i="6"/>
  <c r="I9" i="6" l="1"/>
  <c r="J9" i="6" s="1"/>
  <c r="H10" i="6"/>
  <c r="I10" i="6" l="1"/>
  <c r="J10" i="6" s="1"/>
  <c r="H11" i="6"/>
  <c r="I11" i="6" l="1"/>
  <c r="J11" i="6" s="1"/>
  <c r="H12" i="6"/>
  <c r="I12" i="6" l="1"/>
  <c r="J12" i="6" s="1"/>
  <c r="H13" i="6"/>
  <c r="I13" i="6" l="1"/>
  <c r="J13" i="6" s="1"/>
  <c r="H14" i="6"/>
  <c r="I14" i="6" l="1"/>
  <c r="J14" i="6" s="1"/>
  <c r="H15" i="6"/>
  <c r="I15" i="6" l="1"/>
  <c r="J15" i="6" s="1"/>
  <c r="H16" i="6"/>
  <c r="I16" i="6" l="1"/>
  <c r="J16" i="6" s="1"/>
  <c r="H17" i="6"/>
  <c r="I17" i="6" l="1"/>
  <c r="J17" i="6" s="1"/>
  <c r="H18" i="6"/>
  <c r="I18" i="6" l="1"/>
  <c r="J18" i="6" s="1"/>
  <c r="H19" i="6"/>
  <c r="I19" i="6" l="1"/>
  <c r="J19" i="6" s="1"/>
  <c r="H20" i="6"/>
  <c r="I20" i="6" l="1"/>
  <c r="J20" i="6" s="1"/>
  <c r="H21" i="6"/>
  <c r="I21" i="6" l="1"/>
  <c r="J21" i="6" s="1"/>
  <c r="H22" i="6"/>
  <c r="I22" i="6" l="1"/>
  <c r="J22" i="6" s="1"/>
  <c r="H23" i="6"/>
  <c r="I23" i="6" l="1"/>
  <c r="J23" i="6" s="1"/>
  <c r="H24" i="6"/>
  <c r="I24" i="6" l="1"/>
  <c r="J24" i="6" s="1"/>
  <c r="H25" i="6"/>
  <c r="I25" i="6" l="1"/>
  <c r="J25" i="6" s="1"/>
  <c r="H26" i="6"/>
  <c r="I26" i="6" l="1"/>
  <c r="J26" i="6" s="1"/>
  <c r="H27" i="6"/>
  <c r="I27" i="6" l="1"/>
  <c r="J27" i="6" s="1"/>
  <c r="H28" i="6"/>
  <c r="I28" i="6" l="1"/>
  <c r="J28" i="6" s="1"/>
  <c r="H29" i="6"/>
  <c r="I29" i="6" l="1"/>
  <c r="J29" i="6" s="1"/>
  <c r="H30" i="6"/>
  <c r="I30" i="6" l="1"/>
  <c r="J30" i="6" s="1"/>
  <c r="H31" i="6"/>
  <c r="I31" i="6" l="1"/>
  <c r="J31" i="6" s="1"/>
  <c r="H32" i="6"/>
  <c r="I32" i="6" l="1"/>
  <c r="J32" i="6" s="1"/>
  <c r="H33" i="6"/>
  <c r="I33" i="6" l="1"/>
  <c r="J33" i="6" s="1"/>
  <c r="H34" i="6"/>
  <c r="I34" i="6" l="1"/>
  <c r="J34" i="6" s="1"/>
  <c r="H35" i="6"/>
  <c r="I35" i="6" l="1"/>
  <c r="J35" i="6" s="1"/>
  <c r="H36" i="6"/>
  <c r="I36" i="6" l="1"/>
  <c r="J36" i="6" s="1"/>
  <c r="H37" i="6"/>
  <c r="I37" i="6" l="1"/>
  <c r="J37" i="6" s="1"/>
  <c r="H38" i="6"/>
  <c r="I38" i="6" l="1"/>
  <c r="J38" i="6" s="1"/>
  <c r="H39" i="6"/>
  <c r="I39" i="6" l="1"/>
  <c r="J39" i="6" s="1"/>
  <c r="H40" i="6"/>
  <c r="I40" i="6" l="1"/>
  <c r="J40" i="6" s="1"/>
  <c r="H41" i="6"/>
  <c r="I41" i="6" l="1"/>
  <c r="J41" i="6" s="1"/>
  <c r="H42" i="6"/>
  <c r="I42" i="6" l="1"/>
  <c r="J42" i="6" s="1"/>
  <c r="H43" i="6"/>
  <c r="I43" i="6" l="1"/>
  <c r="J43" i="6" s="1"/>
  <c r="H44" i="6"/>
  <c r="I44" i="6" l="1"/>
  <c r="J44" i="6" s="1"/>
  <c r="H45" i="6"/>
  <c r="I45" i="6" l="1"/>
  <c r="J45" i="6" s="1"/>
  <c r="H46" i="6"/>
  <c r="I46" i="6" l="1"/>
  <c r="J46" i="6" s="1"/>
  <c r="H47" i="6"/>
  <c r="I47" i="6" l="1"/>
  <c r="J47" i="6" s="1"/>
  <c r="H48" i="6"/>
  <c r="I48" i="6" l="1"/>
  <c r="J48" i="6" s="1"/>
  <c r="H49" i="6"/>
  <c r="I49" i="6" l="1"/>
  <c r="J49" i="6" s="1"/>
  <c r="H50" i="6"/>
  <c r="I50" i="6" l="1"/>
  <c r="J50" i="6" s="1"/>
  <c r="H51" i="6"/>
  <c r="I51" i="6" l="1"/>
  <c r="J51" i="6" s="1"/>
  <c r="H52" i="6"/>
  <c r="I52" i="6" l="1"/>
  <c r="J52" i="6" s="1"/>
  <c r="H53" i="6"/>
  <c r="I53" i="6" l="1"/>
  <c r="J53" i="6" s="1"/>
  <c r="H54" i="6"/>
  <c r="I54" i="6" l="1"/>
  <c r="J54" i="6" s="1"/>
  <c r="H55" i="6"/>
  <c r="I55" i="6" l="1"/>
  <c r="J55" i="6" s="1"/>
  <c r="H56" i="6"/>
  <c r="I56" i="6" l="1"/>
  <c r="J56" i="6" s="1"/>
  <c r="H57" i="6"/>
  <c r="I57" i="6" l="1"/>
  <c r="J57" i="6" s="1"/>
  <c r="H58" i="6"/>
  <c r="I58" i="6" l="1"/>
  <c r="J58" i="6" s="1"/>
  <c r="H59" i="6"/>
  <c r="I59" i="6" l="1"/>
  <c r="J59" i="6" s="1"/>
  <c r="H60" i="6"/>
  <c r="I60" i="6" l="1"/>
  <c r="J60" i="6" s="1"/>
  <c r="H61" i="6"/>
  <c r="I61" i="6" s="1"/>
  <c r="J61" i="6" s="1"/>
</calcChain>
</file>

<file path=xl/sharedStrings.xml><?xml version="1.0" encoding="utf-8"?>
<sst xmlns="http://schemas.openxmlformats.org/spreadsheetml/2006/main" count="170" uniqueCount="135">
  <si>
    <t>Concepto</t>
  </si>
  <si>
    <t>Detalle</t>
  </si>
  <si>
    <t>Valor</t>
  </si>
  <si>
    <t>Unidad</t>
  </si>
  <si>
    <t>Materia prima 1</t>
  </si>
  <si>
    <t>Pellets de plástico</t>
  </si>
  <si>
    <t>Materia prima 2</t>
  </si>
  <si>
    <t>Metal para piezas</t>
  </si>
  <si>
    <t>Costo energía</t>
  </si>
  <si>
    <t>Precio por kWh</t>
  </si>
  <si>
    <t>Salario personal</t>
  </si>
  <si>
    <t>Operador por hora</t>
  </si>
  <si>
    <t>$/kWh</t>
  </si>
  <si>
    <t>$/kg</t>
  </si>
  <si>
    <t>$/hora</t>
  </si>
  <si>
    <t>Participación deseada (%)</t>
  </si>
  <si>
    <t>Marioneta</t>
  </si>
  <si>
    <t>Carro</t>
  </si>
  <si>
    <t>Trompo</t>
  </si>
  <si>
    <t>Mes</t>
  </si>
  <si>
    <t>Enero</t>
  </si>
  <si>
    <t>Febrero</t>
  </si>
  <si>
    <t>Marzo</t>
  </si>
  <si>
    <t>Producción Total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</si>
  <si>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</si>
  <si>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</si>
  <si>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</si>
  <si>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</si>
  <si>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</si>
  <si>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</si>
  <si>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</si>
  <si>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</si>
  <si>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</si>
  <si>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Demanda (unidades)</t>
  </si>
  <si>
    <t>Producción (unidades</t>
  </si>
  <si>
    <t>Proceso</t>
  </si>
  <si>
    <t>Costo Mano de Obra ($/h)</t>
  </si>
  <si>
    <t>Costo Energía ($/h)</t>
  </si>
  <si>
    <t>Costo Materia Prima ($/unidad)</t>
  </si>
  <si>
    <t>Costo Espacio por Unidad ($)</t>
  </si>
  <si>
    <t>Costo Total por Unidad ($)</t>
  </si>
  <si>
    <t>Recepción de materias primas</t>
  </si>
  <si>
    <t>Fundición de partes metálicas</t>
  </si>
  <si>
    <t>Inyección de plástico</t>
  </si>
  <si>
    <t>Ensamblaje</t>
  </si>
  <si>
    <t>Empaque</t>
  </si>
  <si>
    <t>Almacenamiento</t>
  </si>
  <si>
    <t>Precio de metro cuadrado de instalaciones</t>
  </si>
  <si>
    <t>Espacio físico</t>
  </si>
  <si>
    <t>m^2/mes</t>
  </si>
  <si>
    <t>Pieza</t>
  </si>
  <si>
    <t>Material</t>
  </si>
  <si>
    <t>Cantidad por unidad</t>
  </si>
  <si>
    <t>Tornillo superior</t>
  </si>
  <si>
    <t>Plastico ABS</t>
  </si>
  <si>
    <t>Cantidad de material (gr)</t>
  </si>
  <si>
    <t>Rueda plastica</t>
  </si>
  <si>
    <t>Rueda exterior metalica</t>
  </si>
  <si>
    <t>Zamak</t>
  </si>
  <si>
    <t>Rosca</t>
  </si>
  <si>
    <t>Punta</t>
  </si>
  <si>
    <t>Chasis</t>
  </si>
  <si>
    <t>Ruedas</t>
  </si>
  <si>
    <t>Carroceria</t>
  </si>
  <si>
    <t>Sistema de propulsion</t>
  </si>
  <si>
    <t>Espacio ocupado (m^2)</t>
  </si>
  <si>
    <t>Personal requerido</t>
  </si>
  <si>
    <t>#</t>
  </si>
  <si>
    <t>Fundición de partes metálicas (parte 3)</t>
  </si>
  <si>
    <t>Inyección de plástico (Parte 1)</t>
  </si>
  <si>
    <t>Inyección de plástico (Parte 2)</t>
  </si>
  <si>
    <t>Inyección de plástico (Parte 4)</t>
  </si>
  <si>
    <t>Inyección de plástico (Parte 5)</t>
  </si>
  <si>
    <t>Consumo energía por lote (kWh)</t>
  </si>
  <si>
    <t>Número de piezas por hora</t>
  </si>
  <si>
    <t>Horas de producción por jornada</t>
  </si>
  <si>
    <t>Horas de producción por mes</t>
  </si>
  <si>
    <t>Equipo o Máquina</t>
  </si>
  <si>
    <t>Porcentaje de Uso</t>
  </si>
  <si>
    <t>Costo Mantenimiento ($/h)</t>
  </si>
  <si>
    <t>Costo Consumo Eléctrico ($/h)</t>
  </si>
  <si>
    <t>Montacargas</t>
  </si>
  <si>
    <t>Horno de Fundición</t>
  </si>
  <si>
    <t>Moldeadora de Metal</t>
  </si>
  <si>
    <t>Máquina de Inyección</t>
  </si>
  <si>
    <t>Selladora Automática</t>
  </si>
  <si>
    <t>Empacadora Manual</t>
  </si>
  <si>
    <t>Sistema de Estanterías</t>
  </si>
  <si>
    <t>Demanda (unidades)2</t>
  </si>
  <si>
    <t>Producción (unidades3</t>
  </si>
  <si>
    <t>Demanda (unidades)4</t>
  </si>
  <si>
    <t>Producción (unidades5</t>
  </si>
  <si>
    <t>Producto</t>
  </si>
  <si>
    <t>Precio por Unidad ($)</t>
  </si>
  <si>
    <t>Producción Mensual (unidades)</t>
  </si>
  <si>
    <t>Índice OEE (%)</t>
  </si>
  <si>
    <t>Proceso 1</t>
  </si>
  <si>
    <t>Vidrios</t>
  </si>
  <si>
    <t>Extremidades</t>
  </si>
  <si>
    <t>Pines</t>
  </si>
  <si>
    <t>Latón</t>
  </si>
  <si>
    <t>Desbarbado</t>
  </si>
  <si>
    <t xml:space="preserve">Máquina de desbarbado criogénico </t>
  </si>
  <si>
    <t>Inyección de plástico (Parte 6)</t>
  </si>
  <si>
    <t>Inyección de plástico (Parte 7)</t>
  </si>
  <si>
    <t>Inyección de plástico (Parte 8)</t>
  </si>
  <si>
    <t>Inyección de plástico (Parte 9)</t>
  </si>
  <si>
    <t>Inyección de plástico (Parte 10)</t>
  </si>
  <si>
    <t>Indicadores</t>
  </si>
  <si>
    <t>Tiempo planificado de operación</t>
  </si>
  <si>
    <t>Tiempo Real</t>
  </si>
  <si>
    <t>Piezas Esperadas</t>
  </si>
  <si>
    <t>Piezas producidas</t>
  </si>
  <si>
    <t>Piezas buenas</t>
  </si>
  <si>
    <t>Disponibilidad</t>
  </si>
  <si>
    <t>Rendimiento</t>
  </si>
  <si>
    <t>Calidad</t>
  </si>
  <si>
    <t>Costo Adquisición</t>
  </si>
  <si>
    <t>Robot IRB 6700</t>
  </si>
  <si>
    <t>Ingresos</t>
  </si>
  <si>
    <t>Costos</t>
  </si>
  <si>
    <t>Ganancia Neta</t>
  </si>
  <si>
    <t>Ganancia Acumulada</t>
  </si>
  <si>
    <t>ROI (%)</t>
  </si>
  <si>
    <t>Unidades Producidas Trompo</t>
  </si>
  <si>
    <t>Unidades Producidas Carro</t>
  </si>
  <si>
    <t>Unidades Producidas Marioneta</t>
  </si>
  <si>
    <t>Precio de venta</t>
  </si>
  <si>
    <t>Total</t>
  </si>
  <si>
    <t>Payback</t>
  </si>
  <si>
    <t>Takt trompo</t>
  </si>
  <si>
    <t>Takt carro</t>
  </si>
  <si>
    <t>Takt marioneta</t>
  </si>
  <si>
    <t xml:space="preserve"> Índice de Retrabajo</t>
  </si>
  <si>
    <t>BTS (Build to Schedule)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</si>
</sst>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  <numFmt numFmtId="171" formatCode="0.0%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2" applyNumberFormat="0" applyFill="0" applyAlignment="0" applyProtection="0"/>
    <xf numFmtId="0" fontId="6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6" fillId="5" borderId="0" applyNumberFormat="0" applyBorder="0" applyAlignment="0" applyProtection="0"/>
    <xf numFmtId="0" fontId="1" fillId="6" borderId="0" applyNumberFormat="0" applyBorder="0" applyAlignment="0" applyProtection="0"/>
  </cellStyleXfs>
  <cellXfs count="61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1" applyNumberFormat="1" applyFont="1" applyAlignment="1">
      <alignment vertical="center" wrapText="1"/>
    </xf>
    <xf numFmtId="9" fontId="0" fillId="0" borderId="0" xfId="0" applyNumberFormat="1" applyAlignment="1">
      <alignment vertical="center" wrapText="1"/>
    </xf>
    <xf numFmtId="9" fontId="0" fillId="0" borderId="0" xfId="2" applyFont="1" applyAlignment="1">
      <alignment vertical="center"/>
    </xf>
    <xf numFmtId="0" fontId="0" fillId="7" borderId="0" xfId="0" applyFill="1" applyAlignment="1">
      <alignment vertical="center" wrapText="1"/>
    </xf>
    <xf numFmtId="0" fontId="0" fillId="11" borderId="0" xfId="0" applyFill="1" applyAlignment="1">
      <alignment vertical="center" wrapText="1"/>
    </xf>
    <xf numFmtId="44" fontId="0" fillId="0" borderId="0" xfId="1" applyFont="1" applyAlignment="1">
      <alignment vertical="center" wrapText="1"/>
    </xf>
    <xf numFmtId="0" fontId="0" fillId="0" borderId="3" xfId="0" applyBorder="1"/>
    <xf numFmtId="0" fontId="4" fillId="0" borderId="1" xfId="3" applyAlignment="1">
      <alignment horizontal="center" vertical="center" wrapText="1"/>
    </xf>
    <xf numFmtId="0" fontId="1" fillId="6" borderId="3" xfId="9" applyBorder="1" applyAlignment="1">
      <alignment vertical="center" wrapText="1"/>
    </xf>
    <xf numFmtId="164" fontId="1" fillId="6" borderId="3" xfId="9" applyNumberFormat="1" applyBorder="1" applyAlignment="1">
      <alignment vertical="center" wrapText="1"/>
    </xf>
    <xf numFmtId="0" fontId="1" fillId="3" borderId="3" xfId="6" applyBorder="1" applyAlignment="1">
      <alignment vertical="center" wrapText="1"/>
    </xf>
    <xf numFmtId="9" fontId="1" fillId="3" borderId="3" xfId="6" applyNumberFormat="1" applyBorder="1" applyAlignment="1">
      <alignment vertical="center" wrapText="1"/>
    </xf>
    <xf numFmtId="0" fontId="1" fillId="3" borderId="3" xfId="6" applyBorder="1"/>
    <xf numFmtId="0" fontId="2" fillId="0" borderId="2" xfId="4" applyAlignment="1">
      <alignment horizontal="center" vertical="center" wrapText="1"/>
    </xf>
    <xf numFmtId="0" fontId="6" fillId="5" borderId="0" xfId="8" applyAlignment="1">
      <alignment vertical="center" wrapText="1"/>
    </xf>
    <xf numFmtId="0" fontId="5" fillId="0" borderId="1" xfId="3" applyFont="1" applyAlignment="1">
      <alignment horizontal="center" vertical="center" wrapText="1"/>
    </xf>
    <xf numFmtId="0" fontId="0" fillId="10" borderId="3" xfId="0" applyFill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 textRotation="90"/>
    </xf>
    <xf numFmtId="0" fontId="4" fillId="0" borderId="1" xfId="3" applyAlignment="1">
      <alignment vertical="center"/>
    </xf>
    <xf numFmtId="0" fontId="4" fillId="0" borderId="1" xfId="3" applyAlignment="1">
      <alignment horizontal="center" vertical="center"/>
    </xf>
    <xf numFmtId="164" fontId="1" fillId="3" borderId="3" xfId="1" applyNumberFormat="1" applyFill="1" applyBorder="1" applyAlignment="1">
      <alignment vertical="center" wrapText="1"/>
    </xf>
    <xf numFmtId="0" fontId="6" fillId="5" borderId="3" xfId="8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44" fontId="0" fillId="0" borderId="3" xfId="0" applyNumberFormat="1" applyBorder="1" applyAlignment="1">
      <alignment vertical="center" wrapText="1"/>
    </xf>
    <xf numFmtId="0" fontId="2" fillId="3" borderId="3" xfId="6" applyFont="1" applyBorder="1" applyAlignment="1">
      <alignment vertical="center" wrapText="1"/>
    </xf>
    <xf numFmtId="0" fontId="6" fillId="2" borderId="3" xfId="5" applyBorder="1" applyAlignment="1">
      <alignment horizontal="center"/>
    </xf>
    <xf numFmtId="0" fontId="2" fillId="3" borderId="4" xfId="6" applyFont="1" applyBorder="1" applyAlignment="1">
      <alignment horizontal="left" vertical="center" wrapText="1"/>
    </xf>
    <xf numFmtId="0" fontId="2" fillId="3" borderId="5" xfId="6" applyFont="1" applyBorder="1" applyAlignment="1">
      <alignment horizontal="left" vertical="center" wrapText="1"/>
    </xf>
    <xf numFmtId="0" fontId="4" fillId="0" borderId="1" xfId="3" applyAlignment="1">
      <alignment horizontal="center"/>
    </xf>
    <xf numFmtId="9" fontId="1" fillId="4" borderId="0" xfId="7" applyNumberFormat="1" applyAlignment="1">
      <alignment horizontal="center" vertical="center"/>
    </xf>
    <xf numFmtId="0" fontId="7" fillId="7" borderId="3" xfId="0" applyFont="1" applyFill="1" applyBorder="1" applyAlignment="1">
      <alignment horizontal="center" vertical="center" textRotation="90"/>
    </xf>
    <xf numFmtId="0" fontId="7" fillId="8" borderId="3" xfId="0" applyFont="1" applyFill="1" applyBorder="1" applyAlignment="1">
      <alignment horizontal="center" vertical="center" textRotation="90"/>
    </xf>
    <xf numFmtId="0" fontId="7" fillId="9" borderId="3" xfId="0" applyFont="1" applyFill="1" applyBorder="1" applyAlignment="1">
      <alignment horizontal="center" vertical="center" textRotation="90"/>
    </xf>
    <xf numFmtId="0" fontId="0" fillId="8" borderId="0" xfId="0" applyFill="1" applyAlignment="1">
      <alignment vertical="center" wrapText="1"/>
    </xf>
    <xf numFmtId="0" fontId="0" fillId="12" borderId="0" xfId="0" applyFill="1" applyAlignment="1">
      <alignment vertical="center" wrapText="1"/>
    </xf>
    <xf numFmtId="0" fontId="2" fillId="0" borderId="6" xfId="4" applyBorder="1" applyAlignment="1">
      <alignment horizontal="center"/>
    </xf>
    <xf numFmtId="9" fontId="0" fillId="0" borderId="3" xfId="2" applyFont="1" applyBorder="1" applyAlignment="1">
      <alignment vertical="center" wrapText="1"/>
    </xf>
    <xf numFmtId="9" fontId="0" fillId="0" borderId="3" xfId="0" applyNumberFormat="1" applyBorder="1" applyAlignment="1">
      <alignment vertical="center" wrapText="1"/>
    </xf>
    <xf numFmtId="9" fontId="0" fillId="0" borderId="3" xfId="2" applyFont="1" applyBorder="1"/>
    <xf numFmtId="0" fontId="0" fillId="0" borderId="3" xfId="0" applyFill="1" applyBorder="1" applyAlignment="1">
      <alignment vertical="center" wrapText="1"/>
    </xf>
    <xf numFmtId="0" fontId="0" fillId="7" borderId="3" xfId="0" applyFill="1" applyBorder="1" applyAlignment="1">
      <alignment horizontal="center" vertical="center" textRotation="90"/>
    </xf>
    <xf numFmtId="0" fontId="0" fillId="7" borderId="3" xfId="0" applyFill="1" applyBorder="1" applyAlignment="1">
      <alignment vertical="center" wrapText="1"/>
    </xf>
    <xf numFmtId="0" fontId="0" fillId="13" borderId="3" xfId="0" applyFill="1" applyBorder="1" applyAlignment="1">
      <alignment vertical="center" wrapText="1"/>
    </xf>
    <xf numFmtId="0" fontId="0" fillId="13" borderId="3" xfId="0" applyFill="1" applyBorder="1" applyAlignment="1">
      <alignment horizontal="center" vertical="center" textRotation="90"/>
    </xf>
    <xf numFmtId="0" fontId="0" fillId="9" borderId="3" xfId="0" applyFill="1" applyBorder="1" applyAlignment="1">
      <alignment vertical="center" wrapText="1"/>
    </xf>
    <xf numFmtId="0" fontId="0" fillId="9" borderId="3" xfId="0" applyFill="1" applyBorder="1" applyAlignment="1">
      <alignment horizontal="center" vertical="center" textRotation="90"/>
    </xf>
    <xf numFmtId="0" fontId="2" fillId="0" borderId="0" xfId="0" applyFont="1" applyFill="1" applyBorder="1" applyAlignment="1">
      <alignment horizontal="center" vertical="center" wrapText="1"/>
    </xf>
    <xf numFmtId="0" fontId="0" fillId="3" borderId="3" xfId="6" applyFont="1" applyBorder="1" applyAlignment="1">
      <alignment vertical="center" wrapText="1"/>
    </xf>
    <xf numFmtId="44" fontId="0" fillId="0" borderId="0" xfId="0" applyNumberFormat="1"/>
    <xf numFmtId="164" fontId="0" fillId="0" borderId="0" xfId="0" applyNumberFormat="1"/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44" fontId="0" fillId="0" borderId="3" xfId="1" applyFont="1" applyBorder="1" applyAlignment="1">
      <alignment vertical="center" wrapText="1"/>
    </xf>
    <xf numFmtId="0" fontId="2" fillId="10" borderId="2" xfId="4" applyFill="1" applyAlignment="1">
      <alignment horizontal="center" vertical="center" wrapText="1"/>
    </xf>
    <xf numFmtId="164" fontId="2" fillId="0" borderId="0" xfId="0" applyNumberFormat="1" applyFont="1"/>
    <xf numFmtId="9" fontId="0" fillId="0" borderId="0" xfId="2" applyFont="1"/>
    <xf numFmtId="0" fontId="6" fillId="5" borderId="7" xfId="8" applyBorder="1" applyAlignment="1">
      <alignment horizontal="center" vertical="center" wrapText="1"/>
    </xf>
    <xf numFmtId="171" fontId="0" fillId="0" borderId="3" xfId="2" applyNumberFormat="1" applyFont="1" applyBorder="1"/>
  </cellXfs>
  <cellStyles count="10">
    <cellStyle name="20% - Énfasis1" xfId="6" builtinId="30"/>
    <cellStyle name="20% - Énfasis4" xfId="9" builtinId="42"/>
    <cellStyle name="40% - Énfasis1" xfId="7" builtinId="31"/>
    <cellStyle name="Énfasis1" xfId="5" builtinId="29"/>
    <cellStyle name="Énfasis4" xfId="8" builtinId="41"/>
    <cellStyle name="Moneda" xfId="1" builtinId="4"/>
    <cellStyle name="Normal" xfId="0" builtinId="0"/>
    <cellStyle name="Porcentaje" xfId="2" builtinId="5"/>
    <cellStyle name="Título 3" xfId="3" builtinId="18"/>
    <cellStyle name="Total" xfId="4" builtinId="25"/>
  </cellStyles>
  <dxfs count="2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164" formatCode="_-&quot;$&quot;\ * #,##0_-;\-&quot;$&quot;\ * #,##0_-;_-&quot;$&quot;\ * &quot;-&quot;??_-;_-@_-"/>
    </dxf>
    <dxf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&quot;$&quot;\ * #,##0_-;\-&quot;$&quot;\ * #,##0_-;_-&quot;$&quot;\ * &quot;-&quot;??_-;_-@_-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&quot;$&quot;\ * #,##0_-;\-&quot;$&quot;\ * #,##0_-;_-&quot;$&quot;\ * &quot;-&quot;??_-;_-@_-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&quot;$&quot;\ * #,##0_-;\-&quot;$&quot;\ * #,##0_-;_-&quot;$&quot;\ * &quot;-&quot;??_-;_-@_-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9" tint="0.3999755851924192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01C158-FF14-4C67-81D6-0A2DDDA29DB0}" name="Tabla1" displayName="Tabla1" ref="A1:I61" totalsRowShown="0" headerRowDxfId="0">
  <autoFilter ref="A1:I61" xr:uid="{A101C158-FF14-4C67-81D6-0A2DDDA29DB0}"/>
  <tableColumns count="9">
    <tableColumn id="1" xr3:uid="{023E9802-9FA5-4B9E-896A-58754CE2237A}" name="Mes"/>
    <tableColumn id="2" xr3:uid="{72BE904A-280E-469D-9384-68F8A1DD3B3F}" name="Unidades Producidas Trompo"/>
    <tableColumn id="3" xr3:uid="{B9DAE069-9118-450F-959F-20D6ACDBDD11}" name="Unidades Producidas Carro"/>
    <tableColumn id="4" xr3:uid="{636D5F25-6ED0-4A7B-B305-2B49DEE64D2B}" name="Unidades Producidas Marioneta"/>
    <tableColumn id="5" xr3:uid="{CCC7250E-28BF-4C45-A81E-E4778C93DB77}" name="Ingresos" dataDxfId="5">
      <calculatedColumnFormula>(B2*Evaluación!$D$3)+(Evaluación!$D$4*Proyección!C2)+(Proyección!D2*Evaluación!$D$5)</calculatedColumnFormula>
    </tableColumn>
    <tableColumn id="6" xr3:uid="{11D86C45-46AD-48A5-A807-27AF22EFD53B}" name="Costos" dataDxfId="4">
      <calculatedColumnFormula>(Evaluación!$B$3*Proyección!B2)+(Proyección!C2*Evaluación!$B$4)+(Evaluación!$B$5*Proyección!D2)+G1*0.19</calculatedColumnFormula>
    </tableColumn>
    <tableColumn id="7" xr3:uid="{7151B61F-4446-4291-B477-1A003499C482}" name="Ganancia Neta" dataDxfId="3">
      <calculatedColumnFormula>E2-F2</calculatedColumnFormula>
    </tableColumn>
    <tableColumn id="8" xr3:uid="{8442B319-0C58-473A-A3F0-C7CB2F0F3577}" name="Ganancia Acumulada" dataDxfId="2">
      <calculatedColumnFormula>H1+G2</calculatedColumnFormula>
    </tableColumn>
    <tableColumn id="9" xr3:uid="{B1DACC03-8440-441B-B71A-7D467D8719D5}" name="ROI (%)" dataDxfId="1" dataCellStyle="Porcentaje">
      <calculatedColumnFormula>H2/(Costos!$C$22*2.48)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6B07C4-4B19-4517-9244-B332D3BFE3EA}" name="Tabla3" displayName="Tabla3" ref="A3:H15" totalsRowShown="0" headerRowDxfId="26" dataDxfId="25" headerRowCellStyle="Título 3">
  <autoFilter ref="A3:H15" xr:uid="{3C6B07C4-4B19-4517-9244-B332D3BFE3EA}"/>
  <tableColumns count="8">
    <tableColumn id="1" xr3:uid="{5926377E-7A9D-4F8A-97F1-860EDFD8B1AC}" name="Mes" dataDxfId="24"/>
    <tableColumn id="2" xr3:uid="{2A1AD86F-962F-4C5A-8B48-BE73ED2FD046}" name="Demanda (unidades)" dataDxfId="23"/>
    <tableColumn id="3" xr3:uid="{709011C3-4513-4B89-B42D-DFA9C3151E4E}" name="Producción (unidades" dataDxfId="22">
      <calculatedColumnFormula>B4*B$2</calculatedColumnFormula>
    </tableColumn>
    <tableColumn id="4" xr3:uid="{1886E7C7-4589-46A2-B968-C6B301D28FA5}" name="Demanda (unidades)2" dataDxfId="21"/>
    <tableColumn id="5" xr3:uid="{98E0F67D-C5A6-403D-963D-2B64F300EEA3}" name="Producción (unidades3" dataDxfId="20">
      <calculatedColumnFormula>D4*D$2</calculatedColumnFormula>
    </tableColumn>
    <tableColumn id="6" xr3:uid="{D9570B1A-DC4E-499E-BB2E-8F5385CFED66}" name="Demanda (unidades)4" dataDxfId="19"/>
    <tableColumn id="7" xr3:uid="{34AF37EB-256B-4F65-81E5-EC571D57F22A}" name="Producción (unidades5" dataDxfId="18">
      <calculatedColumnFormula>F4*F$2</calculatedColumnFormula>
    </tableColumn>
    <tableColumn id="8" xr3:uid="{FF6DE7BC-0088-4B58-B9BC-B4BDB7217878}" name="Producción Total" dataDxfId="17">
      <calculatedColumnFormula>C4+E4+G4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2AD6627-24D7-4653-801B-0D4415E5F6F8}" name="Tabla4" displayName="Tabla4" ref="A1:J16" totalsRowShown="0" headerRowDxfId="16">
  <autoFilter ref="A1:J16" xr:uid="{52AD6627-24D7-4653-801B-0D4415E5F6F8}"/>
  <tableColumns count="10">
    <tableColumn id="1" xr3:uid="{2F50F2C0-C3C7-473E-9C2C-4DA5B31759B2}" name="Proceso" dataDxfId="15"/>
    <tableColumn id="2" xr3:uid="{460136A5-CF48-4D13-BDBB-29D4BB0BB615}" name="Personal requerido" dataDxfId="14"/>
    <tableColumn id="3" xr3:uid="{EDE28615-EF6C-46A9-AAB9-55A2EDD10812}" name="Costo Mano de Obra ($/h)" dataDxfId="13" dataCellStyle="Moneda">
      <calculatedColumnFormula>B2*Costos!$C$6</calculatedColumnFormula>
    </tableColumn>
    <tableColumn id="4" xr3:uid="{8053210D-CE2F-4699-BD1D-3507954C0B28}" name="Número de piezas por hora" dataDxfId="12"/>
    <tableColumn id="5" xr3:uid="{F5F2F8A3-2475-4CD0-AFB2-477E62EF98A9}" name="Consumo energía por lote (kWh)" dataDxfId="11"/>
    <tableColumn id="6" xr3:uid="{6EB169B4-E9A4-484F-98B7-26B4DFAA3DD7}" name="Costo Energía ($/h)" dataDxfId="10" dataCellStyle="Moneda">
      <calculatedColumnFormula>E2*Costos!$C$5</calculatedColumnFormula>
    </tableColumn>
    <tableColumn id="7" xr3:uid="{BF9E9C45-8E4E-43CB-AD9F-9CCE1390BB43}" name="Costo Materia Prima ($/unidad)" dataDxfId="9"/>
    <tableColumn id="8" xr3:uid="{C6F9957F-B9D7-4E17-9E96-7206F77C223E}" name="Espacio ocupado (m^2)" dataDxfId="8"/>
    <tableColumn id="9" xr3:uid="{AB0399B7-AB5E-4E95-929B-403CF18C2233}" name="Costo Espacio por Unidad ($)" dataDxfId="7" dataCellStyle="Moneda">
      <calculatedColumnFormula>H2*Costos!$C$7/(D2*Costos!$K$3)</calculatedColumnFormula>
    </tableColumn>
    <tableColumn id="10" xr3:uid="{3FED1100-91A5-44FE-AC1A-E4199A68C351}" name="Costo Total por Unidad ($)" dataDxfId="6" dataCellStyle="Moneda">
      <calculatedColumnFormula>(C2/D2)+(F2/D2)+I2+G2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29916-6217-4592-AB3E-CABC3DB3DAEE}">
  <dimension ref="A2:K23"/>
  <sheetViews>
    <sheetView workbookViewId="0">
      <selection activeCell="L10" sqref="L10"/>
    </sheetView>
  </sheetViews>
  <sheetFormatPr baseColWidth="10" defaultRowHeight="15" x14ac:dyDescent="0.25"/>
  <cols>
    <col min="1" max="1" width="15.28515625" customWidth="1"/>
    <col min="2" max="2" width="19.140625" customWidth="1"/>
    <col min="3" max="3" width="15.7109375" customWidth="1"/>
    <col min="4" max="4" width="14.7109375" customWidth="1"/>
    <col min="5" max="5" width="15.42578125" customWidth="1"/>
    <col min="6" max="6" width="14.85546875" customWidth="1"/>
  </cols>
  <sheetData>
    <row r="2" spans="1:11" ht="15.75" thickBot="1" x14ac:dyDescent="0.3">
      <c r="A2" s="10" t="s">
        <v>0</v>
      </c>
      <c r="B2" s="10" t="s">
        <v>1</v>
      </c>
      <c r="C2" s="10" t="s">
        <v>2</v>
      </c>
      <c r="D2" s="10" t="s">
        <v>3</v>
      </c>
      <c r="H2" s="28" t="s">
        <v>75</v>
      </c>
      <c r="I2" s="28"/>
      <c r="J2" s="28"/>
      <c r="K2" s="15">
        <v>8</v>
      </c>
    </row>
    <row r="3" spans="1:11" x14ac:dyDescent="0.25">
      <c r="A3" s="11" t="s">
        <v>4</v>
      </c>
      <c r="B3" s="11" t="s">
        <v>5</v>
      </c>
      <c r="C3" s="12">
        <v>4000</v>
      </c>
      <c r="D3" s="11" t="s">
        <v>13</v>
      </c>
      <c r="H3" s="28" t="s">
        <v>76</v>
      </c>
      <c r="I3" s="28"/>
      <c r="J3" s="28"/>
      <c r="K3" s="15">
        <f>K2*5.5*4</f>
        <v>176</v>
      </c>
    </row>
    <row r="4" spans="1:11" x14ac:dyDescent="0.25">
      <c r="A4" s="11" t="s">
        <v>6</v>
      </c>
      <c r="B4" s="11" t="s">
        <v>7</v>
      </c>
      <c r="C4" s="12">
        <v>12000</v>
      </c>
      <c r="D4" s="11" t="s">
        <v>13</v>
      </c>
      <c r="H4" s="28" t="s">
        <v>130</v>
      </c>
      <c r="I4" s="28"/>
      <c r="J4" s="28"/>
      <c r="K4" s="15">
        <f>((K3*60)/MAX(Tabla3[Producción (unidades5]))*60</f>
        <v>17.037983193277313</v>
      </c>
    </row>
    <row r="5" spans="1:11" x14ac:dyDescent="0.25">
      <c r="A5" s="11" t="s">
        <v>8</v>
      </c>
      <c r="B5" s="11" t="s">
        <v>9</v>
      </c>
      <c r="C5" s="12">
        <v>53144</v>
      </c>
      <c r="D5" s="11" t="s">
        <v>12</v>
      </c>
      <c r="H5" s="28" t="s">
        <v>131</v>
      </c>
      <c r="I5" s="28"/>
      <c r="J5" s="28"/>
      <c r="K5" s="15">
        <f>((K3*60)/(MAX(Tabla3[Producción (unidades3])))*60</f>
        <v>18.745562130177515</v>
      </c>
    </row>
    <row r="6" spans="1:11" ht="30" x14ac:dyDescent="0.25">
      <c r="A6" s="11" t="s">
        <v>10</v>
      </c>
      <c r="B6" s="11" t="s">
        <v>11</v>
      </c>
      <c r="C6" s="12">
        <v>5931</v>
      </c>
      <c r="D6" s="11" t="s">
        <v>14</v>
      </c>
      <c r="H6" s="28" t="s">
        <v>132</v>
      </c>
      <c r="I6" s="28"/>
      <c r="J6" s="28"/>
      <c r="K6" s="15">
        <f>((K3*60)/(MAX(Tabla3[Producción (unidades])))*60</f>
        <v>8.7707641196013295</v>
      </c>
    </row>
    <row r="7" spans="1:11" ht="45" x14ac:dyDescent="0.25">
      <c r="A7" s="11" t="s">
        <v>48</v>
      </c>
      <c r="B7" s="11" t="s">
        <v>47</v>
      </c>
      <c r="C7" s="12">
        <v>1300000</v>
      </c>
      <c r="D7" s="11" t="s">
        <v>49</v>
      </c>
    </row>
    <row r="8" spans="1:11" x14ac:dyDescent="0.25">
      <c r="A8" s="2"/>
      <c r="B8" s="2"/>
      <c r="C8" s="2"/>
      <c r="D8" s="2"/>
    </row>
    <row r="12" spans="1:11" ht="45.75" thickBot="1" x14ac:dyDescent="0.3">
      <c r="A12" s="10" t="s">
        <v>35</v>
      </c>
      <c r="B12" s="10" t="s">
        <v>77</v>
      </c>
      <c r="C12" s="10" t="s">
        <v>117</v>
      </c>
      <c r="D12" s="10" t="s">
        <v>78</v>
      </c>
      <c r="E12" s="10" t="s">
        <v>79</v>
      </c>
      <c r="F12" s="10" t="s">
        <v>80</v>
      </c>
    </row>
    <row r="13" spans="1:11" ht="45" x14ac:dyDescent="0.25">
      <c r="A13" s="27" t="s">
        <v>41</v>
      </c>
      <c r="B13" s="13" t="s">
        <v>81</v>
      </c>
      <c r="C13" s="23">
        <v>50000000</v>
      </c>
      <c r="D13" s="14">
        <v>0.6</v>
      </c>
      <c r="E13" s="23">
        <v>2000</v>
      </c>
      <c r="F13" s="13">
        <v>3.5</v>
      </c>
    </row>
    <row r="14" spans="1:11" ht="45" customHeight="1" x14ac:dyDescent="0.25">
      <c r="A14" s="29" t="s">
        <v>42</v>
      </c>
      <c r="B14" s="13" t="s">
        <v>82</v>
      </c>
      <c r="C14" s="23">
        <v>65000000</v>
      </c>
      <c r="D14" s="14">
        <v>0.8</v>
      </c>
      <c r="E14" s="23">
        <v>5000</v>
      </c>
      <c r="F14" s="13">
        <v>30</v>
      </c>
    </row>
    <row r="15" spans="1:11" ht="30" x14ac:dyDescent="0.25">
      <c r="A15" s="30"/>
      <c r="B15" s="13" t="s">
        <v>83</v>
      </c>
      <c r="C15" s="23">
        <v>28000000</v>
      </c>
      <c r="D15" s="14">
        <v>0.6</v>
      </c>
      <c r="E15" s="23">
        <v>3000</v>
      </c>
      <c r="F15" s="13">
        <v>7.5</v>
      </c>
    </row>
    <row r="16" spans="1:11" ht="30" x14ac:dyDescent="0.25">
      <c r="A16" s="27" t="s">
        <v>43</v>
      </c>
      <c r="B16" s="13" t="s">
        <v>84</v>
      </c>
      <c r="C16" s="23">
        <v>40000000</v>
      </c>
      <c r="D16" s="14">
        <v>0.75</v>
      </c>
      <c r="E16" s="23">
        <v>4000</v>
      </c>
      <c r="F16" s="13">
        <v>24</v>
      </c>
    </row>
    <row r="17" spans="1:6" x14ac:dyDescent="0.25">
      <c r="A17" s="27" t="s">
        <v>44</v>
      </c>
      <c r="B17" s="50" t="s">
        <v>118</v>
      </c>
      <c r="C17" s="23">
        <v>160000000</v>
      </c>
      <c r="D17" s="14">
        <v>0.9</v>
      </c>
      <c r="E17" s="23">
        <v>6500</v>
      </c>
      <c r="F17" s="13">
        <v>12</v>
      </c>
    </row>
    <row r="18" spans="1:6" ht="30" x14ac:dyDescent="0.25">
      <c r="A18" s="29" t="s">
        <v>45</v>
      </c>
      <c r="B18" s="13" t="s">
        <v>85</v>
      </c>
      <c r="C18" s="23">
        <v>12000000</v>
      </c>
      <c r="D18" s="14">
        <v>0.7</v>
      </c>
      <c r="E18" s="23">
        <v>1500</v>
      </c>
      <c r="F18" s="13">
        <v>4.5</v>
      </c>
    </row>
    <row r="19" spans="1:6" ht="30" x14ac:dyDescent="0.25">
      <c r="A19" s="30"/>
      <c r="B19" s="13" t="s">
        <v>86</v>
      </c>
      <c r="C19" s="23">
        <v>4000000</v>
      </c>
      <c r="D19" s="14">
        <v>0.6</v>
      </c>
      <c r="E19" s="23">
        <v>1000</v>
      </c>
      <c r="F19" s="13">
        <v>1</v>
      </c>
    </row>
    <row r="20" spans="1:6" ht="30" x14ac:dyDescent="0.25">
      <c r="A20" s="27" t="s">
        <v>46</v>
      </c>
      <c r="B20" s="13" t="s">
        <v>87</v>
      </c>
      <c r="C20" s="23">
        <v>16000000</v>
      </c>
      <c r="D20" s="14">
        <v>1</v>
      </c>
      <c r="E20" s="23">
        <v>500</v>
      </c>
      <c r="F20" s="13">
        <v>1.5</v>
      </c>
    </row>
    <row r="21" spans="1:6" ht="45" x14ac:dyDescent="0.25">
      <c r="A21" s="27" t="s">
        <v>101</v>
      </c>
      <c r="B21" s="13" t="s">
        <v>102</v>
      </c>
      <c r="C21" s="23">
        <v>52000000</v>
      </c>
      <c r="D21" s="14">
        <v>0.8</v>
      </c>
      <c r="E21" s="23">
        <v>1200</v>
      </c>
      <c r="F21" s="13">
        <v>20</v>
      </c>
    </row>
    <row r="22" spans="1:6" ht="15.75" thickBot="1" x14ac:dyDescent="0.3">
      <c r="A22" s="56" t="s">
        <v>128</v>
      </c>
      <c r="B22" s="56"/>
      <c r="C22" s="57">
        <f>SUM(C13:C21)</f>
        <v>427000000</v>
      </c>
    </row>
    <row r="23" spans="1:6" ht="15.75" thickTop="1" x14ac:dyDescent="0.25"/>
  </sheetData>
  <mergeCells count="8">
    <mergeCell ref="H2:J2"/>
    <mergeCell ref="H3:J3"/>
    <mergeCell ref="A14:A15"/>
    <mergeCell ref="A18:A19"/>
    <mergeCell ref="A22:B22"/>
    <mergeCell ref="H4:J4"/>
    <mergeCell ref="H5:J5"/>
    <mergeCell ref="H6:J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CF63B-88E5-45E8-A4FF-FF1B3A6FD03C}">
  <dimension ref="A1:J22"/>
  <sheetViews>
    <sheetView workbookViewId="0">
      <selection activeCell="J8" sqref="J8"/>
    </sheetView>
  </sheetViews>
  <sheetFormatPr baseColWidth="10" defaultRowHeight="15" x14ac:dyDescent="0.25"/>
  <cols>
    <col min="1" max="1" width="11.7109375" customWidth="1"/>
    <col min="2" max="2" width="13.7109375" customWidth="1"/>
    <col min="5" max="5" width="14.42578125" customWidth="1"/>
    <col min="6" max="6" width="13.7109375" customWidth="1"/>
  </cols>
  <sheetData>
    <row r="1" spans="1:10" x14ac:dyDescent="0.25">
      <c r="A1" s="38" t="s">
        <v>96</v>
      </c>
      <c r="B1" s="38"/>
      <c r="C1" s="38"/>
      <c r="D1" s="38"/>
      <c r="E1" s="38"/>
      <c r="F1" s="38"/>
      <c r="G1" s="38"/>
      <c r="H1" s="38"/>
    </row>
    <row r="2" spans="1:10" ht="45" x14ac:dyDescent="0.25">
      <c r="A2" s="24" t="s">
        <v>92</v>
      </c>
      <c r="B2" s="24" t="s">
        <v>93</v>
      </c>
      <c r="C2" s="24" t="s">
        <v>94</v>
      </c>
      <c r="D2" s="24" t="s">
        <v>127</v>
      </c>
      <c r="E2" s="24" t="s">
        <v>114</v>
      </c>
      <c r="F2" s="24" t="s">
        <v>115</v>
      </c>
      <c r="G2" s="24" t="s">
        <v>116</v>
      </c>
      <c r="H2" s="24" t="s">
        <v>95</v>
      </c>
      <c r="I2" s="59" t="s">
        <v>133</v>
      </c>
      <c r="J2" s="59" t="s">
        <v>134</v>
      </c>
    </row>
    <row r="3" spans="1:10" x14ac:dyDescent="0.25">
      <c r="A3" s="44" t="s">
        <v>18</v>
      </c>
      <c r="B3" s="26">
        <f>Tabla4[[#This Row],[Costo Total por Unidad ($)]]+Procesos!J3+Procesos!J4+Procesos!J5+Procesos!J6+Procesos!J7+Procesos!J8+Procesos!J9+Procesos!J10</f>
        <v>37315.947402597412</v>
      </c>
      <c r="C3" s="25">
        <f>Procesos!D8*Costos!K3</f>
        <v>35200</v>
      </c>
      <c r="D3" s="55">
        <v>38000</v>
      </c>
      <c r="E3" s="39">
        <f ca="1">C9/C8</f>
        <v>0.91424093451243282</v>
      </c>
      <c r="F3" s="39">
        <f ca="1">C11/C10</f>
        <v>0.94861898115610699</v>
      </c>
      <c r="G3" s="39">
        <f ca="1">C12/C10</f>
        <v>0.97473388865460953</v>
      </c>
      <c r="H3" s="40">
        <f ca="1">E3*F3*G3</f>
        <v>0.84535385682975783</v>
      </c>
      <c r="I3" s="60">
        <f ca="1">(C11*(RAND()*0.12))/C11</f>
        <v>6.1628910381958148E-3</v>
      </c>
      <c r="J3" s="41">
        <f ca="1">1-(RAND()*0.08)</f>
        <v>0.92005878431608257</v>
      </c>
    </row>
    <row r="4" spans="1:10" x14ac:dyDescent="0.25">
      <c r="A4" s="45" t="s">
        <v>17</v>
      </c>
      <c r="B4" s="26">
        <f>Procesos!J11+Procesos!J12*4+Procesos!J13+Procesos!J14+Procesos!J10+Procesos!J9+Procesos!J15</f>
        <v>33535.011060606055</v>
      </c>
      <c r="C4" s="25">
        <f>Costos!K3*200</f>
        <v>35200</v>
      </c>
      <c r="D4" s="55">
        <v>35000</v>
      </c>
      <c r="E4" s="39">
        <f ca="1">C14/C13</f>
        <v>0.99936109162247078</v>
      </c>
      <c r="F4" s="39">
        <f ca="1">C16/C15</f>
        <v>0.86751408066753932</v>
      </c>
      <c r="G4" s="39">
        <f ca="1">C17/C15</f>
        <v>0.87783031244966137</v>
      </c>
      <c r="H4" s="40">
        <f t="shared" ref="H4:H5" ca="1" si="0">E4*F4*G4</f>
        <v>0.76104360849014618</v>
      </c>
      <c r="I4" s="60">
        <f ca="1">(C17*(RAND()*0.11))/C16</f>
        <v>2.8715775198660171E-2</v>
      </c>
      <c r="J4" s="41">
        <f t="shared" ref="J4:J5" ca="1" si="1">1-(RAND()*0.08)</f>
        <v>0.98509365945817706</v>
      </c>
    </row>
    <row r="5" spans="1:10" x14ac:dyDescent="0.25">
      <c r="A5" s="47" t="s">
        <v>16</v>
      </c>
      <c r="B5" s="26">
        <f>Procesos!J9+Procesos!J10+Procesos!J15+Procesos!J16*5</f>
        <v>23412.960670995672</v>
      </c>
      <c r="C5" s="25">
        <f>Costos!K3*85</f>
        <v>14960</v>
      </c>
      <c r="D5" s="55">
        <v>25000</v>
      </c>
      <c r="E5" s="39">
        <f ca="1">C19/C18</f>
        <v>0.84208901421530602</v>
      </c>
      <c r="F5" s="39">
        <f ca="1">C21/C20</f>
        <v>0.98657376668467667</v>
      </c>
      <c r="G5" s="39">
        <f ca="1">C22/C20</f>
        <v>0.88279226969283453</v>
      </c>
      <c r="H5" s="40">
        <f t="shared" ca="1" si="0"/>
        <v>0.73340874896014419</v>
      </c>
      <c r="I5" s="60">
        <f ca="1">(C22*(RAND()*0.07))/C22</f>
        <v>5.964311680006705E-2</v>
      </c>
      <c r="J5" s="41">
        <f t="shared" ca="1" si="1"/>
        <v>0.97722292459516913</v>
      </c>
    </row>
    <row r="7" spans="1:10" x14ac:dyDescent="0.25">
      <c r="A7" s="49" t="s">
        <v>108</v>
      </c>
      <c r="B7" s="49"/>
      <c r="C7" s="49"/>
      <c r="D7" s="53"/>
    </row>
    <row r="8" spans="1:10" ht="45" x14ac:dyDescent="0.25">
      <c r="A8" s="43" t="s">
        <v>18</v>
      </c>
      <c r="B8" s="42" t="s">
        <v>109</v>
      </c>
      <c r="C8" s="9">
        <f>5*60</f>
        <v>300</v>
      </c>
      <c r="D8" s="54"/>
    </row>
    <row r="9" spans="1:10" x14ac:dyDescent="0.25">
      <c r="A9" s="43"/>
      <c r="B9" s="42" t="s">
        <v>110</v>
      </c>
      <c r="C9" s="9">
        <f ca="1">C8-C8*RAND()/8.6</f>
        <v>274.27228035372985</v>
      </c>
      <c r="D9" s="54"/>
    </row>
    <row r="10" spans="1:10" ht="30" x14ac:dyDescent="0.25">
      <c r="A10" s="43"/>
      <c r="B10" s="42" t="s">
        <v>111</v>
      </c>
      <c r="C10" s="9">
        <f>C3</f>
        <v>35200</v>
      </c>
      <c r="D10" s="54"/>
    </row>
    <row r="11" spans="1:10" ht="30" x14ac:dyDescent="0.25">
      <c r="A11" s="43"/>
      <c r="B11" s="42" t="s">
        <v>112</v>
      </c>
      <c r="C11" s="9">
        <f ca="1">C10-C10*RAND()/8</f>
        <v>33391.388136694964</v>
      </c>
      <c r="D11" s="54"/>
    </row>
    <row r="12" spans="1:10" x14ac:dyDescent="0.25">
      <c r="A12" s="43"/>
      <c r="B12" s="42" t="s">
        <v>113</v>
      </c>
      <c r="C12" s="9">
        <f ca="1">C10-C10*RAND()/7</f>
        <v>34310.632880642253</v>
      </c>
      <c r="D12" s="54"/>
    </row>
    <row r="13" spans="1:10" ht="45" x14ac:dyDescent="0.25">
      <c r="A13" s="46" t="s">
        <v>17</v>
      </c>
      <c r="B13" s="42" t="s">
        <v>109</v>
      </c>
      <c r="C13" s="9">
        <f>6*60</f>
        <v>360</v>
      </c>
      <c r="D13" s="54"/>
    </row>
    <row r="14" spans="1:10" x14ac:dyDescent="0.25">
      <c r="A14" s="46"/>
      <c r="B14" s="42" t="s">
        <v>110</v>
      </c>
      <c r="C14" s="9">
        <f ca="1">C13-C13*RAND()/7.6</f>
        <v>359.76999298408947</v>
      </c>
      <c r="D14" s="54"/>
    </row>
    <row r="15" spans="1:10" ht="30" x14ac:dyDescent="0.25">
      <c r="A15" s="46"/>
      <c r="B15" s="42" t="s">
        <v>111</v>
      </c>
      <c r="C15" s="9">
        <f>C4</f>
        <v>35200</v>
      </c>
      <c r="D15" s="54"/>
    </row>
    <row r="16" spans="1:10" ht="30" x14ac:dyDescent="0.25">
      <c r="A16" s="46"/>
      <c r="B16" s="42" t="s">
        <v>112</v>
      </c>
      <c r="C16" s="9">
        <f ca="1">C15-C15*RAND()/6</f>
        <v>30536.495639497385</v>
      </c>
      <c r="D16" s="54"/>
    </row>
    <row r="17" spans="1:4" x14ac:dyDescent="0.25">
      <c r="A17" s="46"/>
      <c r="B17" s="42" t="s">
        <v>113</v>
      </c>
      <c r="C17" s="9">
        <f ca="1">C15-C15*RAND()/7</f>
        <v>30899.626998228079</v>
      </c>
      <c r="D17" s="54"/>
    </row>
    <row r="18" spans="1:4" ht="45" x14ac:dyDescent="0.25">
      <c r="A18" s="48" t="s">
        <v>16</v>
      </c>
      <c r="B18" s="42" t="s">
        <v>109</v>
      </c>
      <c r="C18" s="9">
        <f>2*60</f>
        <v>120</v>
      </c>
      <c r="D18" s="54"/>
    </row>
    <row r="19" spans="1:4" x14ac:dyDescent="0.25">
      <c r="A19" s="48"/>
      <c r="B19" s="42" t="s">
        <v>110</v>
      </c>
      <c r="C19" s="9">
        <f ca="1">C18-C18*RAND()/5.6</f>
        <v>101.05068170583672</v>
      </c>
      <c r="D19" s="54"/>
    </row>
    <row r="20" spans="1:4" ht="30" x14ac:dyDescent="0.25">
      <c r="A20" s="48"/>
      <c r="B20" s="42" t="s">
        <v>111</v>
      </c>
      <c r="C20" s="9">
        <f>C5</f>
        <v>14960</v>
      </c>
      <c r="D20" s="54"/>
    </row>
    <row r="21" spans="1:4" ht="30" x14ac:dyDescent="0.25">
      <c r="A21" s="48"/>
      <c r="B21" s="42" t="s">
        <v>112</v>
      </c>
      <c r="C21" s="9">
        <f ca="1">C20-C20*RAND()/6</f>
        <v>14759.143549602763</v>
      </c>
      <c r="D21" s="54"/>
    </row>
    <row r="22" spans="1:4" x14ac:dyDescent="0.25">
      <c r="A22" s="48"/>
      <c r="B22" s="42" t="s">
        <v>113</v>
      </c>
      <c r="C22" s="9">
        <f ca="1">C20-C20*RAND()/7</f>
        <v>13206.572354604805</v>
      </c>
      <c r="D22" s="54"/>
    </row>
  </sheetData>
  <mergeCells count="5">
    <mergeCell ref="A18:A22"/>
    <mergeCell ref="A7:C7"/>
    <mergeCell ref="A1:H1"/>
    <mergeCell ref="A8:A12"/>
    <mergeCell ref="A13:A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CD038-FD57-4CE5-A1B5-3AABF58DF9DD}">
  <dimension ref="A1:L6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4" sqref="G4"/>
    </sheetView>
  </sheetViews>
  <sheetFormatPr baseColWidth="10" defaultRowHeight="15" x14ac:dyDescent="0.25"/>
  <cols>
    <col min="2" max="2" width="33.85546875" customWidth="1"/>
    <col min="3" max="3" width="27.42578125" customWidth="1"/>
    <col min="4" max="4" width="31.42578125" customWidth="1"/>
    <col min="5" max="7" width="18.28515625" bestFit="1" customWidth="1"/>
    <col min="8" max="8" width="21.7109375" customWidth="1"/>
    <col min="10" max="10" width="0" hidden="1" customWidth="1"/>
  </cols>
  <sheetData>
    <row r="1" spans="1:12" ht="45" x14ac:dyDescent="0.25">
      <c r="A1" s="1" t="s">
        <v>19</v>
      </c>
      <c r="B1" s="1" t="s">
        <v>124</v>
      </c>
      <c r="C1" s="1" t="s">
        <v>125</v>
      </c>
      <c r="D1" s="1" t="s">
        <v>126</v>
      </c>
      <c r="E1" s="1" t="s">
        <v>119</v>
      </c>
      <c r="F1" s="1" t="s">
        <v>120</v>
      </c>
      <c r="G1" s="1" t="s">
        <v>121</v>
      </c>
      <c r="H1" s="1" t="s">
        <v>122</v>
      </c>
      <c r="I1" s="1" t="s">
        <v>123</v>
      </c>
      <c r="J1" s="1" t="s">
        <v>129</v>
      </c>
      <c r="L1" s="1"/>
    </row>
    <row r="2" spans="1:12" x14ac:dyDescent="0.25">
      <c r="A2">
        <v>1</v>
      </c>
      <c r="B2">
        <f>Demanda!G4</f>
        <v>24500.000000000004</v>
      </c>
      <c r="C2">
        <f>Demanda!E4</f>
        <v>6760</v>
      </c>
      <c r="D2">
        <f>Demanda!C4</f>
        <v>20160</v>
      </c>
      <c r="E2" s="51">
        <f>(B2*Evaluación!$D$3)+(Evaluación!$D$4*Proyección!C2)+(Proyección!D2*Evaluación!$D$5)</f>
        <v>1671600000</v>
      </c>
      <c r="F2" s="52">
        <f>(Evaluación!$B$3*Proyección!B2)+(Proyección!C2*Evaluación!$B$4)+(Evaluación!$B$5*Proyección!D2)</f>
        <v>1612942673.2606063</v>
      </c>
      <c r="G2" s="51">
        <f>E2-F2</f>
        <v>58657326.739393711</v>
      </c>
      <c r="H2" s="51">
        <f>G2</f>
        <v>58657326.739393711</v>
      </c>
      <c r="I2" s="58">
        <f>H2/(Costos!$C$22*2.48)</f>
        <v>5.5391447022922216E-2</v>
      </c>
      <c r="J2">
        <f>IF(I2&gt;0.99,1,0)</f>
        <v>0</v>
      </c>
    </row>
    <row r="3" spans="1:12" x14ac:dyDescent="0.25">
      <c r="A3">
        <v>2</v>
      </c>
      <c r="B3">
        <f>Demanda!G5</f>
        <v>20125</v>
      </c>
      <c r="C3">
        <f>Demanda!E5</f>
        <v>11440</v>
      </c>
      <c r="D3">
        <f>Demanda!C5</f>
        <v>26040</v>
      </c>
      <c r="E3" s="51">
        <f>(B3*Evaluación!$D$3)+(Evaluación!$D$4*Proyección!C3)+(Proyección!D3*Evaluación!$D$5)</f>
        <v>1816150000</v>
      </c>
      <c r="F3" s="52">
        <f>(Evaluación!$B$3*Proyección!B3)+(Proyección!C3*Evaluación!$B$4)+(Evaluación!$B$5*Proyección!D3)+G2*0.19</f>
        <v>1755442355.9638186</v>
      </c>
      <c r="G3" s="51">
        <f t="shared" ref="G3:G13" si="0">E3-F3</f>
        <v>60707644.03618145</v>
      </c>
      <c r="H3" s="51">
        <f>H2+G3</f>
        <v>119364970.77557516</v>
      </c>
      <c r="I3" s="58">
        <f>H3/(Costos!$C$22*2.48)</f>
        <v>0.11271905527647424</v>
      </c>
      <c r="J3">
        <f t="shared" ref="J3:J61" si="1">IF(I3&gt;0.99,1,0)</f>
        <v>0</v>
      </c>
    </row>
    <row r="4" spans="1:12" x14ac:dyDescent="0.25">
      <c r="A4">
        <v>3</v>
      </c>
      <c r="B4">
        <f>Demanda!G6</f>
        <v>17500</v>
      </c>
      <c r="C4">
        <f>Demanda!E6</f>
        <v>7800</v>
      </c>
      <c r="D4">
        <f>Demanda!C6</f>
        <v>40320</v>
      </c>
      <c r="E4" s="51">
        <f>(B4*Evaluación!$D$3)+(Evaluación!$D$4*Proyección!C4)+(Proyección!D4*Evaluación!$D$5)</f>
        <v>1946000000</v>
      </c>
      <c r="F4" s="52">
        <f>(Evaluación!$B$3*Proyección!B4)+(Proyección!C4*Evaluación!$B$4)+(Evaluación!$B$5*Proyección!D4)+G3*0.19</f>
        <v>1870147192.4396019</v>
      </c>
      <c r="G4" s="51">
        <f t="shared" si="0"/>
        <v>75852807.560398102</v>
      </c>
      <c r="H4" s="51">
        <f t="shared" ref="H4:H13" si="2">H3+G4</f>
        <v>195217778.33597326</v>
      </c>
      <c r="I4" s="58">
        <f>H4/(Costos!$C$22*2.48)</f>
        <v>0.18434858572181506</v>
      </c>
      <c r="J4">
        <f t="shared" si="1"/>
        <v>0</v>
      </c>
    </row>
    <row r="5" spans="1:12" x14ac:dyDescent="0.25">
      <c r="A5">
        <v>4</v>
      </c>
      <c r="B5">
        <f>Demanda!G7</f>
        <v>23625</v>
      </c>
      <c r="C5">
        <f>Demanda!E7</f>
        <v>8320</v>
      </c>
      <c r="D5">
        <f>Demanda!C7</f>
        <v>46200</v>
      </c>
      <c r="E5" s="51">
        <f>(B5*Evaluación!$D$3)+(Evaluación!$D$4*Proyección!C5)+(Proyección!D5*Evaluación!$D$5)</f>
        <v>2343950000</v>
      </c>
      <c r="F5" s="52">
        <f>(Evaluación!$B$3*Proyección!B5)+(Proyección!C5*Evaluación!$B$4)+(Evaluación!$B$5*Proyección!D5)+G4*0.19</f>
        <v>2256691365.8470821</v>
      </c>
      <c r="G5" s="51">
        <f t="shared" si="0"/>
        <v>87258634.152917862</v>
      </c>
      <c r="H5" s="51">
        <f t="shared" si="2"/>
        <v>282476412.48889112</v>
      </c>
      <c r="I5" s="58">
        <f>H5/(Costos!$C$22*2.48)</f>
        <v>0.26674889749272035</v>
      </c>
      <c r="J5">
        <f t="shared" si="1"/>
        <v>0</v>
      </c>
    </row>
    <row r="6" spans="1:12" x14ac:dyDescent="0.25">
      <c r="A6">
        <v>5</v>
      </c>
      <c r="B6">
        <f>Demanda!G8</f>
        <v>24062.500000000004</v>
      </c>
      <c r="C6">
        <f>Demanda!E8</f>
        <v>4160</v>
      </c>
      <c r="D6">
        <f>Demanda!C8</f>
        <v>41160</v>
      </c>
      <c r="E6" s="51">
        <f>(B6*Evaluación!$D$3)+(Evaluación!$D$4*Proyección!C6)+(Proyección!D6*Evaluación!$D$5)</f>
        <v>2088975000</v>
      </c>
      <c r="F6" s="52">
        <f>(Evaluación!$B$3*Proyección!B6)+(Proyección!C6*Evaluación!$B$4)+(Evaluación!$B$5*Proyección!D6)+G5*0.19</f>
        <v>2017677232.0943577</v>
      </c>
      <c r="G6" s="51">
        <f t="shared" si="0"/>
        <v>71297767.905642271</v>
      </c>
      <c r="H6" s="51">
        <f t="shared" si="2"/>
        <v>353774180.3945334</v>
      </c>
      <c r="I6" s="58">
        <f>H6/(Costos!$C$22*2.48)</f>
        <v>0.33407700044811267</v>
      </c>
      <c r="J6">
        <f t="shared" si="1"/>
        <v>0</v>
      </c>
    </row>
    <row r="7" spans="1:12" x14ac:dyDescent="0.25">
      <c r="A7">
        <v>6</v>
      </c>
      <c r="B7">
        <f>Demanda!G9</f>
        <v>24937.499999999996</v>
      </c>
      <c r="C7">
        <f>Demanda!E9</f>
        <v>5720</v>
      </c>
      <c r="D7">
        <f>Demanda!C9</f>
        <v>31919.999999999996</v>
      </c>
      <c r="E7" s="51">
        <f>(B7*Evaluación!$D$3)+(Evaluación!$D$4*Proyección!C7)+(Proyección!D7*Evaluación!$D$5)</f>
        <v>1945825000</v>
      </c>
      <c r="F7" s="52">
        <f>(Evaluación!$B$3*Proyección!B7)+(Proyección!C7*Evaluación!$B$4)+(Evaluación!$B$5*Proyección!D7)+G6*0.19</f>
        <v>1883274982.1391931</v>
      </c>
      <c r="G7" s="51">
        <f t="shared" si="0"/>
        <v>62550017.860806942</v>
      </c>
      <c r="H7" s="51">
        <f t="shared" si="2"/>
        <v>416324198.25534034</v>
      </c>
      <c r="I7" s="58">
        <f>H7/(Costos!$C$22*2.48)</f>
        <v>0.39314440418461544</v>
      </c>
      <c r="J7">
        <f t="shared" si="1"/>
        <v>0</v>
      </c>
    </row>
    <row r="8" spans="1:12" x14ac:dyDescent="0.25">
      <c r="A8">
        <v>7</v>
      </c>
      <c r="B8">
        <f>Demanda!G10</f>
        <v>21437.5</v>
      </c>
      <c r="C8">
        <f>Demanda!E10</f>
        <v>9360</v>
      </c>
      <c r="D8">
        <f>Demanda!C10</f>
        <v>46200</v>
      </c>
      <c r="E8" s="51">
        <f>(B8*Evaluación!$D$3)+(Evaluación!$D$4*Proyección!C8)+(Proyección!D8*Evaluación!$D$5)</f>
        <v>2297225000</v>
      </c>
      <c r="F8" s="52">
        <f>(Evaluación!$B$3*Proyección!B8)+(Proyección!C8*Evaluación!$B$4)+(Evaluación!$B$5*Proyección!D8)+G7*0.19</f>
        <v>2207411612.3640079</v>
      </c>
      <c r="G8" s="51">
        <f t="shared" si="0"/>
        <v>89813387.63599205</v>
      </c>
      <c r="H8" s="51">
        <f t="shared" si="2"/>
        <v>506137585.89133239</v>
      </c>
      <c r="I8" s="58">
        <f>H8/(Costos!$C$22*2.48)</f>
        <v>0.47795722774357141</v>
      </c>
      <c r="J8">
        <f t="shared" si="1"/>
        <v>0</v>
      </c>
    </row>
    <row r="9" spans="1:12" x14ac:dyDescent="0.25">
      <c r="A9">
        <v>8</v>
      </c>
      <c r="B9">
        <f>Demanda!G11</f>
        <v>21875</v>
      </c>
      <c r="C9">
        <f>Demanda!E11</f>
        <v>6240</v>
      </c>
      <c r="D9">
        <f>Demanda!C11</f>
        <v>55440</v>
      </c>
      <c r="E9" s="51">
        <f>(B9*Evaluación!$D$3)+(Evaluación!$D$4*Proyección!C9)+(Proyección!D9*Evaluación!$D$5)</f>
        <v>2435650000</v>
      </c>
      <c r="F9" s="52">
        <f>(Evaluación!$B$3*Proyección!B9)+(Proyección!C9*Evaluación!$B$4)+(Evaluación!$B$5*Proyección!D9)+G8*0.19</f>
        <v>2340623901.7008386</v>
      </c>
      <c r="G9" s="51">
        <f t="shared" si="0"/>
        <v>95026098.299161434</v>
      </c>
      <c r="H9" s="51">
        <f t="shared" si="2"/>
        <v>601163684.19049382</v>
      </c>
      <c r="I9" s="58">
        <f>H9/(Costos!$C$22*2.48)</f>
        <v>0.56769253247572504</v>
      </c>
      <c r="J9">
        <f t="shared" si="1"/>
        <v>0</v>
      </c>
    </row>
    <row r="10" spans="1:12" x14ac:dyDescent="0.25">
      <c r="A10">
        <v>9</v>
      </c>
      <c r="B10">
        <f>Demanda!G12</f>
        <v>20125</v>
      </c>
      <c r="C10">
        <f>Demanda!E12</f>
        <v>10920</v>
      </c>
      <c r="D10">
        <f>Demanda!C12</f>
        <v>63839.999999999993</v>
      </c>
      <c r="E10" s="51">
        <f>(B10*Evaluación!$D$3)+(Evaluación!$D$4*Proyección!C10)+(Proyección!D10*Evaluación!$D$5)</f>
        <v>2742950000</v>
      </c>
      <c r="F10" s="52">
        <f>(Evaluación!$B$3*Proyección!B10)+(Proyección!C10*Evaluación!$B$4)+(Evaluación!$B$5*Proyección!D10)+G9*0.19</f>
        <v>2629924130.1722951</v>
      </c>
      <c r="G10" s="51">
        <f t="shared" si="0"/>
        <v>113025869.82770491</v>
      </c>
      <c r="H10" s="51">
        <f t="shared" si="2"/>
        <v>714189554.01819873</v>
      </c>
      <c r="I10" s="58">
        <f>H10/(Costos!$C$22*2.48)</f>
        <v>0.67442543062835114</v>
      </c>
      <c r="J10">
        <f t="shared" si="1"/>
        <v>0</v>
      </c>
    </row>
    <row r="11" spans="1:12" x14ac:dyDescent="0.25">
      <c r="A11">
        <v>10</v>
      </c>
      <c r="B11">
        <f>Demanda!G13</f>
        <v>21875</v>
      </c>
      <c r="C11">
        <f>Demanda!E13</f>
        <v>16120</v>
      </c>
      <c r="D11">
        <f>Demanda!C13</f>
        <v>72240</v>
      </c>
      <c r="E11" s="51">
        <f>(B11*Evaluación!$D$3)+(Evaluación!$D$4*Proyección!C11)+(Proyección!D11*Evaluación!$D$5)</f>
        <v>3201450000</v>
      </c>
      <c r="F11" s="52">
        <f>(Evaluación!$B$3*Proyección!B11)+(Proyección!C11*Evaluación!$B$4)+(Evaluación!$B$5*Proyección!D11)+G10*0.19</f>
        <v>3069697921.8687792</v>
      </c>
      <c r="G11" s="51">
        <f t="shared" si="0"/>
        <v>131752078.13122082</v>
      </c>
      <c r="H11" s="51">
        <f t="shared" si="2"/>
        <v>845941632.14941955</v>
      </c>
      <c r="I11" s="58">
        <f>H11/(Costos!$C$22*2.48)</f>
        <v>0.79884191296122564</v>
      </c>
      <c r="J11">
        <f t="shared" si="1"/>
        <v>0</v>
      </c>
    </row>
    <row r="12" spans="1:12" x14ac:dyDescent="0.25">
      <c r="A12">
        <v>11</v>
      </c>
      <c r="B12">
        <f>Demanda!G14</f>
        <v>24500.000000000004</v>
      </c>
      <c r="C12">
        <f>Demanda!E14</f>
        <v>22360</v>
      </c>
      <c r="D12">
        <f>Demanda!C14</f>
        <v>42840</v>
      </c>
      <c r="E12" s="51">
        <f>(B12*Evaluación!$D$3)+(Evaluación!$D$4*Proyección!C12)+(Proyección!D12*Evaluación!$D$5)</f>
        <v>2784600000</v>
      </c>
      <c r="F12" s="52">
        <f>(Evaluación!$B$3*Proyección!B12)+(Proyección!C12*Evaluación!$B$4)+(Evaluación!$B$5*Proyección!D12)+G11*0.19</f>
        <v>2692127688.6691747</v>
      </c>
      <c r="G12" s="51">
        <f t="shared" si="0"/>
        <v>92472311.330825329</v>
      </c>
      <c r="H12" s="51">
        <f t="shared" si="2"/>
        <v>938413943.48024487</v>
      </c>
      <c r="I12" s="58">
        <f>H12/(Costos!$C$22*2.48)</f>
        <v>0.88616561860716636</v>
      </c>
      <c r="J12">
        <f t="shared" si="1"/>
        <v>0</v>
      </c>
    </row>
    <row r="13" spans="1:12" x14ac:dyDescent="0.25">
      <c r="A13">
        <v>12</v>
      </c>
      <c r="B13">
        <f>Demanda!G15</f>
        <v>37187.5</v>
      </c>
      <c r="C13">
        <f>Demanda!E15</f>
        <v>33800</v>
      </c>
      <c r="D13">
        <f>Demanda!C15</f>
        <v>13440</v>
      </c>
      <c r="E13" s="51">
        <f>(B13*Evaluación!$D$3)+(Evaluación!$D$4*Proyección!C13)+(Proyección!D13*Evaluación!$D$5)</f>
        <v>2932125000</v>
      </c>
      <c r="F13" s="52">
        <f>(Evaluación!$B$3*Proyección!B13)+(Proyección!C13*Evaluación!$B$4)+(Evaluación!$B$5*Proyección!D13)+G12*0.19</f>
        <v>2853410098.4536147</v>
      </c>
      <c r="G13" s="51">
        <f t="shared" si="0"/>
        <v>78714901.546385288</v>
      </c>
      <c r="H13" s="51">
        <f t="shared" si="2"/>
        <v>1017128845.0266302</v>
      </c>
      <c r="I13" s="58">
        <f>H13/(Costos!$C$22*2.48)</f>
        <v>0.96049788946384207</v>
      </c>
      <c r="J13">
        <f t="shared" si="1"/>
        <v>0</v>
      </c>
    </row>
    <row r="14" spans="1:12" x14ac:dyDescent="0.25">
      <c r="A14">
        <v>13</v>
      </c>
      <c r="B14">
        <f>B2*1.05</f>
        <v>25725.000000000004</v>
      </c>
      <c r="C14">
        <f t="shared" ref="C14:D14" si="3">C2*1.05</f>
        <v>7098</v>
      </c>
      <c r="D14">
        <f t="shared" si="3"/>
        <v>21168</v>
      </c>
      <c r="E14" s="51">
        <f>(B14*Evaluación!$D$3)+(Evaluación!$D$4*Proyección!C14)+(Proyección!D14*Evaluación!$D$5)</f>
        <v>1755180000</v>
      </c>
      <c r="F14" s="52">
        <f>(Evaluación!$B$3*Proyección!B14)+(Proyección!C14*Evaluación!$B$4)+(Evaluación!$B$5*Proyección!D14)+G13*0.19</f>
        <v>1708545638.2174499</v>
      </c>
      <c r="G14" s="51">
        <f t="shared" ref="G14:G61" si="4">E14-F14</f>
        <v>46634361.782550097</v>
      </c>
      <c r="H14" s="51">
        <f t="shared" ref="H14:H61" si="5">H13+G14</f>
        <v>1063763206.8091803</v>
      </c>
      <c r="I14" s="58">
        <f>H14/(Costos!$C$22*2.48)</f>
        <v>1.004535777375142</v>
      </c>
      <c r="J14">
        <f t="shared" si="1"/>
        <v>1</v>
      </c>
    </row>
    <row r="15" spans="1:12" x14ac:dyDescent="0.25">
      <c r="A15">
        <v>14</v>
      </c>
      <c r="B15">
        <f t="shared" ref="B15:D15" si="6">B3*1.05</f>
        <v>21131.25</v>
      </c>
      <c r="C15">
        <f t="shared" si="6"/>
        <v>12012</v>
      </c>
      <c r="D15">
        <f t="shared" si="6"/>
        <v>27342</v>
      </c>
      <c r="E15" s="51">
        <f>(B15*Evaluación!$D$3)+(Evaluación!$D$4*Proyección!C15)+(Proyección!D15*Evaluación!$D$5)</f>
        <v>1906957500</v>
      </c>
      <c r="F15" s="52">
        <f>(Evaluación!$B$3*Proyección!B15)+(Proyección!C15*Evaluación!$B$4)+(Evaluación!$B$5*Proyección!D15)+G14*0.19</f>
        <v>1840372865.8161848</v>
      </c>
      <c r="G15" s="51">
        <f t="shared" si="4"/>
        <v>66584634.183815241</v>
      </c>
      <c r="H15" s="51">
        <f t="shared" si="5"/>
        <v>1130347840.9929955</v>
      </c>
      <c r="I15" s="58">
        <f>H15/(Costos!$C$22*2.48)</f>
        <v>1.0674131610192976</v>
      </c>
      <c r="J15">
        <f t="shared" si="1"/>
        <v>1</v>
      </c>
    </row>
    <row r="16" spans="1:12" x14ac:dyDescent="0.25">
      <c r="A16">
        <v>15</v>
      </c>
      <c r="B16">
        <f t="shared" ref="B16:D16" si="7">B4*1.05</f>
        <v>18375</v>
      </c>
      <c r="C16">
        <f t="shared" si="7"/>
        <v>8190</v>
      </c>
      <c r="D16">
        <f t="shared" si="7"/>
        <v>42336</v>
      </c>
      <c r="E16" s="51">
        <f>(B16*Evaluación!$D$3)+(Evaluación!$D$4*Proyección!C16)+(Proyección!D16*Evaluación!$D$5)</f>
        <v>2043300000</v>
      </c>
      <c r="F16" s="52">
        <f>(Evaluación!$B$3*Proyección!B16)+(Proyección!C16*Evaluación!$B$4)+(Evaluación!$B$5*Proyección!D16)+G15*0.19</f>
        <v>1964194457.5712886</v>
      </c>
      <c r="G16" s="51">
        <f t="shared" si="4"/>
        <v>79105542.428711414</v>
      </c>
      <c r="H16" s="51">
        <f t="shared" si="5"/>
        <v>1209453383.4217069</v>
      </c>
      <c r="I16" s="58">
        <f>H16/(Costos!$C$22*2.48)</f>
        <v>1.1421143229410997</v>
      </c>
      <c r="J16">
        <f t="shared" si="1"/>
        <v>1</v>
      </c>
    </row>
    <row r="17" spans="1:10" x14ac:dyDescent="0.25">
      <c r="A17">
        <v>16</v>
      </c>
      <c r="B17">
        <f t="shared" ref="B17:D17" si="8">B5*1.05</f>
        <v>24806.25</v>
      </c>
      <c r="C17">
        <f t="shared" si="8"/>
        <v>8736</v>
      </c>
      <c r="D17">
        <f t="shared" si="8"/>
        <v>48510</v>
      </c>
      <c r="E17" s="51">
        <f>(B17*Evaluación!$D$3)+(Evaluación!$D$4*Proyección!C17)+(Proyección!D17*Evaluación!$D$5)</f>
        <v>2461147500</v>
      </c>
      <c r="F17" s="52">
        <f>(Evaluación!$B$3*Proyección!B17)+(Proyección!C17*Evaluación!$B$4)+(Evaluación!$B$5*Proyección!D17)+G16*0.19</f>
        <v>2369423352.0925918</v>
      </c>
      <c r="G17" s="51">
        <f t="shared" si="4"/>
        <v>91724147.907408237</v>
      </c>
      <c r="H17" s="51">
        <f t="shared" si="5"/>
        <v>1301177531.3291152</v>
      </c>
      <c r="I17" s="58">
        <f>H17/(Costos!$C$22*2.48)</f>
        <v>1.2287315208592535</v>
      </c>
      <c r="J17">
        <f t="shared" si="1"/>
        <v>1</v>
      </c>
    </row>
    <row r="18" spans="1:10" x14ac:dyDescent="0.25">
      <c r="A18">
        <v>17</v>
      </c>
      <c r="B18">
        <f t="shared" ref="B18:D18" si="9">B6*1.05</f>
        <v>25265.625000000004</v>
      </c>
      <c r="C18">
        <f t="shared" si="9"/>
        <v>4368</v>
      </c>
      <c r="D18">
        <f t="shared" si="9"/>
        <v>43218</v>
      </c>
      <c r="E18" s="51">
        <f>(B18*Evaluación!$D$3)+(Evaluación!$D$4*Proyección!C18)+(Proyección!D18*Evaluación!$D$5)</f>
        <v>2193423750</v>
      </c>
      <c r="F18" s="52">
        <f>(Evaluación!$B$3*Proyección!B18)+(Proyección!C18*Evaluación!$B$4)+(Evaluación!$B$5*Proyección!D18)+G17*0.19</f>
        <v>2118580584.287976</v>
      </c>
      <c r="G18" s="51">
        <f t="shared" si="4"/>
        <v>74843165.712023973</v>
      </c>
      <c r="H18" s="51">
        <f t="shared" si="5"/>
        <v>1376020697.0411391</v>
      </c>
      <c r="I18" s="58">
        <f>H18/(Costos!$C$22*2.48)</f>
        <v>1.2994076235562619</v>
      </c>
      <c r="J18">
        <f t="shared" si="1"/>
        <v>1</v>
      </c>
    </row>
    <row r="19" spans="1:10" x14ac:dyDescent="0.25">
      <c r="A19">
        <v>18</v>
      </c>
      <c r="B19">
        <f t="shared" ref="B19:D19" si="10">B7*1.05</f>
        <v>26184.374999999996</v>
      </c>
      <c r="C19">
        <f t="shared" si="10"/>
        <v>6006</v>
      </c>
      <c r="D19">
        <f t="shared" si="10"/>
        <v>33516</v>
      </c>
      <c r="E19" s="51">
        <f>(B19*Evaluación!$D$3)+(Evaluación!$D$4*Proyección!C19)+(Proyección!D19*Evaluación!$D$5)</f>
        <v>2043116250</v>
      </c>
      <c r="F19" s="52">
        <f>(Evaluación!$B$3*Proyección!B19)+(Proyección!C19*Evaluación!$B$4)+(Evaluación!$B$5*Proyección!D19)+G18*0.19</f>
        <v>1977435028.0342619</v>
      </c>
      <c r="G19" s="51">
        <f t="shared" si="4"/>
        <v>65681221.965738058</v>
      </c>
      <c r="H19" s="51">
        <f t="shared" si="5"/>
        <v>1441701919.0068772</v>
      </c>
      <c r="I19" s="58">
        <f>H19/(Costos!$C$22*2.48)</f>
        <v>1.3614318945067587</v>
      </c>
      <c r="J19">
        <f t="shared" si="1"/>
        <v>1</v>
      </c>
    </row>
    <row r="20" spans="1:10" x14ac:dyDescent="0.25">
      <c r="A20">
        <v>19</v>
      </c>
      <c r="B20">
        <f t="shared" ref="B20:D20" si="11">B8*1.05</f>
        <v>22509.375</v>
      </c>
      <c r="C20">
        <f t="shared" si="11"/>
        <v>9828</v>
      </c>
      <c r="D20">
        <f t="shared" si="11"/>
        <v>48510</v>
      </c>
      <c r="E20" s="51">
        <f>(B20*Evaluación!$D$3)+(Evaluación!$D$4*Proyección!C20)+(Proyección!D20*Evaluación!$D$5)</f>
        <v>2412086250</v>
      </c>
      <c r="F20" s="52">
        <f>(Evaluación!$B$3*Proyección!B20)+(Proyección!C20*Evaluación!$B$4)+(Evaluación!$B$5*Proyección!D20)+G19*0.19</f>
        <v>2317782896.5924678</v>
      </c>
      <c r="G20" s="51">
        <f t="shared" si="4"/>
        <v>94303353.407532215</v>
      </c>
      <c r="H20" s="51">
        <f t="shared" si="5"/>
        <v>1536005272.4144094</v>
      </c>
      <c r="I20" s="58">
        <f>H20/(Costos!$C$22*2.48)</f>
        <v>1.4504846948085002</v>
      </c>
      <c r="J20">
        <f t="shared" si="1"/>
        <v>1</v>
      </c>
    </row>
    <row r="21" spans="1:10" x14ac:dyDescent="0.25">
      <c r="A21">
        <v>20</v>
      </c>
      <c r="B21">
        <f t="shared" ref="B21:D21" si="12">B9*1.05</f>
        <v>22968.75</v>
      </c>
      <c r="C21">
        <f t="shared" si="12"/>
        <v>6552</v>
      </c>
      <c r="D21">
        <f t="shared" si="12"/>
        <v>58212</v>
      </c>
      <c r="E21" s="51">
        <f>(B21*Evaluación!$D$3)+(Evaluación!$D$4*Proyección!C21)+(Proyección!D21*Evaluación!$D$5)</f>
        <v>2557432500</v>
      </c>
      <c r="F21" s="52">
        <f>(Evaluación!$B$3*Proyección!B21)+(Proyección!C21*Evaluación!$B$4)+(Evaluación!$B$5*Proyección!D21)+G20*0.19</f>
        <v>2457654963.0999312</v>
      </c>
      <c r="G21" s="51">
        <f t="shared" si="4"/>
        <v>99777536.90006876</v>
      </c>
      <c r="H21" s="51">
        <f t="shared" si="5"/>
        <v>1635782809.3144782</v>
      </c>
      <c r="I21" s="58">
        <f>H21/(Costos!$C$22*2.48)</f>
        <v>1.5447068910199424</v>
      </c>
      <c r="J21">
        <f t="shared" si="1"/>
        <v>1</v>
      </c>
    </row>
    <row r="22" spans="1:10" x14ac:dyDescent="0.25">
      <c r="A22">
        <v>21</v>
      </c>
      <c r="B22">
        <f t="shared" ref="B22:D22" si="13">B10*1.05</f>
        <v>21131.25</v>
      </c>
      <c r="C22">
        <f t="shared" si="13"/>
        <v>11466</v>
      </c>
      <c r="D22">
        <f t="shared" si="13"/>
        <v>67032</v>
      </c>
      <c r="E22" s="51">
        <f>(B22*Evaluación!$D$3)+(Evaluación!$D$4*Proyección!C22)+(Proyección!D22*Evaluación!$D$5)</f>
        <v>2880097500</v>
      </c>
      <c r="F22" s="52">
        <f>(Evaluación!$B$3*Proyección!B22)+(Proyección!C22*Evaluación!$B$4)+(Evaluación!$B$5*Proyección!D22)+G21*0.19</f>
        <v>2761420362.0812407</v>
      </c>
      <c r="G22" s="51">
        <f t="shared" si="4"/>
        <v>118677137.91875935</v>
      </c>
      <c r="H22" s="51">
        <f t="shared" si="5"/>
        <v>1754459947.2332375</v>
      </c>
      <c r="I22" s="58">
        <f>H22/(Costos!$C$22*2.48)</f>
        <v>1.65677641009409</v>
      </c>
      <c r="J22">
        <f t="shared" si="1"/>
        <v>1</v>
      </c>
    </row>
    <row r="23" spans="1:10" x14ac:dyDescent="0.25">
      <c r="A23">
        <v>22</v>
      </c>
      <c r="B23">
        <f t="shared" ref="B23:D23" si="14">B11*1.05</f>
        <v>22968.75</v>
      </c>
      <c r="C23">
        <f t="shared" si="14"/>
        <v>16926</v>
      </c>
      <c r="D23">
        <f t="shared" si="14"/>
        <v>75852</v>
      </c>
      <c r="E23" s="51">
        <f>(B23*Evaluación!$D$3)+(Evaluación!$D$4*Proyección!C23)+(Proyección!D23*Evaluación!$D$5)</f>
        <v>3361522500</v>
      </c>
      <c r="F23" s="52">
        <f>(Evaluación!$B$3*Proyección!B23)+(Proyección!C23*Evaluación!$B$4)+(Evaluación!$B$5*Proyección!D23)+G22*0.19</f>
        <v>3223182813.1361551</v>
      </c>
      <c r="G23" s="51">
        <f t="shared" si="4"/>
        <v>138339686.86384487</v>
      </c>
      <c r="H23" s="51">
        <f t="shared" si="5"/>
        <v>1892799634.0970824</v>
      </c>
      <c r="I23" s="58">
        <f>H23/(Costos!$C$22*2.48)</f>
        <v>1.7874137211009693</v>
      </c>
      <c r="J23">
        <f t="shared" si="1"/>
        <v>1</v>
      </c>
    </row>
    <row r="24" spans="1:10" x14ac:dyDescent="0.25">
      <c r="A24">
        <v>23</v>
      </c>
      <c r="B24">
        <f t="shared" ref="B24:D24" si="15">B12*1.05</f>
        <v>25725.000000000004</v>
      </c>
      <c r="C24">
        <f t="shared" si="15"/>
        <v>23478</v>
      </c>
      <c r="D24">
        <f t="shared" si="15"/>
        <v>44982</v>
      </c>
      <c r="E24" s="51">
        <f>(B24*Evaluación!$D$3)+(Evaluación!$D$4*Proyección!C24)+(Proyección!D24*Evaluación!$D$5)</f>
        <v>2923830000</v>
      </c>
      <c r="F24" s="52">
        <f>(Evaluación!$B$3*Proyección!B24)+(Proyección!C24*Evaluación!$B$4)+(Evaluación!$B$5*Proyección!D24)+G23*0.19</f>
        <v>2826734074.0195851</v>
      </c>
      <c r="G24" s="51">
        <f t="shared" si="4"/>
        <v>97095925.980414867</v>
      </c>
      <c r="H24" s="51">
        <f t="shared" si="5"/>
        <v>1989895560.0774972</v>
      </c>
      <c r="I24" s="58">
        <f>H24/(Costos!$C$22*2.48)</f>
        <v>1.8791036111633086</v>
      </c>
      <c r="J24">
        <f t="shared" si="1"/>
        <v>1</v>
      </c>
    </row>
    <row r="25" spans="1:10" x14ac:dyDescent="0.25">
      <c r="A25">
        <v>24</v>
      </c>
      <c r="B25">
        <f t="shared" ref="B25:D25" si="16">B13*1.05</f>
        <v>39046.875</v>
      </c>
      <c r="C25">
        <f t="shared" si="16"/>
        <v>35490</v>
      </c>
      <c r="D25">
        <f t="shared" si="16"/>
        <v>14112</v>
      </c>
      <c r="E25" s="51">
        <f>(B25*Evaluación!$D$3)+(Evaluación!$D$4*Proyección!C25)+(Proyección!D25*Evaluación!$D$5)</f>
        <v>3078731250</v>
      </c>
      <c r="F25" s="52">
        <f>(Evaluación!$B$3*Proyección!B25)+(Proyección!C25*Evaluación!$B$4)+(Evaluación!$B$5*Proyección!D25)+G24*0.19</f>
        <v>2996080603.2020745</v>
      </c>
      <c r="G25" s="51">
        <f t="shared" si="4"/>
        <v>82650646.797925472</v>
      </c>
      <c r="H25" s="51">
        <f t="shared" si="5"/>
        <v>2072546206.8754227</v>
      </c>
      <c r="I25" s="58">
        <f>H25/(Costos!$C$22*2.48)</f>
        <v>1.9571524957273387</v>
      </c>
      <c r="J25">
        <f t="shared" si="1"/>
        <v>1</v>
      </c>
    </row>
    <row r="26" spans="1:10" x14ac:dyDescent="0.25">
      <c r="A26">
        <v>25</v>
      </c>
      <c r="B26">
        <f t="shared" ref="B26:D26" si="17">B14*1.05</f>
        <v>27011.250000000004</v>
      </c>
      <c r="C26">
        <f t="shared" si="17"/>
        <v>7452.9000000000005</v>
      </c>
      <c r="D26">
        <f t="shared" si="17"/>
        <v>22226.400000000001</v>
      </c>
      <c r="E26" s="51">
        <f>(B26*Evaluación!$D$3)+(Evaluación!$D$4*Proyección!C26)+(Proyección!D26*Evaluación!$D$5)</f>
        <v>1842939000.0000002</v>
      </c>
      <c r="F26" s="52">
        <f>(Evaluación!$B$3*Proyección!B26)+(Proyección!C26*Evaluación!$B$4)+(Evaluación!$B$5*Proyección!D26)+G25*0.19</f>
        <v>1793972920.1614244</v>
      </c>
      <c r="G26" s="51">
        <f t="shared" si="4"/>
        <v>48966079.83857584</v>
      </c>
      <c r="H26" s="51">
        <f t="shared" si="5"/>
        <v>2121512286.7139986</v>
      </c>
      <c r="I26" s="58">
        <f>H26/(Costos!$C$22*2.48)</f>
        <v>2.0033922780029449</v>
      </c>
      <c r="J26">
        <f t="shared" si="1"/>
        <v>1</v>
      </c>
    </row>
    <row r="27" spans="1:10" x14ac:dyDescent="0.25">
      <c r="A27">
        <v>26</v>
      </c>
      <c r="B27">
        <f t="shared" ref="B27:D27" si="18">B15*1.05</f>
        <v>22187.8125</v>
      </c>
      <c r="C27">
        <f t="shared" si="18"/>
        <v>12612.6</v>
      </c>
      <c r="D27">
        <f t="shared" si="18"/>
        <v>28709.100000000002</v>
      </c>
      <c r="E27" s="51">
        <f>(B27*Evaluación!$D$3)+(Evaluación!$D$4*Proyección!C27)+(Proyección!D27*Evaluación!$D$5)</f>
        <v>2002305375</v>
      </c>
      <c r="F27" s="52">
        <f>(Evaluación!$B$3*Proyección!B27)+(Proyección!C27*Evaluación!$B$4)+(Evaluación!$B$5*Proyección!D27)+G26*0.19</f>
        <v>1932391509.1007044</v>
      </c>
      <c r="G27" s="51">
        <f t="shared" si="4"/>
        <v>69913865.899295568</v>
      </c>
      <c r="H27" s="51">
        <f t="shared" si="5"/>
        <v>2191426152.6132941</v>
      </c>
      <c r="I27" s="58">
        <f>H27/(Costos!$C$22*2.48)</f>
        <v>2.0694135308352477</v>
      </c>
      <c r="J27">
        <f t="shared" si="1"/>
        <v>1</v>
      </c>
    </row>
    <row r="28" spans="1:10" x14ac:dyDescent="0.25">
      <c r="A28">
        <v>27</v>
      </c>
      <c r="B28">
        <f t="shared" ref="B28:D28" si="19">B16*1.05</f>
        <v>19293.75</v>
      </c>
      <c r="C28">
        <f t="shared" si="19"/>
        <v>8599.5</v>
      </c>
      <c r="D28">
        <f t="shared" si="19"/>
        <v>44452.800000000003</v>
      </c>
      <c r="E28" s="51">
        <f>(B28*Evaluación!$D$3)+(Evaluación!$D$4*Proyección!C28)+(Proyección!D28*Evaluación!$D$5)</f>
        <v>2145465000</v>
      </c>
      <c r="F28" s="52">
        <f>(Evaluación!$B$3*Proyección!B28)+(Proyección!C28*Evaluación!$B$4)+(Evaluación!$B$5*Proyección!D28)+G27*0.19</f>
        <v>2062404180.4510481</v>
      </c>
      <c r="G28" s="51">
        <f t="shared" si="4"/>
        <v>83060819.548951864</v>
      </c>
      <c r="H28" s="51">
        <f t="shared" si="5"/>
        <v>2274486972.1622458</v>
      </c>
      <c r="I28" s="58">
        <f>H28/(Costos!$C$22*2.48)</f>
        <v>2.1478497508520111</v>
      </c>
      <c r="J28">
        <f t="shared" si="1"/>
        <v>1</v>
      </c>
    </row>
    <row r="29" spans="1:10" x14ac:dyDescent="0.25">
      <c r="A29">
        <v>28</v>
      </c>
      <c r="B29">
        <f t="shared" ref="B29:D29" si="20">B17*1.05</f>
        <v>26046.5625</v>
      </c>
      <c r="C29">
        <f t="shared" si="20"/>
        <v>9172.8000000000011</v>
      </c>
      <c r="D29">
        <f t="shared" si="20"/>
        <v>50935.5</v>
      </c>
      <c r="E29" s="51">
        <f>(B29*Evaluación!$D$3)+(Evaluación!$D$4*Proyección!C29)+(Proyección!D29*Evaluación!$D$5)</f>
        <v>2584204875</v>
      </c>
      <c r="F29" s="52">
        <f>(Evaluación!$B$3*Proyección!B29)+(Proyección!C29*Evaluación!$B$4)+(Evaluación!$B$5*Proyección!D29)+G28*0.19</f>
        <v>2487894519.6969943</v>
      </c>
      <c r="G29" s="51">
        <f t="shared" si="4"/>
        <v>96310355.303005695</v>
      </c>
      <c r="H29" s="51">
        <f t="shared" si="5"/>
        <v>2370797327.4652514</v>
      </c>
      <c r="I29" s="58">
        <f>H29/(Costos!$C$22*2.48)</f>
        <v>2.2387978086662872</v>
      </c>
      <c r="J29">
        <f t="shared" si="1"/>
        <v>1</v>
      </c>
    </row>
    <row r="30" spans="1:10" x14ac:dyDescent="0.25">
      <c r="A30">
        <v>29</v>
      </c>
      <c r="B30">
        <f t="shared" ref="B30:D30" si="21">B18*1.05</f>
        <v>26528.906250000004</v>
      </c>
      <c r="C30">
        <f t="shared" si="21"/>
        <v>4586.4000000000005</v>
      </c>
      <c r="D30">
        <f t="shared" si="21"/>
        <v>45378.9</v>
      </c>
      <c r="E30" s="51">
        <f>(B30*Evaluación!$D$3)+(Evaluación!$D$4*Proyección!C30)+(Proyección!D30*Evaluación!$D$5)</f>
        <v>2303094937.5</v>
      </c>
      <c r="F30" s="52">
        <f>(Evaluación!$B$3*Proyección!B30)+(Proyección!C30*Evaluación!$B$4)+(Evaluación!$B$5*Proyección!D30)+G29*0.19</f>
        <v>2224509613.5024185</v>
      </c>
      <c r="G30" s="51">
        <f t="shared" si="4"/>
        <v>78585323.997581482</v>
      </c>
      <c r="H30" s="51">
        <f t="shared" si="5"/>
        <v>2449382651.4628329</v>
      </c>
      <c r="I30" s="58">
        <f>H30/(Costos!$C$22*2.48)</f>
        <v>2.3130077164981047</v>
      </c>
      <c r="J30">
        <f t="shared" si="1"/>
        <v>1</v>
      </c>
    </row>
    <row r="31" spans="1:10" x14ac:dyDescent="0.25">
      <c r="A31">
        <v>30</v>
      </c>
      <c r="B31">
        <f t="shared" ref="B31:D31" si="22">B19*1.05</f>
        <v>27493.593749999996</v>
      </c>
      <c r="C31">
        <f t="shared" si="22"/>
        <v>6306.3</v>
      </c>
      <c r="D31">
        <f t="shared" si="22"/>
        <v>35191.800000000003</v>
      </c>
      <c r="E31" s="51">
        <f>(B31*Evaluación!$D$3)+(Evaluación!$D$4*Proyección!C31)+(Proyección!D31*Evaluación!$D$5)</f>
        <v>2145272062.5</v>
      </c>
      <c r="F31" s="52">
        <f>(Evaluación!$B$3*Proyección!B31)+(Proyección!C31*Evaluación!$B$4)+(Evaluación!$B$5*Proyección!D31)+G30*0.19</f>
        <v>2076306779.435967</v>
      </c>
      <c r="G31" s="51">
        <f t="shared" si="4"/>
        <v>68965283.064033031</v>
      </c>
      <c r="H31" s="51">
        <f t="shared" si="5"/>
        <v>2518347934.526866</v>
      </c>
      <c r="I31" s="58">
        <f>H31/(Costos!$C$22*2.48)</f>
        <v>2.378133200996134</v>
      </c>
      <c r="J31">
        <f t="shared" si="1"/>
        <v>1</v>
      </c>
    </row>
    <row r="32" spans="1:10" x14ac:dyDescent="0.25">
      <c r="A32">
        <v>31</v>
      </c>
      <c r="B32">
        <f t="shared" ref="B32:D32" si="23">B20*1.05</f>
        <v>23634.84375</v>
      </c>
      <c r="C32">
        <f t="shared" si="23"/>
        <v>10319.4</v>
      </c>
      <c r="D32">
        <f t="shared" si="23"/>
        <v>50935.5</v>
      </c>
      <c r="E32" s="51">
        <f>(B32*Evaluación!$D$3)+(Evaluación!$D$4*Proyección!C32)+(Proyección!D32*Evaluación!$D$5)</f>
        <v>2532690562.5</v>
      </c>
      <c r="F32" s="52">
        <f>(Evaluación!$B$3*Proyección!B32)+(Proyección!C32*Evaluación!$B$4)+(Evaluación!$B$5*Proyección!D32)+G31*0.19</f>
        <v>2433672041.4220924</v>
      </c>
      <c r="G32" s="51">
        <f t="shared" si="4"/>
        <v>99018521.077907562</v>
      </c>
      <c r="H32" s="51">
        <f t="shared" si="5"/>
        <v>2617366455.6047735</v>
      </c>
      <c r="I32" s="58">
        <f>H32/(Costos!$C$22*2.48)</f>
        <v>2.4716386413129614</v>
      </c>
      <c r="J32">
        <f t="shared" si="1"/>
        <v>1</v>
      </c>
    </row>
    <row r="33" spans="1:10" x14ac:dyDescent="0.25">
      <c r="A33">
        <v>32</v>
      </c>
      <c r="B33">
        <f t="shared" ref="B33:D33" si="24">B21*1.05</f>
        <v>24117.1875</v>
      </c>
      <c r="C33">
        <f t="shared" si="24"/>
        <v>6879.6</v>
      </c>
      <c r="D33">
        <f t="shared" si="24"/>
        <v>61122.600000000006</v>
      </c>
      <c r="E33" s="51">
        <f>(B33*Evaluación!$D$3)+(Evaluación!$D$4*Proyección!C33)+(Proyección!D33*Evaluación!$D$5)</f>
        <v>2685304125</v>
      </c>
      <c r="F33" s="52">
        <f>(Evaluación!$B$3*Proyección!B33)+(Proyección!C33*Evaluación!$B$4)+(Evaluación!$B$5*Proyección!D33)+G32*0.19</f>
        <v>2580537711.2549276</v>
      </c>
      <c r="G33" s="51">
        <f t="shared" si="4"/>
        <v>104766413.74507236</v>
      </c>
      <c r="H33" s="51">
        <f t="shared" si="5"/>
        <v>2722132869.3498459</v>
      </c>
      <c r="I33" s="58">
        <f>H33/(Costos!$C$22*2.48)</f>
        <v>2.5705719473349755</v>
      </c>
      <c r="J33">
        <f t="shared" si="1"/>
        <v>1</v>
      </c>
    </row>
    <row r="34" spans="1:10" x14ac:dyDescent="0.25">
      <c r="A34">
        <v>33</v>
      </c>
      <c r="B34">
        <f t="shared" ref="B34:D34" si="25">B22*1.05</f>
        <v>22187.8125</v>
      </c>
      <c r="C34">
        <f t="shared" si="25"/>
        <v>12039.300000000001</v>
      </c>
      <c r="D34">
        <f t="shared" si="25"/>
        <v>70383.600000000006</v>
      </c>
      <c r="E34" s="51">
        <f>(B34*Evaluación!$D$3)+(Evaluación!$D$4*Proyección!C34)+(Proyección!D34*Evaluación!$D$5)</f>
        <v>3024102375</v>
      </c>
      <c r="F34" s="52">
        <f>(Evaluación!$B$3*Proyección!B34)+(Proyección!C34*Evaluación!$B$4)+(Evaluación!$B$5*Proyección!D34)+G33*0.19</f>
        <v>2899491380.1853027</v>
      </c>
      <c r="G34" s="51">
        <f t="shared" si="4"/>
        <v>124610994.81469727</v>
      </c>
      <c r="H34" s="51">
        <f t="shared" si="5"/>
        <v>2846743864.1645432</v>
      </c>
      <c r="I34" s="58">
        <f>H34/(Costos!$C$22*2.48)</f>
        <v>2.6882449423628305</v>
      </c>
      <c r="J34">
        <f t="shared" si="1"/>
        <v>1</v>
      </c>
    </row>
    <row r="35" spans="1:10" x14ac:dyDescent="0.25">
      <c r="A35">
        <v>34</v>
      </c>
      <c r="B35">
        <f t="shared" ref="B35:D35" si="26">B23*1.05</f>
        <v>24117.1875</v>
      </c>
      <c r="C35">
        <f t="shared" si="26"/>
        <v>17772.3</v>
      </c>
      <c r="D35">
        <f t="shared" si="26"/>
        <v>79644.600000000006</v>
      </c>
      <c r="E35" s="51">
        <f>(B35*Evaluación!$D$3)+(Evaluación!$D$4*Proyección!C35)+(Proyección!D35*Evaluación!$D$5)</f>
        <v>3529598625</v>
      </c>
      <c r="F35" s="52">
        <f>(Evaluación!$B$3*Proyección!B35)+(Proyección!C35*Evaluación!$B$4)+(Evaluación!$B$5*Proyección!D35)+G34*0.19</f>
        <v>3384341953.792963</v>
      </c>
      <c r="G35" s="51">
        <f t="shared" si="4"/>
        <v>145256671.20703697</v>
      </c>
      <c r="H35" s="51">
        <f t="shared" si="5"/>
        <v>2992000535.3715801</v>
      </c>
      <c r="I35" s="58">
        <f>H35/(Costos!$C$22*2.48)</f>
        <v>2.8254141189200537</v>
      </c>
      <c r="J35">
        <f t="shared" si="1"/>
        <v>1</v>
      </c>
    </row>
    <row r="36" spans="1:10" x14ac:dyDescent="0.25">
      <c r="A36">
        <v>35</v>
      </c>
      <c r="B36">
        <f t="shared" ref="B36:D36" si="27">B24*1.05</f>
        <v>27011.250000000004</v>
      </c>
      <c r="C36">
        <f t="shared" si="27"/>
        <v>24651.9</v>
      </c>
      <c r="D36">
        <f t="shared" si="27"/>
        <v>47231.1</v>
      </c>
      <c r="E36" s="51">
        <f>(B36*Evaluación!$D$3)+(Evaluación!$D$4*Proyección!C36)+(Proyección!D36*Evaluación!$D$5)</f>
        <v>3070021500</v>
      </c>
      <c r="F36" s="52">
        <f>(Evaluación!$B$3*Proyección!B36)+(Proyección!C36*Evaluación!$B$4)+(Evaluación!$B$5*Proyección!D36)+G35*0.19</f>
        <v>2968070777.7205644</v>
      </c>
      <c r="G36" s="51">
        <f t="shared" si="4"/>
        <v>101950722.27943563</v>
      </c>
      <c r="H36" s="51">
        <f t="shared" si="5"/>
        <v>3093951257.6510158</v>
      </c>
      <c r="I36" s="58">
        <f>H36/(Costos!$C$22*2.48)</f>
        <v>2.9216885034855102</v>
      </c>
      <c r="J36">
        <f t="shared" si="1"/>
        <v>1</v>
      </c>
    </row>
    <row r="37" spans="1:10" x14ac:dyDescent="0.25">
      <c r="A37">
        <v>36</v>
      </c>
      <c r="B37">
        <f t="shared" ref="B37:D37" si="28">B25*1.05</f>
        <v>40999.21875</v>
      </c>
      <c r="C37">
        <f t="shared" si="28"/>
        <v>37264.5</v>
      </c>
      <c r="D37">
        <f t="shared" si="28"/>
        <v>14817.6</v>
      </c>
      <c r="E37" s="51">
        <f>(B37*Evaluación!$D$3)+(Evaluación!$D$4*Proyección!C37)+(Proyección!D37*Evaluación!$D$5)</f>
        <v>3232667812.5</v>
      </c>
      <c r="F37" s="52">
        <f>(Evaluación!$B$3*Proyección!B37)+(Proyección!C37*Evaluación!$B$4)+(Evaluación!$B$5*Proyección!D37)+G36*0.19</f>
        <v>3145884633.3621783</v>
      </c>
      <c r="G37" s="51">
        <f t="shared" si="4"/>
        <v>86783179.137821674</v>
      </c>
      <c r="H37" s="51">
        <f t="shared" si="5"/>
        <v>3180734436.7888374</v>
      </c>
      <c r="I37" s="58">
        <f>H37/(Costos!$C$22*2.48)</f>
        <v>3.0036398322777416</v>
      </c>
      <c r="J37">
        <f t="shared" si="1"/>
        <v>1</v>
      </c>
    </row>
    <row r="38" spans="1:10" x14ac:dyDescent="0.25">
      <c r="A38">
        <v>37</v>
      </c>
      <c r="B38">
        <f t="shared" ref="B38:D38" si="29">B26*1.05</f>
        <v>28361.812500000004</v>
      </c>
      <c r="C38">
        <f t="shared" si="29"/>
        <v>7825.545000000001</v>
      </c>
      <c r="D38">
        <f t="shared" si="29"/>
        <v>23337.72</v>
      </c>
      <c r="E38" s="51">
        <f>(B38*Evaluación!$D$3)+(Evaluación!$D$4*Proyección!C38)+(Proyección!D38*Evaluación!$D$5)</f>
        <v>1935085950.0000002</v>
      </c>
      <c r="F38" s="52">
        <f>(Evaluación!$B$3*Proyección!B38)+(Proyección!C38*Evaluación!$B$4)+(Evaluación!$B$5*Proyección!D38)+G37*0.19</f>
        <v>1883671566.1694956</v>
      </c>
      <c r="G38" s="51">
        <f t="shared" si="4"/>
        <v>51414383.830504656</v>
      </c>
      <c r="H38" s="51">
        <f t="shared" si="5"/>
        <v>3232148820.6193419</v>
      </c>
      <c r="I38" s="58">
        <f>H38/(Costos!$C$22*2.48)</f>
        <v>3.0521916036671279</v>
      </c>
      <c r="J38">
        <f t="shared" si="1"/>
        <v>1</v>
      </c>
    </row>
    <row r="39" spans="1:10" x14ac:dyDescent="0.25">
      <c r="A39">
        <v>38</v>
      </c>
      <c r="B39">
        <f t="shared" ref="B39:D39" si="30">B27*1.05</f>
        <v>23297.203125</v>
      </c>
      <c r="C39">
        <f t="shared" si="30"/>
        <v>13243.230000000001</v>
      </c>
      <c r="D39">
        <f t="shared" si="30"/>
        <v>30144.555000000004</v>
      </c>
      <c r="E39" s="51">
        <f>(B39*Evaluación!$D$3)+(Evaluación!$D$4*Proyección!C39)+(Proyección!D39*Evaluación!$D$5)</f>
        <v>2102420643.75</v>
      </c>
      <c r="F39" s="52">
        <f>(Evaluación!$B$3*Proyección!B39)+(Proyección!C39*Evaluación!$B$4)+(Evaluación!$B$5*Proyección!D39)+G38*0.19</f>
        <v>2029011084.5557399</v>
      </c>
      <c r="G39" s="51">
        <f t="shared" si="4"/>
        <v>73409559.19426012</v>
      </c>
      <c r="H39" s="51">
        <f t="shared" si="5"/>
        <v>3305558379.813602</v>
      </c>
      <c r="I39" s="58">
        <f>H39/(Costos!$C$22*2.48)</f>
        <v>3.1215139191410457</v>
      </c>
      <c r="J39">
        <f t="shared" si="1"/>
        <v>1</v>
      </c>
    </row>
    <row r="40" spans="1:10" x14ac:dyDescent="0.25">
      <c r="A40">
        <v>39</v>
      </c>
      <c r="B40">
        <f t="shared" ref="B40:D40" si="31">B28*1.05</f>
        <v>20258.4375</v>
      </c>
      <c r="C40">
        <f t="shared" si="31"/>
        <v>9029.4750000000004</v>
      </c>
      <c r="D40">
        <f t="shared" si="31"/>
        <v>46675.44</v>
      </c>
      <c r="E40" s="51">
        <f>(B40*Evaluación!$D$3)+(Evaluación!$D$4*Proyección!C40)+(Proyección!D40*Evaluación!$D$5)</f>
        <v>2252738250</v>
      </c>
      <c r="F40" s="52">
        <f>(Evaluación!$B$3*Proyección!B40)+(Proyección!C40*Evaluación!$B$4)+(Evaluación!$B$5*Proyección!D40)+G39*0.19</f>
        <v>2165524389.4736009</v>
      </c>
      <c r="G40" s="51">
        <f t="shared" si="4"/>
        <v>87213860.526399136</v>
      </c>
      <c r="H40" s="51">
        <f t="shared" si="5"/>
        <v>3392772240.3400011</v>
      </c>
      <c r="I40" s="58">
        <f>H40/(Costos!$C$22*2.48)</f>
        <v>3.2038719501586472</v>
      </c>
      <c r="J40">
        <f t="shared" si="1"/>
        <v>1</v>
      </c>
    </row>
    <row r="41" spans="1:10" x14ac:dyDescent="0.25">
      <c r="A41">
        <v>40</v>
      </c>
      <c r="B41">
        <f t="shared" ref="B41:D41" si="32">B29*1.05</f>
        <v>27348.890625</v>
      </c>
      <c r="C41">
        <f t="shared" si="32"/>
        <v>9631.4400000000023</v>
      </c>
      <c r="D41">
        <f t="shared" si="32"/>
        <v>53482.275000000001</v>
      </c>
      <c r="E41" s="51">
        <f>(B41*Evaluación!$D$3)+(Evaluación!$D$4*Proyección!C41)+(Proyección!D41*Evaluación!$D$5)</f>
        <v>2713415118.75</v>
      </c>
      <c r="F41" s="52">
        <f>(Evaluación!$B$3*Proyección!B41)+(Proyección!C41*Evaluación!$B$4)+(Evaluación!$B$5*Proyección!D41)+G40*0.19</f>
        <v>2612289245.6818442</v>
      </c>
      <c r="G41" s="51">
        <f t="shared" si="4"/>
        <v>101125873.06815577</v>
      </c>
      <c r="H41" s="51">
        <f t="shared" si="5"/>
        <v>3493898113.4081569</v>
      </c>
      <c r="I41" s="58">
        <f>H41/(Costos!$C$22*2.48)</f>
        <v>3.2993674108636371</v>
      </c>
      <c r="J41">
        <f t="shared" si="1"/>
        <v>1</v>
      </c>
    </row>
    <row r="42" spans="1:10" x14ac:dyDescent="0.25">
      <c r="A42">
        <v>41</v>
      </c>
      <c r="B42">
        <f t="shared" ref="B42:D42" si="33">B30*1.05</f>
        <v>27855.351562500004</v>
      </c>
      <c r="C42">
        <f t="shared" si="33"/>
        <v>4815.7200000000012</v>
      </c>
      <c r="D42">
        <f t="shared" si="33"/>
        <v>47647.845000000001</v>
      </c>
      <c r="E42" s="51">
        <f>(B42*Evaluación!$D$3)+(Evaluación!$D$4*Proyección!C42)+(Proyección!D42*Evaluación!$D$5)</f>
        <v>2418249684.375</v>
      </c>
      <c r="F42" s="52">
        <f>(Evaluación!$B$3*Proyección!B42)+(Proyección!C42*Evaluación!$B$4)+(Evaluación!$B$5*Proyección!D42)+G41*0.19</f>
        <v>2335735094.1775389</v>
      </c>
      <c r="G42" s="51">
        <f t="shared" si="4"/>
        <v>82514590.197461128</v>
      </c>
      <c r="H42" s="51">
        <f t="shared" si="5"/>
        <v>3576412703.605618</v>
      </c>
      <c r="I42" s="58">
        <f>H42/(Costos!$C$22*2.48)</f>
        <v>3.3772878140870457</v>
      </c>
      <c r="J42">
        <f t="shared" si="1"/>
        <v>1</v>
      </c>
    </row>
    <row r="43" spans="1:10" x14ac:dyDescent="0.25">
      <c r="A43">
        <v>42</v>
      </c>
      <c r="B43">
        <f t="shared" ref="B43:D43" si="34">B31*1.05</f>
        <v>28868.273437499996</v>
      </c>
      <c r="C43">
        <f t="shared" si="34"/>
        <v>6621.6150000000007</v>
      </c>
      <c r="D43">
        <f t="shared" si="34"/>
        <v>36951.390000000007</v>
      </c>
      <c r="E43" s="51">
        <f>(B43*Evaluación!$D$3)+(Evaluación!$D$4*Proyección!C43)+(Proyección!D43*Evaluación!$D$5)</f>
        <v>2252535665.625</v>
      </c>
      <c r="F43" s="52">
        <f>(Evaluación!$B$3*Proyección!B43)+(Proyección!C43*Evaluación!$B$4)+(Evaluación!$B$5*Proyección!D43)+G42*0.19</f>
        <v>2180122118.4077654</v>
      </c>
      <c r="G43" s="51">
        <f t="shared" si="4"/>
        <v>72413547.217234612</v>
      </c>
      <c r="H43" s="51">
        <f t="shared" si="5"/>
        <v>3648826250.8228526</v>
      </c>
      <c r="I43" s="58">
        <f>H43/(Costos!$C$22*2.48)</f>
        <v>3.4456695728099764</v>
      </c>
      <c r="J43">
        <f t="shared" si="1"/>
        <v>1</v>
      </c>
    </row>
    <row r="44" spans="1:10" x14ac:dyDescent="0.25">
      <c r="A44">
        <v>43</v>
      </c>
      <c r="B44">
        <f t="shared" ref="B44:D44" si="35">B32*1.05</f>
        <v>24816.5859375</v>
      </c>
      <c r="C44">
        <f t="shared" si="35"/>
        <v>10835.37</v>
      </c>
      <c r="D44">
        <f t="shared" si="35"/>
        <v>53482.275000000001</v>
      </c>
      <c r="E44" s="51">
        <f>(B44*Evaluación!$D$3)+(Evaluación!$D$4*Proyección!C44)+(Proyección!D44*Evaluación!$D$5)</f>
        <v>2659325090.625</v>
      </c>
      <c r="F44" s="52">
        <f>(Evaluación!$B$3*Proyección!B44)+(Proyección!C44*Evaluación!$B$4)+(Evaluación!$B$5*Proyección!D44)+G43*0.19</f>
        <v>2555355643.4931974</v>
      </c>
      <c r="G44" s="51">
        <f t="shared" si="4"/>
        <v>103969447.13180256</v>
      </c>
      <c r="H44" s="51">
        <f t="shared" si="5"/>
        <v>3752795697.9546552</v>
      </c>
      <c r="I44" s="58">
        <f>H44/(Costos!$C$22*2.48)</f>
        <v>3.543850285142645</v>
      </c>
      <c r="J44">
        <f t="shared" si="1"/>
        <v>1</v>
      </c>
    </row>
    <row r="45" spans="1:10" x14ac:dyDescent="0.25">
      <c r="A45">
        <v>44</v>
      </c>
      <c r="B45">
        <f t="shared" ref="B45:D45" si="36">B33*1.05</f>
        <v>25323.046875</v>
      </c>
      <c r="C45">
        <f t="shared" si="36"/>
        <v>7223.5800000000008</v>
      </c>
      <c r="D45">
        <f t="shared" si="36"/>
        <v>64178.73000000001</v>
      </c>
      <c r="E45" s="51">
        <f>(B45*Evaluación!$D$3)+(Evaluación!$D$4*Proyección!C45)+(Proyección!D45*Evaluación!$D$5)</f>
        <v>2819569331.25</v>
      </c>
      <c r="F45" s="52">
        <f>(Evaluación!$B$3*Proyección!B45)+(Proyección!C45*Evaluación!$B$4)+(Evaluación!$B$5*Proyección!D45)+G44*0.19</f>
        <v>2709564596.8176742</v>
      </c>
      <c r="G45" s="51">
        <f t="shared" si="4"/>
        <v>110004734.43232584</v>
      </c>
      <c r="H45" s="51">
        <f t="shared" si="5"/>
        <v>3862800432.386981</v>
      </c>
      <c r="I45" s="58">
        <f>H45/(Costos!$C$22*2.48)</f>
        <v>3.6477302564657599</v>
      </c>
      <c r="J45">
        <f t="shared" si="1"/>
        <v>1</v>
      </c>
    </row>
    <row r="46" spans="1:10" x14ac:dyDescent="0.25">
      <c r="A46">
        <v>45</v>
      </c>
      <c r="B46">
        <f t="shared" ref="B46:D46" si="37">B34*1.05</f>
        <v>23297.203125</v>
      </c>
      <c r="C46">
        <f t="shared" si="37"/>
        <v>12641.265000000001</v>
      </c>
      <c r="D46">
        <f t="shared" si="37"/>
        <v>73902.780000000013</v>
      </c>
      <c r="E46" s="51">
        <f>(B46*Evaluación!$D$3)+(Evaluación!$D$4*Proyección!C46)+(Proyección!D46*Evaluación!$D$5)</f>
        <v>3175307493.75</v>
      </c>
      <c r="F46" s="52">
        <f>(Evaluación!$B$3*Proyección!B46)+(Proyección!C46*Evaluación!$B$4)+(Evaluación!$B$5*Proyección!D46)+G45*0.19</f>
        <v>3044465949.1945682</v>
      </c>
      <c r="G46" s="51">
        <f t="shared" si="4"/>
        <v>130841544.55543184</v>
      </c>
      <c r="H46" s="51">
        <f t="shared" si="5"/>
        <v>3993641976.9424129</v>
      </c>
      <c r="I46" s="58">
        <f>H46/(Costos!$C$22*2.48)</f>
        <v>3.7712869012450074</v>
      </c>
      <c r="J46">
        <f t="shared" si="1"/>
        <v>1</v>
      </c>
    </row>
    <row r="47" spans="1:10" x14ac:dyDescent="0.25">
      <c r="A47">
        <v>46</v>
      </c>
      <c r="B47">
        <f t="shared" ref="B47:D47" si="38">B35*1.05</f>
        <v>25323.046875</v>
      </c>
      <c r="C47">
        <f t="shared" si="38"/>
        <v>18660.915000000001</v>
      </c>
      <c r="D47">
        <f t="shared" si="38"/>
        <v>83626.830000000016</v>
      </c>
      <c r="E47" s="51">
        <f>(B47*Evaluación!$D$3)+(Evaluación!$D$4*Proyección!C47)+(Proyección!D47*Evaluación!$D$5)</f>
        <v>3706078556.2500005</v>
      </c>
      <c r="F47" s="52">
        <f>(Evaluación!$B$3*Proyección!B47)+(Proyección!C47*Evaluación!$B$4)+(Evaluación!$B$5*Proyección!D47)+G46*0.19</f>
        <v>3553559051.4826112</v>
      </c>
      <c r="G47" s="51">
        <f t="shared" si="4"/>
        <v>152519504.7673893</v>
      </c>
      <c r="H47" s="51">
        <f t="shared" si="5"/>
        <v>4146161481.7098022</v>
      </c>
      <c r="I47" s="58">
        <f>H47/(Costos!$C$22*2.48)</f>
        <v>3.9153145366300919</v>
      </c>
      <c r="J47">
        <f t="shared" si="1"/>
        <v>1</v>
      </c>
    </row>
    <row r="48" spans="1:10" x14ac:dyDescent="0.25">
      <c r="A48">
        <v>47</v>
      </c>
      <c r="B48">
        <f t="shared" ref="B48:D48" si="39">B36*1.05</f>
        <v>28361.812500000004</v>
      </c>
      <c r="C48">
        <f t="shared" si="39"/>
        <v>25884.495000000003</v>
      </c>
      <c r="D48">
        <f t="shared" si="39"/>
        <v>49592.654999999999</v>
      </c>
      <c r="E48" s="51">
        <f>(B48*Evaluación!$D$3)+(Evaluación!$D$4*Proyección!C48)+(Proyección!D48*Evaluación!$D$5)</f>
        <v>3223522575.0000005</v>
      </c>
      <c r="F48" s="52">
        <f>(Evaluación!$B$3*Proyección!B48)+(Proyección!C48*Evaluación!$B$4)+(Evaluación!$B$5*Proyección!D48)+G47*0.19</f>
        <v>3116474316.6065931</v>
      </c>
      <c r="G48" s="51">
        <f t="shared" si="4"/>
        <v>107048258.39340734</v>
      </c>
      <c r="H48" s="51">
        <f t="shared" si="5"/>
        <v>4253209740.1032095</v>
      </c>
      <c r="I48" s="58">
        <f>H48/(Costos!$C$22*2.48)</f>
        <v>4.0164026404238209</v>
      </c>
      <c r="J48">
        <f t="shared" si="1"/>
        <v>1</v>
      </c>
    </row>
    <row r="49" spans="1:10" x14ac:dyDescent="0.25">
      <c r="A49">
        <v>48</v>
      </c>
      <c r="B49">
        <f t="shared" ref="B49:D49" si="40">B37*1.05</f>
        <v>43049.1796875</v>
      </c>
      <c r="C49">
        <f t="shared" si="40"/>
        <v>39127.724999999999</v>
      </c>
      <c r="D49">
        <f t="shared" si="40"/>
        <v>15558.480000000001</v>
      </c>
      <c r="E49" s="51">
        <f>(B49*Evaluación!$D$3)+(Evaluación!$D$4*Proyección!C49)+(Proyección!D49*Evaluación!$D$5)</f>
        <v>3394301203.125</v>
      </c>
      <c r="F49" s="52">
        <f>(Evaluación!$B$3*Proyección!B49)+(Proyección!C49*Evaluación!$B$4)+(Evaluación!$B$5*Proyección!D49)+G48*0.19</f>
        <v>3303178865.0302873</v>
      </c>
      <c r="G49" s="51">
        <f t="shared" si="4"/>
        <v>91122338.094712734</v>
      </c>
      <c r="H49" s="51">
        <f t="shared" si="5"/>
        <v>4344332078.1979218</v>
      </c>
      <c r="I49" s="58">
        <f>H49/(Costos!$C$22*2.48)</f>
        <v>4.1024515356556641</v>
      </c>
      <c r="J49">
        <f t="shared" si="1"/>
        <v>1</v>
      </c>
    </row>
    <row r="50" spans="1:10" x14ac:dyDescent="0.25">
      <c r="A50">
        <v>49</v>
      </c>
      <c r="B50">
        <f t="shared" ref="B50:D50" si="41">B38*1.05</f>
        <v>29779.903125000004</v>
      </c>
      <c r="C50">
        <f t="shared" si="41"/>
        <v>8216.8222500000011</v>
      </c>
      <c r="D50">
        <f t="shared" si="41"/>
        <v>24504.606000000003</v>
      </c>
      <c r="E50" s="51">
        <f>(B50*Evaluación!$D$3)+(Evaluación!$D$4*Proyección!C50)+(Proyección!D50*Evaluación!$D$5)</f>
        <v>2031840247.5000005</v>
      </c>
      <c r="F50" s="52">
        <f>(Evaluación!$B$3*Proyección!B50)+(Proyección!C50*Evaluación!$B$4)+(Evaluación!$B$5*Proyección!D50)+G49*0.19</f>
        <v>1977855144.4779704</v>
      </c>
      <c r="G50" s="51">
        <f t="shared" si="4"/>
        <v>53985103.022030115</v>
      </c>
      <c r="H50" s="51">
        <f t="shared" si="5"/>
        <v>4398317181.2199516</v>
      </c>
      <c r="I50" s="58">
        <f>H50/(Costos!$C$22*2.48)</f>
        <v>4.1534308956145196</v>
      </c>
      <c r="J50">
        <f t="shared" si="1"/>
        <v>1</v>
      </c>
    </row>
    <row r="51" spans="1:10" x14ac:dyDescent="0.25">
      <c r="A51">
        <v>50</v>
      </c>
      <c r="B51">
        <f t="shared" ref="B51:D51" si="42">B39*1.05</f>
        <v>24462.063281250001</v>
      </c>
      <c r="C51">
        <f t="shared" si="42"/>
        <v>13905.391500000002</v>
      </c>
      <c r="D51">
        <f t="shared" si="42"/>
        <v>31651.782750000006</v>
      </c>
      <c r="E51" s="51">
        <f>(B51*Evaluación!$D$3)+(Evaluación!$D$4*Proyección!C51)+(Proyección!D51*Evaluación!$D$5)</f>
        <v>2207541675.9375</v>
      </c>
      <c r="F51" s="52">
        <f>(Evaluación!$B$3*Proyección!B51)+(Proyección!C51*Evaluación!$B$4)+(Evaluación!$B$5*Proyección!D51)+G50*0.19</f>
        <v>2130461638.7835271</v>
      </c>
      <c r="G51" s="51">
        <f t="shared" si="4"/>
        <v>77080037.153972864</v>
      </c>
      <c r="H51" s="51">
        <f t="shared" si="5"/>
        <v>4475397218.3739243</v>
      </c>
      <c r="I51" s="58">
        <f>H51/(Costos!$C$22*2.48)</f>
        <v>4.2262193268621333</v>
      </c>
      <c r="J51">
        <f t="shared" si="1"/>
        <v>1</v>
      </c>
    </row>
    <row r="52" spans="1:10" x14ac:dyDescent="0.25">
      <c r="A52">
        <v>51</v>
      </c>
      <c r="B52">
        <f t="shared" ref="B52:D52" si="43">B40*1.05</f>
        <v>21271.359375</v>
      </c>
      <c r="C52">
        <f t="shared" si="43"/>
        <v>9480.9487500000014</v>
      </c>
      <c r="D52">
        <f t="shared" si="43"/>
        <v>49009.212000000007</v>
      </c>
      <c r="E52" s="51">
        <f>(B52*Evaluación!$D$3)+(Evaluación!$D$4*Proyección!C52)+(Proyección!D52*Evaluación!$D$5)</f>
        <v>2365375162.5</v>
      </c>
      <c r="F52" s="52">
        <f>(Evaluación!$B$3*Proyección!B52)+(Proyección!C52*Evaluación!$B$4)+(Evaluación!$B$5*Proyección!D52)+G51*0.19</f>
        <v>2273800608.9472804</v>
      </c>
      <c r="G52" s="51">
        <f t="shared" si="4"/>
        <v>91574553.552719593</v>
      </c>
      <c r="H52" s="51">
        <f t="shared" si="5"/>
        <v>4566971771.9266434</v>
      </c>
      <c r="I52" s="58">
        <f>H52/(Costos!$C$22*2.48)</f>
        <v>4.3126952594306145</v>
      </c>
      <c r="J52">
        <f t="shared" si="1"/>
        <v>1</v>
      </c>
    </row>
    <row r="53" spans="1:10" x14ac:dyDescent="0.25">
      <c r="A53">
        <v>52</v>
      </c>
      <c r="B53">
        <f t="shared" ref="B53:D53" si="44">B41*1.05</f>
        <v>28716.335156250003</v>
      </c>
      <c r="C53">
        <f t="shared" si="44"/>
        <v>10113.012000000002</v>
      </c>
      <c r="D53">
        <f t="shared" si="44"/>
        <v>56156.388750000006</v>
      </c>
      <c r="E53" s="51">
        <f>(B53*Evaluación!$D$3)+(Evaluación!$D$4*Proyección!C53)+(Proyección!D53*Evaluación!$D$5)</f>
        <v>2849085874.6875</v>
      </c>
      <c r="F53" s="52">
        <f>(Evaluación!$B$3*Proyección!B53)+(Proyección!C53*Evaluación!$B$4)+(Evaluación!$B$5*Proyección!D53)+G52*0.19</f>
        <v>2742903707.9659371</v>
      </c>
      <c r="G53" s="51">
        <f t="shared" si="4"/>
        <v>106182166.72156286</v>
      </c>
      <c r="H53" s="51">
        <f t="shared" si="5"/>
        <v>4673153938.6482067</v>
      </c>
      <c r="I53" s="58">
        <f>H53/(Costos!$C$22*2.48)</f>
        <v>4.4129654931708533</v>
      </c>
      <c r="J53">
        <f t="shared" si="1"/>
        <v>1</v>
      </c>
    </row>
    <row r="54" spans="1:10" x14ac:dyDescent="0.25">
      <c r="A54">
        <v>53</v>
      </c>
      <c r="B54">
        <f t="shared" ref="B54:D54" si="45">B42*1.05</f>
        <v>29248.119140625004</v>
      </c>
      <c r="C54">
        <f t="shared" si="45"/>
        <v>5056.5060000000012</v>
      </c>
      <c r="D54">
        <f t="shared" si="45"/>
        <v>50030.237250000006</v>
      </c>
      <c r="E54" s="51">
        <f>(B54*Evaluación!$D$3)+(Evaluación!$D$4*Proyección!C54)+(Proyección!D54*Evaluación!$D$5)</f>
        <v>2539162168.5937505</v>
      </c>
      <c r="F54" s="52">
        <f>(Evaluación!$B$3*Proyección!B54)+(Proyección!C54*Evaluación!$B$4)+(Evaluación!$B$5*Proyección!D54)+G53*0.19</f>
        <v>2452521848.886416</v>
      </c>
      <c r="G54" s="51">
        <f t="shared" si="4"/>
        <v>86640319.707334518</v>
      </c>
      <c r="H54" s="51">
        <f t="shared" si="5"/>
        <v>4759794258.3555412</v>
      </c>
      <c r="I54" s="58">
        <f>H54/(Costos!$C$22*2.48)</f>
        <v>4.494781916555433</v>
      </c>
      <c r="J54">
        <f t="shared" si="1"/>
        <v>1</v>
      </c>
    </row>
    <row r="55" spans="1:10" x14ac:dyDescent="0.25">
      <c r="A55">
        <v>54</v>
      </c>
      <c r="B55">
        <f t="shared" ref="B55:D55" si="46">B43*1.05</f>
        <v>30311.687109374998</v>
      </c>
      <c r="C55">
        <f t="shared" si="46"/>
        <v>6952.6957500000008</v>
      </c>
      <c r="D55">
        <f t="shared" si="46"/>
        <v>38798.959500000012</v>
      </c>
      <c r="E55" s="51">
        <f>(B55*Evaluación!$D$3)+(Evaluación!$D$4*Proyección!C55)+(Proyección!D55*Evaluación!$D$5)</f>
        <v>2365162448.90625</v>
      </c>
      <c r="F55" s="52">
        <f>(Evaluación!$B$3*Proyección!B55)+(Proyección!C55*Evaluación!$B$4)+(Evaluación!$B$5*Proyección!D55)+G54*0.19</f>
        <v>2289128224.3281536</v>
      </c>
      <c r="G55" s="51">
        <f t="shared" si="4"/>
        <v>76034224.57809639</v>
      </c>
      <c r="H55" s="51">
        <f t="shared" si="5"/>
        <v>4835828482.9336376</v>
      </c>
      <c r="I55" s="58">
        <f>H55/(Costos!$C$22*2.48)</f>
        <v>4.5665827632145097</v>
      </c>
      <c r="J55">
        <f t="shared" si="1"/>
        <v>1</v>
      </c>
    </row>
    <row r="56" spans="1:10" x14ac:dyDescent="0.25">
      <c r="A56">
        <v>55</v>
      </c>
      <c r="B56">
        <f t="shared" ref="B56:D56" si="47">B44*1.05</f>
        <v>26057.415234375003</v>
      </c>
      <c r="C56">
        <f t="shared" si="47"/>
        <v>11377.138500000001</v>
      </c>
      <c r="D56">
        <f t="shared" si="47"/>
        <v>56156.388750000006</v>
      </c>
      <c r="E56" s="51">
        <f>(B56*Evaluación!$D$3)+(Evaluación!$D$4*Proyección!C56)+(Proyección!D56*Evaluación!$D$5)</f>
        <v>2792291345.1562505</v>
      </c>
      <c r="F56" s="52">
        <f>(Evaluación!$B$3*Proyección!B56)+(Proyección!C56*Evaluación!$B$4)+(Evaluación!$B$5*Proyección!D56)+G55*0.19</f>
        <v>2683123425.6678576</v>
      </c>
      <c r="G56" s="51">
        <f t="shared" si="4"/>
        <v>109167919.48839283</v>
      </c>
      <c r="H56" s="51">
        <f t="shared" si="5"/>
        <v>4944996402.4220304</v>
      </c>
      <c r="I56" s="58">
        <f>H56/(Costos!$C$22*2.48)</f>
        <v>4.669672511163812</v>
      </c>
      <c r="J56">
        <f t="shared" si="1"/>
        <v>1</v>
      </c>
    </row>
    <row r="57" spans="1:10" x14ac:dyDescent="0.25">
      <c r="A57">
        <v>56</v>
      </c>
      <c r="B57">
        <f t="shared" ref="B57:D57" si="48">B45*1.05</f>
        <v>26589.19921875</v>
      </c>
      <c r="C57">
        <f t="shared" si="48"/>
        <v>7584.7590000000009</v>
      </c>
      <c r="D57">
        <f t="shared" si="48"/>
        <v>67387.666500000007</v>
      </c>
      <c r="E57" s="51">
        <f>(B57*Evaluación!$D$3)+(Evaluación!$D$4*Proyección!C57)+(Proyección!D57*Evaluación!$D$5)</f>
        <v>2960547797.8125</v>
      </c>
      <c r="F57" s="52">
        <f>(Evaluación!$B$3*Proyección!B57)+(Proyección!C57*Evaluación!$B$4)+(Evaluación!$B$5*Proyección!D57)+G56*0.19</f>
        <v>2845042826.6585579</v>
      </c>
      <c r="G57" s="51">
        <f t="shared" si="4"/>
        <v>115504971.15394211</v>
      </c>
      <c r="H57" s="51">
        <f t="shared" si="5"/>
        <v>5060501373.5759726</v>
      </c>
      <c r="I57" s="58">
        <f>H57/(Costos!$C$22*2.48)</f>
        <v>4.7787464810530826</v>
      </c>
      <c r="J57">
        <f t="shared" si="1"/>
        <v>1</v>
      </c>
    </row>
    <row r="58" spans="1:10" x14ac:dyDescent="0.25">
      <c r="A58">
        <v>57</v>
      </c>
      <c r="B58">
        <f t="shared" ref="B58:D58" si="49">B46*1.05</f>
        <v>24462.063281250001</v>
      </c>
      <c r="C58">
        <f t="shared" si="49"/>
        <v>13273.328250000002</v>
      </c>
      <c r="D58">
        <f t="shared" si="49"/>
        <v>77597.919000000024</v>
      </c>
      <c r="E58" s="51">
        <f>(B58*Evaluación!$D$3)+(Evaluación!$D$4*Proyección!C58)+(Proyección!D58*Evaluación!$D$5)</f>
        <v>3334072868.4375005</v>
      </c>
      <c r="F58" s="52">
        <f>(Evaluación!$B$3*Proyección!B58)+(Proyección!C58*Evaluación!$B$4)+(Evaluación!$B$5*Proyección!D58)+G57*0.19</f>
        <v>3196689246.6542969</v>
      </c>
      <c r="G58" s="51">
        <f t="shared" si="4"/>
        <v>137383621.7832036</v>
      </c>
      <c r="H58" s="51">
        <f t="shared" si="5"/>
        <v>5197884995.3591766</v>
      </c>
      <c r="I58" s="58">
        <f>H58/(Costos!$C$22*2.48)</f>
        <v>4.9084809580712934</v>
      </c>
      <c r="J58">
        <f t="shared" si="1"/>
        <v>1</v>
      </c>
    </row>
    <row r="59" spans="1:10" x14ac:dyDescent="0.25">
      <c r="A59">
        <v>58</v>
      </c>
      <c r="B59">
        <f t="shared" ref="B59:D59" si="50">B47*1.05</f>
        <v>26589.19921875</v>
      </c>
      <c r="C59">
        <f t="shared" si="50"/>
        <v>19593.960750000002</v>
      </c>
      <c r="D59">
        <f t="shared" si="50"/>
        <v>87808.171500000026</v>
      </c>
      <c r="E59" s="51">
        <f>(B59*Evaluación!$D$3)+(Evaluación!$D$4*Proyección!C59)+(Proyección!D59*Evaluación!$D$5)</f>
        <v>3891382484.0625005</v>
      </c>
      <c r="F59" s="52">
        <f>(Evaluación!$B$3*Proyección!B59)+(Proyección!C59*Evaluación!$B$4)+(Evaluación!$B$5*Proyección!D59)+G58*0.19</f>
        <v>3731237004.0567422</v>
      </c>
      <c r="G59" s="51">
        <f t="shared" si="4"/>
        <v>160145480.00575829</v>
      </c>
      <c r="H59" s="51">
        <f t="shared" si="5"/>
        <v>5358030475.3649349</v>
      </c>
      <c r="I59" s="58">
        <f>H59/(Costos!$C$22*2.48)</f>
        <v>5.0597099752256316</v>
      </c>
      <c r="J59">
        <f t="shared" si="1"/>
        <v>1</v>
      </c>
    </row>
    <row r="60" spans="1:10" x14ac:dyDescent="0.25">
      <c r="A60">
        <v>59</v>
      </c>
      <c r="B60">
        <f t="shared" ref="B60:D60" si="51">B48*1.05</f>
        <v>29779.903125000004</v>
      </c>
      <c r="C60">
        <f t="shared" si="51"/>
        <v>27178.719750000004</v>
      </c>
      <c r="D60">
        <f t="shared" si="51"/>
        <v>52072.287750000003</v>
      </c>
      <c r="E60" s="51">
        <f>(B60*Evaluación!$D$3)+(Evaluación!$D$4*Proyección!C60)+(Proyección!D60*Evaluación!$D$5)</f>
        <v>3384698703.7500005</v>
      </c>
      <c r="F60" s="52">
        <f>(Evaluación!$B$3*Proyección!B60)+(Proyección!C60*Evaluación!$B$4)+(Evaluación!$B$5*Proyección!D60)+G59*0.19</f>
        <v>3272298032.4369226</v>
      </c>
      <c r="G60" s="51">
        <f t="shared" si="4"/>
        <v>112400671.31307793</v>
      </c>
      <c r="H60" s="51">
        <f t="shared" si="5"/>
        <v>5470431146.6780128</v>
      </c>
      <c r="I60" s="58">
        <f>H60/(Costos!$C$22*2.48)</f>
        <v>5.1658524842090472</v>
      </c>
      <c r="J60">
        <f t="shared" si="1"/>
        <v>1</v>
      </c>
    </row>
    <row r="61" spans="1:10" x14ac:dyDescent="0.25">
      <c r="A61">
        <v>60</v>
      </c>
      <c r="B61">
        <f t="shared" ref="B61:D61" si="52">B49*1.05</f>
        <v>45201.638671875</v>
      </c>
      <c r="C61">
        <f t="shared" si="52"/>
        <v>41084.111250000002</v>
      </c>
      <c r="D61">
        <f t="shared" si="52"/>
        <v>16336.404000000002</v>
      </c>
      <c r="E61" s="51">
        <f>(B61*Evaluación!$D$3)+(Evaluación!$D$4*Proyección!C61)+(Proyección!D61*Evaluación!$D$5)</f>
        <v>3564016263.28125</v>
      </c>
      <c r="F61" s="52">
        <f>(Evaluación!$B$3*Proyección!B61)+(Proyección!C61*Evaluación!$B$4)+(Evaluación!$B$5*Proyección!D61)+G60*0.19</f>
        <v>3468337808.2818012</v>
      </c>
      <c r="G61" s="51">
        <f t="shared" si="4"/>
        <v>95678454.999448776</v>
      </c>
      <c r="H61" s="51">
        <f t="shared" si="5"/>
        <v>5566109601.6774616</v>
      </c>
      <c r="I61" s="58">
        <f>H61/(Costos!$C$22*2.48)</f>
        <v>5.2562038242024833</v>
      </c>
      <c r="J61">
        <f t="shared" si="1"/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B11F8-D3BA-40D5-ADBA-04FD526A2881}">
  <dimension ref="A1:N15"/>
  <sheetViews>
    <sheetView workbookViewId="0">
      <selection activeCell="D19" sqref="D19"/>
    </sheetView>
  </sheetViews>
  <sheetFormatPr baseColWidth="10" defaultRowHeight="15" x14ac:dyDescent="0.25"/>
  <cols>
    <col min="1" max="1" width="14.5703125" customWidth="1"/>
    <col min="2" max="2" width="21.85546875" customWidth="1"/>
    <col min="3" max="3" width="22.7109375" customWidth="1"/>
    <col min="4" max="4" width="22.85546875" customWidth="1"/>
    <col min="5" max="5" width="23.7109375" customWidth="1"/>
    <col min="6" max="6" width="22.85546875" customWidth="1"/>
    <col min="7" max="7" width="25.140625" customWidth="1"/>
    <col min="8" max="8" width="18.140625" customWidth="1"/>
  </cols>
  <sheetData>
    <row r="1" spans="1:14" ht="15.75" thickBot="1" x14ac:dyDescent="0.3">
      <c r="B1" s="31" t="s">
        <v>16</v>
      </c>
      <c r="C1" s="31"/>
      <c r="D1" s="31" t="s">
        <v>17</v>
      </c>
      <c r="E1" s="31"/>
      <c r="F1" s="31" t="s">
        <v>18</v>
      </c>
      <c r="G1" s="31"/>
      <c r="K1" s="1"/>
      <c r="L1" s="1"/>
      <c r="M1" s="1"/>
      <c r="N1" s="1"/>
    </row>
    <row r="2" spans="1:14" ht="30" x14ac:dyDescent="0.25">
      <c r="A2" s="17" t="s">
        <v>15</v>
      </c>
      <c r="B2" s="32">
        <v>0.7</v>
      </c>
      <c r="C2" s="32"/>
      <c r="D2" s="32">
        <v>0.2</v>
      </c>
      <c r="E2" s="32"/>
      <c r="F2" s="32">
        <v>0.25</v>
      </c>
      <c r="G2" s="32"/>
      <c r="H2" s="5"/>
      <c r="L2" s="4"/>
      <c r="M2" s="4"/>
      <c r="N2" s="4"/>
    </row>
    <row r="3" spans="1:14" ht="15.75" thickBot="1" x14ac:dyDescent="0.3">
      <c r="A3" s="18" t="s">
        <v>19</v>
      </c>
      <c r="B3" s="18" t="s">
        <v>33</v>
      </c>
      <c r="C3" s="18" t="s">
        <v>34</v>
      </c>
      <c r="D3" s="18" t="s">
        <v>88</v>
      </c>
      <c r="E3" s="18" t="s">
        <v>89</v>
      </c>
      <c r="F3" s="18" t="s">
        <v>90</v>
      </c>
      <c r="G3" s="18" t="s">
        <v>91</v>
      </c>
      <c r="H3" s="16" t="s">
        <v>23</v>
      </c>
    </row>
    <row r="4" spans="1:14" x14ac:dyDescent="0.25">
      <c r="A4" s="2" t="s">
        <v>20</v>
      </c>
      <c r="B4" s="2">
        <v>28800</v>
      </c>
      <c r="C4" s="2">
        <f t="shared" ref="C4:C15" si="0">B4*B$2</f>
        <v>20160</v>
      </c>
      <c r="D4" s="2">
        <v>33800</v>
      </c>
      <c r="E4" s="2">
        <f t="shared" ref="E4:E15" si="1">D4*D$2</f>
        <v>6760</v>
      </c>
      <c r="F4" s="2">
        <v>98000.000000000015</v>
      </c>
      <c r="G4" s="2">
        <f>F4*F$2</f>
        <v>24500.000000000004</v>
      </c>
      <c r="H4" s="2">
        <f>C4+E4+G4</f>
        <v>51420</v>
      </c>
    </row>
    <row r="5" spans="1:14" x14ac:dyDescent="0.25">
      <c r="A5" s="2" t="s">
        <v>21</v>
      </c>
      <c r="B5" s="2">
        <v>37200</v>
      </c>
      <c r="C5" s="2">
        <f t="shared" si="0"/>
        <v>26040</v>
      </c>
      <c r="D5" s="2">
        <v>57200</v>
      </c>
      <c r="E5" s="2">
        <f t="shared" si="1"/>
        <v>11440</v>
      </c>
      <c r="F5" s="2">
        <v>80500</v>
      </c>
      <c r="G5" s="2">
        <f t="shared" ref="G5:G15" si="2">F5*F$2</f>
        <v>20125</v>
      </c>
      <c r="H5" s="2">
        <f t="shared" ref="H5:H15" si="3">C5+E5+G5</f>
        <v>57605</v>
      </c>
    </row>
    <row r="6" spans="1:14" x14ac:dyDescent="0.25">
      <c r="A6" s="2" t="s">
        <v>22</v>
      </c>
      <c r="B6" s="2">
        <v>57600</v>
      </c>
      <c r="C6" s="2">
        <f t="shared" si="0"/>
        <v>40320</v>
      </c>
      <c r="D6" s="2">
        <v>39000</v>
      </c>
      <c r="E6" s="2">
        <f t="shared" si="1"/>
        <v>7800</v>
      </c>
      <c r="F6" s="2">
        <v>70000</v>
      </c>
      <c r="G6" s="2">
        <f t="shared" si="2"/>
        <v>17500</v>
      </c>
      <c r="H6" s="2">
        <f t="shared" si="3"/>
        <v>65620</v>
      </c>
    </row>
    <row r="7" spans="1:14" x14ac:dyDescent="0.25">
      <c r="A7" s="2" t="s">
        <v>24</v>
      </c>
      <c r="B7" s="2">
        <v>66000</v>
      </c>
      <c r="C7" s="2">
        <f t="shared" si="0"/>
        <v>46200</v>
      </c>
      <c r="D7" s="2">
        <v>41600</v>
      </c>
      <c r="E7" s="2">
        <f t="shared" si="1"/>
        <v>8320</v>
      </c>
      <c r="F7" s="2">
        <v>94500</v>
      </c>
      <c r="G7" s="2">
        <f t="shared" si="2"/>
        <v>23625</v>
      </c>
      <c r="H7" s="2">
        <f t="shared" si="3"/>
        <v>78145</v>
      </c>
    </row>
    <row r="8" spans="1:14" x14ac:dyDescent="0.25">
      <c r="A8" s="2" t="s">
        <v>25</v>
      </c>
      <c r="B8" s="2">
        <v>58800</v>
      </c>
      <c r="C8" s="2">
        <f t="shared" si="0"/>
        <v>41160</v>
      </c>
      <c r="D8" s="2">
        <v>20800</v>
      </c>
      <c r="E8" s="2">
        <f t="shared" si="1"/>
        <v>4160</v>
      </c>
      <c r="F8" s="2">
        <v>96250.000000000015</v>
      </c>
      <c r="G8" s="2">
        <f t="shared" si="2"/>
        <v>24062.500000000004</v>
      </c>
      <c r="H8" s="2">
        <f t="shared" si="3"/>
        <v>69382.5</v>
      </c>
    </row>
    <row r="9" spans="1:14" x14ac:dyDescent="0.25">
      <c r="A9" s="2" t="s">
        <v>26</v>
      </c>
      <c r="B9" s="2">
        <v>45600</v>
      </c>
      <c r="C9" s="2">
        <f t="shared" si="0"/>
        <v>31919.999999999996</v>
      </c>
      <c r="D9" s="2">
        <v>28600</v>
      </c>
      <c r="E9" s="2">
        <f t="shared" si="1"/>
        <v>5720</v>
      </c>
      <c r="F9" s="2">
        <v>99749.999999999985</v>
      </c>
      <c r="G9" s="2">
        <f t="shared" si="2"/>
        <v>24937.499999999996</v>
      </c>
      <c r="H9" s="2">
        <f t="shared" si="3"/>
        <v>62577.5</v>
      </c>
    </row>
    <row r="10" spans="1:14" x14ac:dyDescent="0.25">
      <c r="A10" s="2" t="s">
        <v>27</v>
      </c>
      <c r="B10" s="2">
        <v>66000</v>
      </c>
      <c r="C10" s="2">
        <f t="shared" si="0"/>
        <v>46200</v>
      </c>
      <c r="D10" s="2">
        <v>46800</v>
      </c>
      <c r="E10" s="2">
        <f t="shared" si="1"/>
        <v>9360</v>
      </c>
      <c r="F10" s="2">
        <v>85750</v>
      </c>
      <c r="G10" s="2">
        <f t="shared" si="2"/>
        <v>21437.5</v>
      </c>
      <c r="H10" s="2">
        <f t="shared" si="3"/>
        <v>76997.5</v>
      </c>
    </row>
    <row r="11" spans="1:14" x14ac:dyDescent="0.25">
      <c r="A11" s="2" t="s">
        <v>28</v>
      </c>
      <c r="B11" s="2">
        <v>79200</v>
      </c>
      <c r="C11" s="2">
        <f t="shared" si="0"/>
        <v>55440</v>
      </c>
      <c r="D11" s="2">
        <v>31200</v>
      </c>
      <c r="E11" s="2">
        <f t="shared" si="1"/>
        <v>6240</v>
      </c>
      <c r="F11" s="2">
        <v>87500</v>
      </c>
      <c r="G11" s="2">
        <f t="shared" si="2"/>
        <v>21875</v>
      </c>
      <c r="H11" s="2">
        <f t="shared" si="3"/>
        <v>83555</v>
      </c>
    </row>
    <row r="12" spans="1:14" x14ac:dyDescent="0.25">
      <c r="A12" s="2" t="s">
        <v>29</v>
      </c>
      <c r="B12" s="2">
        <v>91200</v>
      </c>
      <c r="C12" s="2">
        <f t="shared" si="0"/>
        <v>63839.999999999993</v>
      </c>
      <c r="D12" s="2">
        <v>54600</v>
      </c>
      <c r="E12" s="2">
        <f t="shared" si="1"/>
        <v>10920</v>
      </c>
      <c r="F12" s="2">
        <v>80500</v>
      </c>
      <c r="G12" s="2">
        <f t="shared" si="2"/>
        <v>20125</v>
      </c>
      <c r="H12" s="2">
        <f t="shared" si="3"/>
        <v>94885</v>
      </c>
    </row>
    <row r="13" spans="1:14" x14ac:dyDescent="0.25">
      <c r="A13" s="2" t="s">
        <v>30</v>
      </c>
      <c r="B13" s="2">
        <v>103200</v>
      </c>
      <c r="C13" s="2">
        <f t="shared" si="0"/>
        <v>72240</v>
      </c>
      <c r="D13" s="2">
        <v>80600</v>
      </c>
      <c r="E13" s="2">
        <f t="shared" si="1"/>
        <v>16120</v>
      </c>
      <c r="F13" s="2">
        <v>87500</v>
      </c>
      <c r="G13" s="2">
        <f t="shared" si="2"/>
        <v>21875</v>
      </c>
      <c r="H13" s="2">
        <f t="shared" si="3"/>
        <v>110235</v>
      </c>
    </row>
    <row r="14" spans="1:14" x14ac:dyDescent="0.25">
      <c r="A14" s="2" t="s">
        <v>31</v>
      </c>
      <c r="B14" s="2">
        <v>61200</v>
      </c>
      <c r="C14" s="2">
        <f t="shared" si="0"/>
        <v>42840</v>
      </c>
      <c r="D14" s="2">
        <v>111800</v>
      </c>
      <c r="E14" s="2">
        <f t="shared" si="1"/>
        <v>22360</v>
      </c>
      <c r="F14" s="2">
        <v>98000.000000000015</v>
      </c>
      <c r="G14" s="2">
        <f t="shared" si="2"/>
        <v>24500.000000000004</v>
      </c>
      <c r="H14" s="2">
        <f t="shared" si="3"/>
        <v>89700</v>
      </c>
    </row>
    <row r="15" spans="1:14" x14ac:dyDescent="0.25">
      <c r="A15" s="2" t="s">
        <v>32</v>
      </c>
      <c r="B15" s="2">
        <v>19200</v>
      </c>
      <c r="C15" s="2">
        <f t="shared" si="0"/>
        <v>13440</v>
      </c>
      <c r="D15" s="2">
        <v>169000</v>
      </c>
      <c r="E15" s="2">
        <f t="shared" si="1"/>
        <v>33800</v>
      </c>
      <c r="F15" s="2">
        <v>148750</v>
      </c>
      <c r="G15" s="2">
        <f t="shared" si="2"/>
        <v>37187.5</v>
      </c>
      <c r="H15" s="2">
        <f t="shared" si="3"/>
        <v>84427.5</v>
      </c>
    </row>
  </sheetData>
  <mergeCells count="6">
    <mergeCell ref="F1:G1"/>
    <mergeCell ref="F2:G2"/>
    <mergeCell ref="B1:C1"/>
    <mergeCell ref="D1:E1"/>
    <mergeCell ref="B2:C2"/>
    <mergeCell ref="D2:E2"/>
  </mergeCells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886BE-AF7D-4996-A8A7-72ECB1312457}">
  <dimension ref="A1:J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9" sqref="D9"/>
    </sheetView>
  </sheetViews>
  <sheetFormatPr baseColWidth="10" defaultRowHeight="15" x14ac:dyDescent="0.25"/>
  <cols>
    <col min="1" max="1" width="16.42578125" customWidth="1"/>
    <col min="2" max="2" width="14.5703125" customWidth="1"/>
    <col min="3" max="3" width="16.85546875" customWidth="1"/>
    <col min="4" max="4" width="17.42578125" customWidth="1"/>
    <col min="5" max="5" width="20.28515625" customWidth="1"/>
    <col min="6" max="6" width="20.42578125" customWidth="1"/>
    <col min="7" max="7" width="15.42578125" customWidth="1"/>
    <col min="8" max="8" width="14.28515625" customWidth="1"/>
    <col min="9" max="9" width="20" customWidth="1"/>
    <col min="10" max="10" width="20.140625" customWidth="1"/>
  </cols>
  <sheetData>
    <row r="1" spans="1:10" ht="45" x14ac:dyDescent="0.25">
      <c r="A1" s="1" t="s">
        <v>35</v>
      </c>
      <c r="B1" s="1" t="s">
        <v>66</v>
      </c>
      <c r="C1" s="1" t="s">
        <v>36</v>
      </c>
      <c r="D1" s="1" t="s">
        <v>74</v>
      </c>
      <c r="E1" s="1" t="s">
        <v>73</v>
      </c>
      <c r="F1" s="1" t="s">
        <v>37</v>
      </c>
      <c r="G1" s="1" t="s">
        <v>38</v>
      </c>
      <c r="H1" s="1" t="s">
        <v>65</v>
      </c>
      <c r="I1" s="1" t="s">
        <v>39</v>
      </c>
      <c r="J1" s="1" t="s">
        <v>40</v>
      </c>
    </row>
    <row r="2" spans="1:10" ht="30" x14ac:dyDescent="0.25">
      <c r="A2" s="7" t="s">
        <v>41</v>
      </c>
      <c r="B2" s="2">
        <v>2</v>
      </c>
      <c r="C2" s="3">
        <f>B2*Costos!$C$6</f>
        <v>11862</v>
      </c>
      <c r="D2" s="2">
        <v>300</v>
      </c>
      <c r="E2" s="2">
        <f>Costos!F13</f>
        <v>3.5</v>
      </c>
      <c r="F2" s="3">
        <f>E2*Costos!$C$5</f>
        <v>186004</v>
      </c>
      <c r="G2" s="2"/>
      <c r="H2" s="2">
        <v>30</v>
      </c>
      <c r="I2" s="3">
        <f>H2*Costos!$C$7/(D2*Costos!$K$3)</f>
        <v>738.63636363636363</v>
      </c>
      <c r="J2" s="8">
        <f>(C2/D2)+(F2/D2)+I2+G2</f>
        <v>1398.1896969696968</v>
      </c>
    </row>
    <row r="3" spans="1:10" ht="45" x14ac:dyDescent="0.25">
      <c r="A3" s="6" t="s">
        <v>68</v>
      </c>
      <c r="B3" s="2">
        <v>1</v>
      </c>
      <c r="C3" s="3">
        <f>B3*Costos!$C$6</f>
        <v>5931</v>
      </c>
      <c r="D3" s="2">
        <v>300</v>
      </c>
      <c r="E3" s="2">
        <f>Costos!F14+Costos!F15</f>
        <v>37.5</v>
      </c>
      <c r="F3" s="3">
        <f>E3*Costos!$C$5</f>
        <v>1992900</v>
      </c>
      <c r="G3" s="2">
        <f>'Lista de partes'!E4*Costos!C4/1000</f>
        <v>1200</v>
      </c>
      <c r="H3" s="2">
        <v>10</v>
      </c>
      <c r="I3" s="3">
        <f>H3*Costos!$C$7/(D3*Costos!$K$3)</f>
        <v>246.21212121212122</v>
      </c>
      <c r="J3" s="8">
        <f>(C3/D3)+(F3/D3)+I3+G3</f>
        <v>8108.9821212121215</v>
      </c>
    </row>
    <row r="4" spans="1:10" ht="30" x14ac:dyDescent="0.25">
      <c r="A4" s="6" t="s">
        <v>69</v>
      </c>
      <c r="B4" s="2">
        <v>1</v>
      </c>
      <c r="C4" s="3">
        <f>B4*Costos!$C$6</f>
        <v>5931</v>
      </c>
      <c r="D4" s="2">
        <v>350</v>
      </c>
      <c r="E4" s="2">
        <f>Costos!F16</f>
        <v>24</v>
      </c>
      <c r="F4" s="3">
        <f>E4*Costos!$C$5</f>
        <v>1275456</v>
      </c>
      <c r="G4" s="2">
        <f>'Lista de partes'!E2*Costos!C3/1000</f>
        <v>60</v>
      </c>
      <c r="H4" s="2">
        <v>5</v>
      </c>
      <c r="I4" s="3">
        <f>H4*Costos!$C$7/(D4*Costos!$K$3)</f>
        <v>105.51948051948052</v>
      </c>
      <c r="J4" s="8">
        <f>(C4/D4)+(F4/D4)+I4+G4</f>
        <v>3826.6251948051945</v>
      </c>
    </row>
    <row r="5" spans="1:10" ht="30" x14ac:dyDescent="0.25">
      <c r="A5" s="6" t="s">
        <v>70</v>
      </c>
      <c r="B5" s="2">
        <v>1</v>
      </c>
      <c r="C5" s="3">
        <f>B5*Costos!$C$6</f>
        <v>5931</v>
      </c>
      <c r="D5" s="2">
        <v>350</v>
      </c>
      <c r="E5" s="2">
        <f>Costos!F16</f>
        <v>24</v>
      </c>
      <c r="F5" s="3">
        <f>E5*Costos!$C$5</f>
        <v>1275456</v>
      </c>
      <c r="G5" s="2">
        <f>'Lista de partes'!E3*Costos!C3/1000</f>
        <v>140</v>
      </c>
      <c r="H5" s="2">
        <v>5</v>
      </c>
      <c r="I5" s="3">
        <f>H5*Costos!$C$7/(D5*Costos!$K$3)</f>
        <v>105.51948051948052</v>
      </c>
      <c r="J5" s="8">
        <f>(C5/D5)+(F5/D5)+I5+G5</f>
        <v>3906.6251948051945</v>
      </c>
    </row>
    <row r="6" spans="1:10" ht="30" x14ac:dyDescent="0.25">
      <c r="A6" s="6" t="s">
        <v>71</v>
      </c>
      <c r="B6" s="2">
        <v>1</v>
      </c>
      <c r="C6" s="3">
        <f>B6*Costos!$C$6</f>
        <v>5931</v>
      </c>
      <c r="D6" s="2">
        <v>350</v>
      </c>
      <c r="E6" s="2">
        <f>Costos!F16</f>
        <v>24</v>
      </c>
      <c r="F6" s="3">
        <f>E6*Costos!$C$5</f>
        <v>1275456</v>
      </c>
      <c r="G6" s="2">
        <f>'Lista de partes'!E5*Costos!C3/1000</f>
        <v>100</v>
      </c>
      <c r="H6" s="2">
        <v>5</v>
      </c>
      <c r="I6" s="3">
        <f>H6*Costos!$C$7/(D6*Costos!$K$3)</f>
        <v>105.51948051948052</v>
      </c>
      <c r="J6" s="8">
        <f t="shared" ref="J6:J10" si="0">(C6/D6)+(F6/D6)+I6+G6</f>
        <v>3866.6251948051945</v>
      </c>
    </row>
    <row r="7" spans="1:10" ht="30" x14ac:dyDescent="0.25">
      <c r="A7" s="6" t="s">
        <v>72</v>
      </c>
      <c r="B7" s="2">
        <v>1</v>
      </c>
      <c r="C7" s="3">
        <f>B7*Costos!$C$6</f>
        <v>5931</v>
      </c>
      <c r="D7" s="2">
        <v>300</v>
      </c>
      <c r="E7" s="2">
        <f>E6</f>
        <v>24</v>
      </c>
      <c r="F7" s="3">
        <f>E7*Costos!$C$5</f>
        <v>1275456</v>
      </c>
      <c r="G7" s="2">
        <f>'Lista de partes'!E6*Costos!C3/1000</f>
        <v>140</v>
      </c>
      <c r="H7" s="2">
        <v>5</v>
      </c>
      <c r="I7" s="3">
        <f>H7*Costos!$C$7/(D7*Costos!$K$3)</f>
        <v>123.10606060606061</v>
      </c>
      <c r="J7" s="8">
        <f t="shared" si="0"/>
        <v>4534.3960606060618</v>
      </c>
    </row>
    <row r="8" spans="1:10" x14ac:dyDescent="0.25">
      <c r="A8" s="6" t="s">
        <v>44</v>
      </c>
      <c r="B8" s="2">
        <v>2</v>
      </c>
      <c r="C8" s="3">
        <f>B8*Costos!$C$6</f>
        <v>11862</v>
      </c>
      <c r="D8" s="2">
        <v>200</v>
      </c>
      <c r="E8" s="2">
        <f>Costos!F17</f>
        <v>12</v>
      </c>
      <c r="F8" s="3">
        <f>E8*Costos!$C$5</f>
        <v>637728</v>
      </c>
      <c r="G8" s="2"/>
      <c r="H8" s="2">
        <v>15</v>
      </c>
      <c r="I8" s="3">
        <f>H8*Costos!$C$7/(D8*Costos!$K$3)</f>
        <v>553.97727272727275</v>
      </c>
      <c r="J8" s="8">
        <f t="shared" si="0"/>
        <v>3801.9272727272728</v>
      </c>
    </row>
    <row r="9" spans="1:10" x14ac:dyDescent="0.25">
      <c r="A9" s="7" t="s">
        <v>45</v>
      </c>
      <c r="B9" s="2">
        <v>2</v>
      </c>
      <c r="C9" s="3">
        <f>B9*Costos!$C$6</f>
        <v>11862</v>
      </c>
      <c r="D9" s="2">
        <v>500</v>
      </c>
      <c r="E9" s="2">
        <f>Costos!F18+Costos!F19</f>
        <v>5.5</v>
      </c>
      <c r="F9" s="3">
        <f>E9*Costos!$C$5</f>
        <v>292292</v>
      </c>
      <c r="G9" s="2"/>
      <c r="H9" s="2">
        <v>20</v>
      </c>
      <c r="I9" s="3">
        <f>H9*Costos!$C$7/(D9*Costos!$K$3)</f>
        <v>295.45454545454544</v>
      </c>
      <c r="J9" s="8">
        <f t="shared" si="0"/>
        <v>903.76254545454549</v>
      </c>
    </row>
    <row r="10" spans="1:10" x14ac:dyDescent="0.25">
      <c r="A10" s="7" t="s">
        <v>46</v>
      </c>
      <c r="B10" s="2">
        <v>2</v>
      </c>
      <c r="C10" s="3">
        <f>B10*Costos!$C$6</f>
        <v>11862</v>
      </c>
      <c r="D10" s="2">
        <v>1500</v>
      </c>
      <c r="E10" s="2">
        <f>Costos!F20</f>
        <v>1.5</v>
      </c>
      <c r="F10" s="3">
        <f>E10*Costos!$C$5</f>
        <v>79716</v>
      </c>
      <c r="G10" s="2"/>
      <c r="H10" s="2">
        <v>40</v>
      </c>
      <c r="I10" s="3">
        <f>H10*Costos!$C$7/(D10*Costos!$K$3)</f>
        <v>196.96969696969697</v>
      </c>
      <c r="J10" s="8">
        <f t="shared" si="0"/>
        <v>258.02169696969696</v>
      </c>
    </row>
    <row r="11" spans="1:10" ht="30" x14ac:dyDescent="0.25">
      <c r="A11" s="36" t="s">
        <v>103</v>
      </c>
      <c r="B11" s="2">
        <v>1</v>
      </c>
      <c r="C11" s="3">
        <f>B11*Costos!$C$6</f>
        <v>5931</v>
      </c>
      <c r="D11" s="2">
        <v>350</v>
      </c>
      <c r="E11" s="2">
        <f>Costos!F16</f>
        <v>24</v>
      </c>
      <c r="F11" s="3">
        <f>E11*Costos!$C$5</f>
        <v>1275456</v>
      </c>
      <c r="G11" s="2">
        <f>'Lista de partes'!E7*Costos!C$3/1000</f>
        <v>176</v>
      </c>
      <c r="H11" s="2">
        <v>5</v>
      </c>
      <c r="I11" s="3">
        <f>H11*Costos!$C$7/(D11*Costos!$K$3)</f>
        <v>105.51948051948052</v>
      </c>
      <c r="J11" s="8">
        <f>(C11/D11)+(F11/D11)+I11+G11</f>
        <v>3942.6251948051945</v>
      </c>
    </row>
    <row r="12" spans="1:10" ht="30" x14ac:dyDescent="0.25">
      <c r="A12" s="36" t="s">
        <v>104</v>
      </c>
      <c r="B12" s="2">
        <v>1</v>
      </c>
      <c r="C12" s="3">
        <f>B12*Costos!$C$6</f>
        <v>5931</v>
      </c>
      <c r="D12" s="2">
        <v>350</v>
      </c>
      <c r="E12" s="2">
        <f>E11</f>
        <v>24</v>
      </c>
      <c r="F12" s="3">
        <f>E12*Costos!$C$5</f>
        <v>1275456</v>
      </c>
      <c r="G12" s="2">
        <f>'Lista de partes'!E8*Costos!C$3/1000</f>
        <v>52</v>
      </c>
      <c r="H12" s="2">
        <v>5</v>
      </c>
      <c r="I12" s="3">
        <f>H12*Costos!$C$7/(D12*Costos!$K$3)</f>
        <v>105.51948051948052</v>
      </c>
      <c r="J12" s="8">
        <f>(C12/D12)+(F12/D12)+I12+G12</f>
        <v>3818.6251948051945</v>
      </c>
    </row>
    <row r="13" spans="1:10" ht="30" x14ac:dyDescent="0.25">
      <c r="A13" s="36" t="s">
        <v>105</v>
      </c>
      <c r="B13" s="2">
        <v>1</v>
      </c>
      <c r="C13" s="3">
        <f>B13*Costos!$C$6</f>
        <v>5931</v>
      </c>
      <c r="D13" s="2">
        <v>350</v>
      </c>
      <c r="E13" s="2">
        <f>E12</f>
        <v>24</v>
      </c>
      <c r="F13" s="3">
        <f>E13*Costos!$C$5</f>
        <v>1275456</v>
      </c>
      <c r="G13" s="2">
        <f>'Lista de partes'!E9*Costos!C$3/1000</f>
        <v>136</v>
      </c>
      <c r="H13" s="2">
        <v>5</v>
      </c>
      <c r="I13" s="3">
        <f>H13*Costos!$C$7/(D13*Costos!$K$3)</f>
        <v>105.51948051948052</v>
      </c>
      <c r="J13" s="8">
        <f>(C13/D13)+(F13/D13)+I13+G13</f>
        <v>3902.6251948051945</v>
      </c>
    </row>
    <row r="14" spans="1:10" ht="30" x14ac:dyDescent="0.25">
      <c r="A14" s="36" t="s">
        <v>106</v>
      </c>
      <c r="B14" s="2">
        <v>1</v>
      </c>
      <c r="C14" s="3">
        <f>B14*Costos!$C$6</f>
        <v>5931</v>
      </c>
      <c r="D14" s="2">
        <v>350</v>
      </c>
      <c r="E14" s="2">
        <f>E13</f>
        <v>24</v>
      </c>
      <c r="F14" s="3">
        <f>E14*Costos!$C$5</f>
        <v>1275456</v>
      </c>
      <c r="G14" s="2">
        <f>'Lista de partes'!E10*Costos!C$3/1000</f>
        <v>32</v>
      </c>
      <c r="H14" s="2">
        <v>5</v>
      </c>
      <c r="I14" s="3">
        <f>H14*Costos!$C$7/(D14*Costos!$K$3)</f>
        <v>105.51948051948052</v>
      </c>
      <c r="J14" s="8">
        <f>(C14/D14)+(F14/D14)+I14+G14</f>
        <v>3798.6251948051945</v>
      </c>
    </row>
    <row r="15" spans="1:10" x14ac:dyDescent="0.25">
      <c r="A15" s="7" t="s">
        <v>101</v>
      </c>
      <c r="B15" s="2">
        <v>1</v>
      </c>
      <c r="C15" s="3">
        <f>B15*Costos!$C$6</f>
        <v>5931</v>
      </c>
      <c r="D15" s="2">
        <v>200</v>
      </c>
      <c r="E15" s="2">
        <f>Costos!F21</f>
        <v>20</v>
      </c>
      <c r="F15" s="3">
        <f>E15*Costos!$C$5</f>
        <v>1062880</v>
      </c>
      <c r="G15" s="2"/>
      <c r="H15" s="2">
        <v>3</v>
      </c>
      <c r="I15" s="3">
        <f>H15*Costos!$C$7/(D15*Costos!$K$3)</f>
        <v>110.79545454545455</v>
      </c>
      <c r="J15" s="8">
        <f>(C15/D15)+(F15/D15)+I15+G15</f>
        <v>5454.8504545454543</v>
      </c>
    </row>
    <row r="16" spans="1:10" ht="45" x14ac:dyDescent="0.25">
      <c r="A16" s="37" t="s">
        <v>107</v>
      </c>
      <c r="B16" s="2">
        <v>1</v>
      </c>
      <c r="C16" s="3">
        <f>B16*Costos!$C$6</f>
        <v>5931</v>
      </c>
      <c r="D16" s="2">
        <v>350</v>
      </c>
      <c r="E16" s="2">
        <f>E15</f>
        <v>20</v>
      </c>
      <c r="F16" s="3">
        <f>E16*Costos!$C$5</f>
        <v>1062880</v>
      </c>
      <c r="G16" s="2">
        <f>'Lista de partes'!E12*Costos!C$3/1000</f>
        <v>200</v>
      </c>
      <c r="H16" s="2">
        <v>5</v>
      </c>
      <c r="I16" s="3">
        <f>H16*Costos!$C$7/(D16*Costos!$K$3)</f>
        <v>105.51948051948052</v>
      </c>
      <c r="J16" s="8">
        <f>(C16/D16)+(F16/D16)+I16+G16</f>
        <v>3359.2651948051948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4E72A-6377-4753-B157-BBD2AB22BF62}">
  <dimension ref="A1:F15"/>
  <sheetViews>
    <sheetView workbookViewId="0">
      <selection activeCell="E12" sqref="E12"/>
    </sheetView>
  </sheetViews>
  <sheetFormatPr baseColWidth="10" defaultRowHeight="15" x14ac:dyDescent="0.25"/>
  <cols>
    <col min="1" max="2" width="5.42578125" customWidth="1"/>
    <col min="3" max="3" width="22.28515625" customWidth="1"/>
    <col min="4" max="4" width="12.7109375" customWidth="1"/>
    <col min="5" max="5" width="23" customWidth="1"/>
    <col min="6" max="6" width="20.28515625" customWidth="1"/>
  </cols>
  <sheetData>
    <row r="1" spans="1:6" ht="27.75" customHeight="1" thickBot="1" x14ac:dyDescent="0.3">
      <c r="A1" s="9"/>
      <c r="B1" s="22" t="s">
        <v>67</v>
      </c>
      <c r="C1" s="21" t="s">
        <v>50</v>
      </c>
      <c r="D1" s="21" t="s">
        <v>51</v>
      </c>
      <c r="E1" s="21" t="s">
        <v>55</v>
      </c>
      <c r="F1" s="21" t="s">
        <v>52</v>
      </c>
    </row>
    <row r="2" spans="1:6" x14ac:dyDescent="0.25">
      <c r="A2" s="33" t="s">
        <v>18</v>
      </c>
      <c r="B2" s="19">
        <v>1</v>
      </c>
      <c r="C2" s="9" t="s">
        <v>53</v>
      </c>
      <c r="D2" s="9" t="s">
        <v>54</v>
      </c>
      <c r="E2" s="9">
        <v>15</v>
      </c>
      <c r="F2" s="9">
        <v>1</v>
      </c>
    </row>
    <row r="3" spans="1:6" x14ac:dyDescent="0.25">
      <c r="A3" s="33"/>
      <c r="B3" s="19">
        <v>2</v>
      </c>
      <c r="C3" s="9" t="s">
        <v>56</v>
      </c>
      <c r="D3" s="9" t="s">
        <v>54</v>
      </c>
      <c r="E3" s="9">
        <v>35</v>
      </c>
      <c r="F3" s="9">
        <v>1</v>
      </c>
    </row>
    <row r="4" spans="1:6" x14ac:dyDescent="0.25">
      <c r="A4" s="33"/>
      <c r="B4" s="19">
        <v>3</v>
      </c>
      <c r="C4" s="9" t="s">
        <v>57</v>
      </c>
      <c r="D4" s="9" t="s">
        <v>58</v>
      </c>
      <c r="E4" s="9">
        <v>100</v>
      </c>
      <c r="F4" s="9">
        <v>1</v>
      </c>
    </row>
    <row r="5" spans="1:6" x14ac:dyDescent="0.25">
      <c r="A5" s="33"/>
      <c r="B5" s="19">
        <v>4</v>
      </c>
      <c r="C5" s="9" t="s">
        <v>59</v>
      </c>
      <c r="D5" s="9" t="s">
        <v>54</v>
      </c>
      <c r="E5" s="9">
        <v>25</v>
      </c>
      <c r="F5" s="9">
        <v>1</v>
      </c>
    </row>
    <row r="6" spans="1:6" x14ac:dyDescent="0.25">
      <c r="A6" s="33"/>
      <c r="B6" s="19">
        <v>5</v>
      </c>
      <c r="C6" s="9" t="s">
        <v>60</v>
      </c>
      <c r="D6" s="9" t="s">
        <v>54</v>
      </c>
      <c r="E6" s="9">
        <v>35</v>
      </c>
      <c r="F6" s="9">
        <v>1</v>
      </c>
    </row>
    <row r="7" spans="1:6" x14ac:dyDescent="0.25">
      <c r="A7" s="34" t="s">
        <v>17</v>
      </c>
      <c r="B7" s="19">
        <v>6</v>
      </c>
      <c r="C7" s="9" t="s">
        <v>61</v>
      </c>
      <c r="D7" s="9" t="s">
        <v>54</v>
      </c>
      <c r="E7" s="9">
        <v>44</v>
      </c>
      <c r="F7" s="9">
        <v>1</v>
      </c>
    </row>
    <row r="8" spans="1:6" x14ac:dyDescent="0.25">
      <c r="A8" s="34"/>
      <c r="B8" s="19">
        <v>7</v>
      </c>
      <c r="C8" s="9" t="s">
        <v>62</v>
      </c>
      <c r="D8" s="9" t="s">
        <v>54</v>
      </c>
      <c r="E8" s="9">
        <v>13</v>
      </c>
      <c r="F8" s="9">
        <v>4</v>
      </c>
    </row>
    <row r="9" spans="1:6" x14ac:dyDescent="0.25">
      <c r="A9" s="34"/>
      <c r="B9" s="19">
        <v>8</v>
      </c>
      <c r="C9" s="9" t="s">
        <v>63</v>
      </c>
      <c r="D9" s="9" t="s">
        <v>54</v>
      </c>
      <c r="E9" s="9">
        <v>34</v>
      </c>
      <c r="F9" s="9">
        <v>1</v>
      </c>
    </row>
    <row r="10" spans="1:6" x14ac:dyDescent="0.25">
      <c r="A10" s="34"/>
      <c r="B10" s="19">
        <v>9</v>
      </c>
      <c r="C10" s="9" t="s">
        <v>97</v>
      </c>
      <c r="D10" s="9" t="s">
        <v>54</v>
      </c>
      <c r="E10" s="9">
        <v>8</v>
      </c>
      <c r="F10" s="9"/>
    </row>
    <row r="11" spans="1:6" x14ac:dyDescent="0.25">
      <c r="A11" s="34"/>
      <c r="B11" s="19">
        <v>9</v>
      </c>
      <c r="C11" s="9" t="s">
        <v>64</v>
      </c>
      <c r="D11" s="9"/>
      <c r="E11" s="9"/>
      <c r="F11" s="9">
        <v>1</v>
      </c>
    </row>
    <row r="12" spans="1:6" x14ac:dyDescent="0.25">
      <c r="A12" s="35" t="s">
        <v>16</v>
      </c>
      <c r="B12" s="19">
        <v>10</v>
      </c>
      <c r="C12" s="9" t="s">
        <v>98</v>
      </c>
      <c r="D12" s="9" t="s">
        <v>54</v>
      </c>
      <c r="E12" s="9">
        <v>50</v>
      </c>
      <c r="F12" s="9">
        <v>6</v>
      </c>
    </row>
    <row r="13" spans="1:6" x14ac:dyDescent="0.25">
      <c r="A13" s="35"/>
      <c r="B13" s="19">
        <v>11</v>
      </c>
      <c r="C13" s="9" t="s">
        <v>99</v>
      </c>
      <c r="D13" s="9" t="s">
        <v>100</v>
      </c>
      <c r="E13" s="9"/>
      <c r="F13" s="9"/>
    </row>
    <row r="14" spans="1:6" x14ac:dyDescent="0.25">
      <c r="A14" s="35"/>
      <c r="B14" s="20"/>
      <c r="C14" s="9"/>
      <c r="D14" s="9"/>
      <c r="E14" s="9"/>
      <c r="F14" s="9"/>
    </row>
    <row r="15" spans="1:6" x14ac:dyDescent="0.25">
      <c r="A15" s="35"/>
      <c r="B15" s="20"/>
      <c r="C15" s="9"/>
      <c r="D15" s="9"/>
      <c r="E15" s="9"/>
      <c r="F15" s="9"/>
    </row>
  </sheetData>
  <mergeCells count="3">
    <mergeCell ref="A2:A6"/>
    <mergeCell ref="A7:A11"/>
    <mergeCell ref="A12:A1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801f02a-9240-4e43-b3af-b762bde3f54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874C22787CF0D4EB392CD6BABFD8AB2" ma:contentTypeVersion="9" ma:contentTypeDescription="Crear nuevo documento." ma:contentTypeScope="" ma:versionID="8971d411598ef2134ecd652c77f1fcc9">
  <xsd:schema xmlns:xsd="http://www.w3.org/2001/XMLSchema" xmlns:xs="http://www.w3.org/2001/XMLSchema" xmlns:p="http://schemas.microsoft.com/office/2006/metadata/properties" xmlns:ns3="e801f02a-9240-4e43-b3af-b762bde3f540" xmlns:ns4="4b2e2144-a5c0-4fd3-bb7e-360f082847e7" targetNamespace="http://schemas.microsoft.com/office/2006/metadata/properties" ma:root="true" ma:fieldsID="a95b23d49b589eea6114d5c9442bea83" ns3:_="" ns4:_="">
    <xsd:import namespace="e801f02a-9240-4e43-b3af-b762bde3f540"/>
    <xsd:import namespace="4b2e2144-a5c0-4fd3-bb7e-360f082847e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earchProperties" minOccurs="0"/>
                <xsd:element ref="ns3:_activity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01f02a-9240-4e43-b3af-b762bde3f5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2e2144-a5c0-4fd3-bb7e-360f082847e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40786BB-B1B6-4937-A274-C63F9B11179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D22A536-1E6B-4D49-904A-FBB903099157}">
  <ds:schemaRefs>
    <ds:schemaRef ds:uri="http://www.w3.org/XML/1998/namespace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4b2e2144-a5c0-4fd3-bb7e-360f082847e7"/>
    <ds:schemaRef ds:uri="http://purl.org/dc/dcmitype/"/>
    <ds:schemaRef ds:uri="e801f02a-9240-4e43-b3af-b762bde3f540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C2058850-B8CC-4995-BADF-AAA3D2494C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01f02a-9240-4e43-b3af-b762bde3f540"/>
    <ds:schemaRef ds:uri="4b2e2144-a5c0-4fd3-bb7e-360f082847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Costos</vt:lpstr>
      <vt:lpstr>Evaluación</vt:lpstr>
      <vt:lpstr>Proyección</vt:lpstr>
      <vt:lpstr>Demanda</vt:lpstr>
      <vt:lpstr>Procesos</vt:lpstr>
      <vt:lpstr>Lista de partes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Andrés Ricaurte De Lima</dc:creator>
  <cp:lastModifiedBy>David Andrés Ricaurte De Lima</cp:lastModifiedBy>
  <dcterms:created xsi:type="dcterms:W3CDTF">2025-01-18T19:31:09Z</dcterms:created>
  <dcterms:modified xsi:type="dcterms:W3CDTF">2025-03-03T03:49:33Z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0x0101003874C22787CF0D4EB392CD6BABFD8AB2</vt:lpwstr>
  </property>
</Properties>
</file>