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ery\Downloads\"/>
    </mc:Choice>
  </mc:AlternateContent>
  <xr:revisionPtr revIDLastSave="0" documentId="13_ncr:1_{5569FE6C-29F7-4D7B-BCDA-38D85D4A58CF}" xr6:coauthVersionLast="47" xr6:coauthVersionMax="47" xr10:uidLastSave="{00000000-0000-0000-0000-000000000000}"/>
  <bookViews>
    <workbookView xWindow="-120" yWindow="-120" windowWidth="20730" windowHeight="11760" firstSheet="10" activeTab="10" xr2:uid="{05EA7A8A-07AA-435C-B04A-DF0F87A49E86}"/>
  </bookViews>
  <sheets>
    <sheet name="RELATORIO CARROS" sheetId="24" state="hidden" r:id="rId1"/>
    <sheet name="CARROS" sheetId="23" state="hidden" r:id="rId2"/>
    <sheet name="Planilha3" sheetId="25" state="hidden" r:id="rId3"/>
    <sheet name="DESEMPENHO ANUAL" sheetId="15" state="hidden" r:id="rId4"/>
    <sheet name="PAINEL" sheetId="5" state="hidden" r:id="rId5"/>
    <sheet name="SERVIÇOS MECANICOS" sheetId="11" state="hidden" r:id="rId6"/>
    <sheet name="Planilha1" sheetId="8" state="hidden" r:id="rId7"/>
    <sheet name="buscador de Placa" sheetId="22" state="hidden" r:id="rId8"/>
    <sheet name="Planilha8" sheetId="31" state="hidden" r:id="rId9"/>
    <sheet name="Planilha9" sheetId="32" state="hidden" r:id="rId10"/>
    <sheet name="FATURAMENTO" sheetId="6" r:id="rId11"/>
    <sheet name="Planilha5" sheetId="30" state="hidden" r:id="rId12"/>
    <sheet name="Planilha6" sheetId="28" state="hidden" r:id="rId13"/>
    <sheet name="Planilha7" sheetId="29" state="hidden" r:id="rId14"/>
    <sheet name="Planilha4" sheetId="26" state="hidden" r:id="rId15"/>
    <sheet name="CONFIG FAT.ANUAL" sheetId="14" state="hidden" r:id="rId16"/>
    <sheet name="COMPARATIVO MECANICO MÊS" sheetId="10" state="hidden" r:id="rId17"/>
    <sheet name="Planilha2" sheetId="9" state="hidden" r:id="rId18"/>
    <sheet name="DESCRIÇÕES" sheetId="2" state="hidden" r:id="rId19"/>
  </sheets>
  <calcPr calcId="191029"/>
  <pivotCaches>
    <pivotCache cacheId="0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26" i="6" l="1"/>
  <c r="O1026" i="6"/>
  <c r="M1026" i="6"/>
  <c r="I1026" i="6"/>
  <c r="AA1026" i="6"/>
  <c r="AA1027" i="6"/>
  <c r="AA1028" i="6"/>
  <c r="AA1029" i="6"/>
  <c r="J1026" i="6"/>
  <c r="J1027" i="6"/>
  <c r="J1028" i="6"/>
  <c r="J1029" i="6"/>
  <c r="E1026" i="6"/>
  <c r="E1027" i="6"/>
  <c r="E1028" i="6"/>
  <c r="E1029" i="6"/>
  <c r="E1030" i="6"/>
  <c r="E1031" i="6"/>
  <c r="P1023" i="6"/>
  <c r="O1023" i="6"/>
  <c r="M1021" i="6"/>
  <c r="M1014" i="6"/>
  <c r="M1013" i="6"/>
  <c r="O1012" i="6"/>
  <c r="M1008" i="6"/>
  <c r="AA999" i="6"/>
  <c r="AA1000" i="6"/>
  <c r="AA1001" i="6"/>
  <c r="AA1002" i="6"/>
  <c r="AA1003" i="6"/>
  <c r="AA1004" i="6"/>
  <c r="AA1005" i="6"/>
  <c r="AA1006" i="6"/>
  <c r="AA1007" i="6"/>
  <c r="J999" i="6"/>
  <c r="J1000" i="6"/>
  <c r="J1001" i="6"/>
  <c r="J1002" i="6"/>
  <c r="J1003" i="6"/>
  <c r="J1004" i="6"/>
  <c r="J1005" i="6"/>
  <c r="J1006" i="6"/>
  <c r="J1007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AA992" i="6"/>
  <c r="AA993" i="6"/>
  <c r="AA994" i="6"/>
  <c r="AA995" i="6"/>
  <c r="M980" i="6"/>
  <c r="M948" i="6"/>
  <c r="M912" i="6"/>
  <c r="M883" i="6"/>
  <c r="M878" i="6"/>
  <c r="M863" i="6"/>
  <c r="M862" i="6"/>
  <c r="M837" i="6"/>
  <c r="J992" i="6"/>
  <c r="J993" i="6"/>
  <c r="J994" i="6"/>
  <c r="J995" i="6"/>
  <c r="J991" i="6"/>
  <c r="E992" i="6"/>
  <c r="E993" i="6"/>
  <c r="E994" i="6"/>
  <c r="E995" i="6"/>
  <c r="E996" i="6"/>
  <c r="E997" i="6"/>
  <c r="E998" i="6"/>
  <c r="P979" i="6"/>
  <c r="O979" i="6"/>
  <c r="AE978" i="6"/>
  <c r="AA981" i="6"/>
  <c r="AA982" i="6"/>
  <c r="AA983" i="6"/>
  <c r="AA984" i="6"/>
  <c r="AA985" i="6"/>
  <c r="AA979" i="6"/>
  <c r="AA980" i="6"/>
  <c r="J980" i="6"/>
  <c r="J981" i="6"/>
  <c r="J982" i="6"/>
  <c r="J983" i="6"/>
  <c r="J984" i="6"/>
  <c r="J985" i="6"/>
  <c r="J977" i="6"/>
  <c r="J979" i="6"/>
  <c r="J978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65" i="6"/>
  <c r="O977" i="6"/>
  <c r="O976" i="6"/>
  <c r="O970" i="6"/>
  <c r="M969" i="6"/>
  <c r="AG967" i="6"/>
  <c r="AE967" i="6"/>
  <c r="AD967" i="6"/>
  <c r="AG965" i="6"/>
  <c r="AG964" i="6"/>
  <c r="AG963" i="6"/>
  <c r="AF963" i="6"/>
  <c r="AF962" i="6"/>
  <c r="AA967" i="6"/>
  <c r="AA959" i="6"/>
  <c r="AA960" i="6"/>
  <c r="AA961" i="6"/>
  <c r="AA962" i="6"/>
  <c r="AA963" i="6"/>
  <c r="AA964" i="6"/>
  <c r="AA965" i="6"/>
  <c r="J967" i="6"/>
  <c r="J960" i="6"/>
  <c r="J961" i="6"/>
  <c r="J962" i="6"/>
  <c r="J963" i="6"/>
  <c r="J964" i="6"/>
  <c r="J965" i="6"/>
  <c r="J959" i="6"/>
  <c r="E966" i="6"/>
  <c r="E963" i="6"/>
  <c r="E964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AD956" i="6"/>
  <c r="E959" i="6"/>
  <c r="E960" i="6"/>
  <c r="E961" i="6"/>
  <c r="E962" i="6"/>
  <c r="AD955" i="6"/>
  <c r="AG954" i="6"/>
  <c r="AD954" i="6"/>
  <c r="AG951" i="6"/>
  <c r="AG948" i="6"/>
  <c r="AH948" i="6"/>
  <c r="AF948" i="6"/>
  <c r="AG947" i="6"/>
  <c r="AA945" i="6"/>
  <c r="AA947" i="6"/>
  <c r="AA966" i="6"/>
  <c r="AA944" i="6"/>
  <c r="J947" i="6"/>
  <c r="J96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AG943" i="6"/>
  <c r="AE942" i="6"/>
  <c r="J944" i="6"/>
  <c r="J945" i="6"/>
  <c r="J946" i="6"/>
  <c r="T946" i="6" s="1"/>
  <c r="AA946" i="6" s="1"/>
  <c r="E946" i="6"/>
  <c r="E945" i="6"/>
  <c r="E944" i="6"/>
  <c r="AE941" i="6"/>
  <c r="AD941" i="6"/>
  <c r="AG941" i="6"/>
  <c r="AJ938" i="6"/>
  <c r="AG938" i="6"/>
  <c r="AH937" i="6"/>
  <c r="AG937" i="6"/>
  <c r="AF937" i="6"/>
  <c r="AE937" i="6"/>
  <c r="AD937" i="6"/>
  <c r="AJ936" i="6"/>
  <c r="AH936" i="6"/>
  <c r="AD936" i="6"/>
  <c r="I936" i="6"/>
  <c r="J936" i="6" s="1"/>
  <c r="AG932" i="6"/>
  <c r="AH931" i="6"/>
  <c r="E941" i="6"/>
  <c r="AA931" i="6"/>
  <c r="AA932" i="6"/>
  <c r="AA933" i="6"/>
  <c r="AA934" i="6"/>
  <c r="AA935" i="6"/>
  <c r="AA936" i="6"/>
  <c r="AA937" i="6"/>
  <c r="AA938" i="6"/>
  <c r="AA939" i="6"/>
  <c r="AA940" i="6"/>
  <c r="AA941" i="6"/>
  <c r="J931" i="6"/>
  <c r="J932" i="6"/>
  <c r="J933" i="6"/>
  <c r="J934" i="6"/>
  <c r="J935" i="6"/>
  <c r="J937" i="6"/>
  <c r="J938" i="6"/>
  <c r="J939" i="6"/>
  <c r="J940" i="6"/>
  <c r="J941" i="6"/>
  <c r="E931" i="6"/>
  <c r="E932" i="6"/>
  <c r="E933" i="6"/>
  <c r="E934" i="6"/>
  <c r="E935" i="6"/>
  <c r="E936" i="6"/>
  <c r="E937" i="6"/>
  <c r="E938" i="6"/>
  <c r="E939" i="6"/>
  <c r="E940" i="6"/>
  <c r="E942" i="6"/>
  <c r="E943" i="6"/>
  <c r="AA929" i="6"/>
  <c r="AG929" i="6"/>
  <c r="AH929" i="6"/>
  <c r="AF929" i="6"/>
  <c r="AD929" i="6"/>
  <c r="O929" i="6"/>
  <c r="AG928" i="6"/>
  <c r="AD928" i="6"/>
  <c r="J928" i="6"/>
  <c r="AG927" i="6"/>
  <c r="AG926" i="6"/>
  <c r="AG924" i="6"/>
  <c r="AG923" i="6"/>
  <c r="AF923" i="6"/>
  <c r="AD923" i="6"/>
  <c r="O923" i="6"/>
  <c r="AG922" i="6"/>
  <c r="AG921" i="6"/>
  <c r="AH921" i="6"/>
  <c r="AD921" i="6"/>
  <c r="E921" i="6"/>
  <c r="E922" i="6"/>
  <c r="E923" i="6"/>
  <c r="E924" i="6"/>
  <c r="E925" i="6"/>
  <c r="E926" i="6"/>
  <c r="E927" i="6"/>
  <c r="E928" i="6"/>
  <c r="E929" i="6"/>
  <c r="E930" i="6"/>
  <c r="AH919" i="6"/>
  <c r="AG919" i="6"/>
  <c r="AG917" i="6"/>
  <c r="AH917" i="6"/>
  <c r="AF917" i="6"/>
  <c r="J917" i="6"/>
  <c r="J918" i="6"/>
  <c r="J919" i="6"/>
  <c r="AG914" i="6"/>
  <c r="AG912" i="6"/>
  <c r="AF912" i="6"/>
  <c r="AG911" i="6"/>
  <c r="AF911" i="6"/>
  <c r="AA912" i="6"/>
  <c r="AA913" i="6"/>
  <c r="AA914" i="6"/>
  <c r="AA915" i="6"/>
  <c r="AA916" i="6"/>
  <c r="J911" i="6"/>
  <c r="J912" i="6"/>
  <c r="J913" i="6"/>
  <c r="J914" i="6"/>
  <c r="J915" i="6"/>
  <c r="J916" i="6"/>
  <c r="E912" i="6"/>
  <c r="E913" i="6"/>
  <c r="E914" i="6"/>
  <c r="E915" i="6"/>
  <c r="E916" i="6"/>
  <c r="E917" i="6"/>
  <c r="AA917" i="6"/>
  <c r="E918" i="6"/>
  <c r="AA918" i="6"/>
  <c r="E919" i="6"/>
  <c r="AA919" i="6"/>
  <c r="E920" i="6"/>
  <c r="AD910" i="6"/>
  <c r="AG910" i="6"/>
  <c r="AG909" i="6"/>
  <c r="AF909" i="6"/>
  <c r="AD909" i="6"/>
  <c r="AG908" i="6"/>
  <c r="AF908" i="6"/>
  <c r="AE908" i="6"/>
  <c r="AD908" i="6"/>
  <c r="O908" i="6"/>
  <c r="AJ907" i="6"/>
  <c r="AH907" i="6"/>
  <c r="AG907" i="6"/>
  <c r="AF907" i="6"/>
  <c r="AE907" i="6"/>
  <c r="AD907" i="6"/>
  <c r="AG906" i="6"/>
  <c r="AH906" i="6"/>
  <c r="AF906" i="6"/>
  <c r="AJ906" i="6"/>
  <c r="AA906" i="6"/>
  <c r="AA907" i="6"/>
  <c r="AA908" i="6"/>
  <c r="AA909" i="6"/>
  <c r="J906" i="6"/>
  <c r="J907" i="6"/>
  <c r="J908" i="6"/>
  <c r="J909" i="6"/>
  <c r="J910" i="6"/>
  <c r="E906" i="6"/>
  <c r="E907" i="6"/>
  <c r="E908" i="6"/>
  <c r="E909" i="6"/>
  <c r="AG903" i="6"/>
  <c r="AG901" i="6"/>
  <c r="AH901" i="6"/>
  <c r="AD901" i="6"/>
  <c r="J901" i="6"/>
  <c r="J899" i="6"/>
  <c r="J900" i="6"/>
  <c r="J902" i="6"/>
  <c r="J903" i="6"/>
  <c r="J904" i="6"/>
  <c r="J905" i="6"/>
  <c r="J898" i="6"/>
  <c r="E898" i="6"/>
  <c r="AA898" i="6"/>
  <c r="E899" i="6"/>
  <c r="AA899" i="6"/>
  <c r="E900" i="6"/>
  <c r="AA900" i="6"/>
  <c r="E901" i="6"/>
  <c r="AA901" i="6"/>
  <c r="E902" i="6"/>
  <c r="AA902" i="6"/>
  <c r="E903" i="6"/>
  <c r="AA903" i="6"/>
  <c r="E904" i="6"/>
  <c r="AA904" i="6"/>
  <c r="E905" i="6"/>
  <c r="AA905" i="6"/>
  <c r="E910" i="6"/>
  <c r="AA910" i="6"/>
  <c r="E911" i="6"/>
  <c r="AA911" i="6"/>
  <c r="AH891" i="6"/>
  <c r="AG891" i="6"/>
  <c r="AD891" i="6"/>
  <c r="AH890" i="6"/>
  <c r="AG890" i="6"/>
  <c r="AE889" i="6"/>
  <c r="AJ888" i="6"/>
  <c r="AG888" i="6"/>
  <c r="AH888" i="6"/>
  <c r="AE888" i="6"/>
  <c r="AD888" i="6"/>
  <c r="E884" i="6"/>
  <c r="K884" i="6"/>
  <c r="AA884" i="6" s="1"/>
  <c r="E885" i="6"/>
  <c r="K885" i="6"/>
  <c r="AA885" i="6" s="1"/>
  <c r="E886" i="6"/>
  <c r="K886" i="6"/>
  <c r="AA886" i="6" s="1"/>
  <c r="E887" i="6"/>
  <c r="K887" i="6"/>
  <c r="AA887" i="6" s="1"/>
  <c r="E888" i="6"/>
  <c r="K888" i="6"/>
  <c r="E889" i="6"/>
  <c r="K889" i="6"/>
  <c r="E890" i="6"/>
  <c r="K890" i="6"/>
  <c r="E891" i="6"/>
  <c r="K891" i="6"/>
  <c r="E892" i="6"/>
  <c r="K892" i="6"/>
  <c r="E893" i="6"/>
  <c r="K893" i="6"/>
  <c r="AA893" i="6" s="1"/>
  <c r="E894" i="6"/>
  <c r="K894" i="6"/>
  <c r="E895" i="6"/>
  <c r="K895" i="6"/>
  <c r="AA895" i="6" s="1"/>
  <c r="E896" i="6"/>
  <c r="K896" i="6"/>
  <c r="E897" i="6"/>
  <c r="K897" i="6"/>
  <c r="AH883" i="6"/>
  <c r="AG881" i="6"/>
  <c r="AH878" i="6"/>
  <c r="AG878" i="6"/>
  <c r="AF878" i="6"/>
  <c r="AE878" i="6"/>
  <c r="AD878" i="6"/>
  <c r="P878" i="6"/>
  <c r="AH876" i="6"/>
  <c r="AF876" i="6"/>
  <c r="E876" i="6"/>
  <c r="K876" i="6"/>
  <c r="E877" i="6"/>
  <c r="K877" i="6"/>
  <c r="AA877" i="6" s="1"/>
  <c r="E878" i="6"/>
  <c r="K878" i="6"/>
  <c r="E879" i="6"/>
  <c r="K879" i="6"/>
  <c r="AA879" i="6" s="1"/>
  <c r="E880" i="6"/>
  <c r="K880" i="6"/>
  <c r="AA880" i="6" s="1"/>
  <c r="E881" i="6"/>
  <c r="K881" i="6"/>
  <c r="E882" i="6"/>
  <c r="K882" i="6"/>
  <c r="E883" i="6"/>
  <c r="K883" i="6"/>
  <c r="AG872" i="6"/>
  <c r="AJ872" i="6"/>
  <c r="AF872" i="6"/>
  <c r="AF871" i="6"/>
  <c r="AE868" i="6"/>
  <c r="AD864" i="6"/>
  <c r="AG863" i="6"/>
  <c r="AD863" i="6"/>
  <c r="AH862" i="6"/>
  <c r="AD862" i="6"/>
  <c r="AG862" i="6"/>
  <c r="AE862" i="6"/>
  <c r="E862" i="6"/>
  <c r="K862" i="6"/>
  <c r="E863" i="6"/>
  <c r="K863" i="6"/>
  <c r="E864" i="6"/>
  <c r="K864" i="6"/>
  <c r="E865" i="6"/>
  <c r="K865" i="6"/>
  <c r="E866" i="6"/>
  <c r="K866" i="6"/>
  <c r="E867" i="6"/>
  <c r="K867" i="6"/>
  <c r="E868" i="6"/>
  <c r="K868" i="6"/>
  <c r="E869" i="6"/>
  <c r="K869" i="6"/>
  <c r="E870" i="6"/>
  <c r="K870" i="6"/>
  <c r="E871" i="6"/>
  <c r="K871" i="6"/>
  <c r="E872" i="6"/>
  <c r="K872" i="6"/>
  <c r="E873" i="6"/>
  <c r="K873" i="6"/>
  <c r="E874" i="6"/>
  <c r="K874" i="6"/>
  <c r="E875" i="6"/>
  <c r="K875" i="6"/>
  <c r="AG858" i="6"/>
  <c r="AE856" i="6"/>
  <c r="AH855" i="6"/>
  <c r="AG855" i="6"/>
  <c r="E855" i="6"/>
  <c r="K855" i="6"/>
  <c r="E856" i="6"/>
  <c r="K856" i="6"/>
  <c r="E857" i="6"/>
  <c r="K857" i="6"/>
  <c r="AA857" i="6" s="1"/>
  <c r="E858" i="6"/>
  <c r="K858" i="6"/>
  <c r="E859" i="6"/>
  <c r="K859" i="6"/>
  <c r="E860" i="6"/>
  <c r="K860" i="6"/>
  <c r="E861" i="6"/>
  <c r="K861" i="6"/>
  <c r="AH854" i="6"/>
  <c r="AG854" i="6"/>
  <c r="AH851" i="6"/>
  <c r="AG851" i="6"/>
  <c r="P851" i="6"/>
  <c r="AE849" i="6"/>
  <c r="AH848" i="6"/>
  <c r="AF847" i="6"/>
  <c r="J847" i="6"/>
  <c r="K847" i="6" s="1"/>
  <c r="AF846" i="6"/>
  <c r="E846" i="6"/>
  <c r="AF845" i="6"/>
  <c r="AG845" i="6"/>
  <c r="AH845" i="6"/>
  <c r="AH843" i="6"/>
  <c r="AG843" i="6"/>
  <c r="P842" i="6"/>
  <c r="AH842" i="6"/>
  <c r="AG842" i="6"/>
  <c r="AD842" i="6"/>
  <c r="AD841" i="6"/>
  <c r="AH840" i="6"/>
  <c r="AG840" i="6"/>
  <c r="E840" i="6"/>
  <c r="K840" i="6"/>
  <c r="E841" i="6"/>
  <c r="K841" i="6"/>
  <c r="E842" i="6"/>
  <c r="K842" i="6"/>
  <c r="E843" i="6"/>
  <c r="K843" i="6"/>
  <c r="E844" i="6"/>
  <c r="K844" i="6"/>
  <c r="AA844" i="6" s="1"/>
  <c r="E845" i="6"/>
  <c r="K845" i="6"/>
  <c r="K846" i="6"/>
  <c r="E847" i="6"/>
  <c r="E848" i="6"/>
  <c r="K848" i="6"/>
  <c r="E849" i="6"/>
  <c r="K849" i="6"/>
  <c r="E850" i="6"/>
  <c r="K850" i="6"/>
  <c r="E851" i="6"/>
  <c r="K851" i="6"/>
  <c r="E852" i="6"/>
  <c r="K852" i="6"/>
  <c r="E853" i="6"/>
  <c r="K853" i="6"/>
  <c r="AG838" i="6"/>
  <c r="AD838" i="6"/>
  <c r="O838" i="6"/>
  <c r="AG837" i="6"/>
  <c r="AJ836" i="6"/>
  <c r="AH836" i="6"/>
  <c r="AG836" i="6"/>
  <c r="AI836" i="6"/>
  <c r="AE836" i="6"/>
  <c r="AF832" i="6"/>
  <c r="AD832" i="6"/>
  <c r="E831" i="6"/>
  <c r="K831" i="6"/>
  <c r="E832" i="6"/>
  <c r="K832" i="6"/>
  <c r="E833" i="6"/>
  <c r="K833" i="6"/>
  <c r="E834" i="6"/>
  <c r="K834" i="6"/>
  <c r="E835" i="6"/>
  <c r="K835" i="6"/>
  <c r="E836" i="6"/>
  <c r="K836" i="6"/>
  <c r="E837" i="6"/>
  <c r="K837" i="6"/>
  <c r="E838" i="6"/>
  <c r="K838" i="6"/>
  <c r="E839" i="6"/>
  <c r="K839" i="6"/>
  <c r="E854" i="6"/>
  <c r="K854" i="6"/>
  <c r="AF829" i="6"/>
  <c r="AE822" i="6"/>
  <c r="J822" i="6"/>
  <c r="K822" i="6" s="1"/>
  <c r="J821" i="6"/>
  <c r="AE820" i="6"/>
  <c r="AD820" i="6"/>
  <c r="O820" i="6"/>
  <c r="P816" i="6"/>
  <c r="E814" i="6"/>
  <c r="K814" i="6"/>
  <c r="E815" i="6"/>
  <c r="K815" i="6"/>
  <c r="E816" i="6"/>
  <c r="K816" i="6"/>
  <c r="E817" i="6"/>
  <c r="K817" i="6"/>
  <c r="AA817" i="6" s="1"/>
  <c r="E818" i="6"/>
  <c r="K818" i="6"/>
  <c r="AA818" i="6" s="1"/>
  <c r="E819" i="6"/>
  <c r="K819" i="6"/>
  <c r="E820" i="6"/>
  <c r="K820" i="6"/>
  <c r="E821" i="6"/>
  <c r="E822" i="6"/>
  <c r="E823" i="6"/>
  <c r="K823" i="6"/>
  <c r="E824" i="6"/>
  <c r="K824" i="6"/>
  <c r="E825" i="6"/>
  <c r="K825" i="6"/>
  <c r="E826" i="6"/>
  <c r="K826" i="6"/>
  <c r="E827" i="6"/>
  <c r="K827" i="6"/>
  <c r="E828" i="6"/>
  <c r="K828" i="6"/>
  <c r="AA828" i="6" s="1"/>
  <c r="E829" i="6"/>
  <c r="K829" i="6"/>
  <c r="E830" i="6"/>
  <c r="K830" i="6"/>
  <c r="E809" i="6"/>
  <c r="K809" i="6"/>
  <c r="AA809" i="6" s="1"/>
  <c r="E810" i="6"/>
  <c r="K810" i="6"/>
  <c r="E811" i="6"/>
  <c r="K811" i="6"/>
  <c r="E812" i="6"/>
  <c r="K812" i="6"/>
  <c r="E813" i="6"/>
  <c r="K813" i="6"/>
  <c r="E799" i="6"/>
  <c r="K799" i="6"/>
  <c r="E800" i="6"/>
  <c r="K800" i="6"/>
  <c r="E801" i="6"/>
  <c r="K801" i="6"/>
  <c r="AA801" i="6" s="1"/>
  <c r="E802" i="6"/>
  <c r="K802" i="6"/>
  <c r="E803" i="6"/>
  <c r="K803" i="6"/>
  <c r="E804" i="6"/>
  <c r="K804" i="6"/>
  <c r="E805" i="6"/>
  <c r="K805" i="6"/>
  <c r="E806" i="6"/>
  <c r="K806" i="6"/>
  <c r="E807" i="6"/>
  <c r="K807" i="6"/>
  <c r="E808" i="6"/>
  <c r="K808" i="6"/>
  <c r="P798" i="6"/>
  <c r="E794" i="6"/>
  <c r="K794" i="6"/>
  <c r="E795" i="6"/>
  <c r="K795" i="6"/>
  <c r="E796" i="6"/>
  <c r="K796" i="6"/>
  <c r="E797" i="6"/>
  <c r="K797" i="6"/>
  <c r="AA797" i="6" s="1"/>
  <c r="E798" i="6"/>
  <c r="K798" i="6"/>
  <c r="E787" i="6"/>
  <c r="K787" i="6"/>
  <c r="E788" i="6"/>
  <c r="K788" i="6"/>
  <c r="E789" i="6"/>
  <c r="K789" i="6"/>
  <c r="AA789" i="6" s="1"/>
  <c r="E790" i="6"/>
  <c r="K790" i="6"/>
  <c r="E791" i="6"/>
  <c r="K791" i="6"/>
  <c r="E792" i="6"/>
  <c r="K792" i="6"/>
  <c r="E793" i="6"/>
  <c r="K793" i="6"/>
  <c r="M784" i="6"/>
  <c r="M782" i="6"/>
  <c r="M781" i="6"/>
  <c r="O778" i="6"/>
  <c r="O777" i="6"/>
  <c r="M777" i="6"/>
  <c r="E777" i="6"/>
  <c r="K777" i="6"/>
  <c r="E778" i="6"/>
  <c r="K778" i="6"/>
  <c r="E779" i="6"/>
  <c r="K779" i="6"/>
  <c r="E780" i="6"/>
  <c r="K780" i="6"/>
  <c r="E781" i="6"/>
  <c r="K781" i="6"/>
  <c r="E782" i="6"/>
  <c r="K782" i="6"/>
  <c r="E783" i="6"/>
  <c r="K783" i="6"/>
  <c r="E784" i="6"/>
  <c r="K784" i="6"/>
  <c r="E785" i="6"/>
  <c r="K785" i="6"/>
  <c r="E786" i="6"/>
  <c r="K786" i="6"/>
  <c r="O775" i="6"/>
  <c r="M775" i="6"/>
  <c r="E772" i="6"/>
  <c r="K772" i="6"/>
  <c r="E773" i="6"/>
  <c r="K773" i="6"/>
  <c r="E774" i="6"/>
  <c r="K774" i="6"/>
  <c r="E775" i="6"/>
  <c r="K775" i="6"/>
  <c r="E776" i="6"/>
  <c r="K776" i="6"/>
  <c r="M767" i="6"/>
  <c r="M766" i="6"/>
  <c r="E763" i="6"/>
  <c r="K763" i="6"/>
  <c r="E764" i="6"/>
  <c r="K764" i="6"/>
  <c r="AA764" i="6" s="1"/>
  <c r="E765" i="6"/>
  <c r="K765" i="6"/>
  <c r="E766" i="6"/>
  <c r="K766" i="6"/>
  <c r="E767" i="6"/>
  <c r="K767" i="6"/>
  <c r="E768" i="6"/>
  <c r="K768" i="6"/>
  <c r="AA768" i="6" s="1"/>
  <c r="E769" i="6"/>
  <c r="K769" i="6"/>
  <c r="AA769" i="6" s="1"/>
  <c r="E770" i="6"/>
  <c r="K770" i="6"/>
  <c r="AA770" i="6" s="1"/>
  <c r="E771" i="6"/>
  <c r="K771" i="6"/>
  <c r="M762" i="6"/>
  <c r="E761" i="6"/>
  <c r="K761" i="6"/>
  <c r="AA761" i="6" s="1"/>
  <c r="E762" i="6"/>
  <c r="K762" i="6"/>
  <c r="AA928" i="6"/>
  <c r="K821" i="6" l="1"/>
  <c r="AA821" i="6" s="1"/>
  <c r="AA897" i="6"/>
  <c r="AA896" i="6"/>
  <c r="AA894" i="6"/>
  <c r="AA892" i="6"/>
  <c r="AA891" i="6"/>
  <c r="AA890" i="6"/>
  <c r="AA889" i="6"/>
  <c r="AA888" i="6"/>
  <c r="AA883" i="6"/>
  <c r="AA882" i="6"/>
  <c r="AA881" i="6"/>
  <c r="AA878" i="6"/>
  <c r="AA876" i="6"/>
  <c r="AA875" i="6"/>
  <c r="AA874" i="6"/>
  <c r="AA873" i="6"/>
  <c r="AA872" i="6"/>
  <c r="AA871" i="6"/>
  <c r="AA870" i="6"/>
  <c r="AA869" i="6"/>
  <c r="AA868" i="6"/>
  <c r="AA867" i="6"/>
  <c r="AA866" i="6"/>
  <c r="AA865" i="6"/>
  <c r="AA864" i="6"/>
  <c r="AA863" i="6"/>
  <c r="AA862" i="6"/>
  <c r="AA861" i="6"/>
  <c r="AA860" i="6"/>
  <c r="AA859" i="6"/>
  <c r="AA858" i="6"/>
  <c r="AA856" i="6"/>
  <c r="AA855" i="6"/>
  <c r="AA854" i="6"/>
  <c r="AA853" i="6"/>
  <c r="AA852" i="6"/>
  <c r="AA851" i="6"/>
  <c r="AA850" i="6"/>
  <c r="AA849" i="6"/>
  <c r="AA848" i="6"/>
  <c r="AA847" i="6"/>
  <c r="AA846" i="6"/>
  <c r="AA845" i="6"/>
  <c r="AA843" i="6"/>
  <c r="AA842" i="6"/>
  <c r="AA841" i="6"/>
  <c r="AA840" i="6"/>
  <c r="AA839" i="6"/>
  <c r="AA838" i="6"/>
  <c r="AA837" i="6"/>
  <c r="AA836" i="6"/>
  <c r="AA835" i="6"/>
  <c r="AA834" i="6"/>
  <c r="AA833" i="6"/>
  <c r="AA832" i="6"/>
  <c r="AA831" i="6"/>
  <c r="AA830" i="6"/>
  <c r="AA829" i="6"/>
  <c r="AA827" i="6"/>
  <c r="AA826" i="6"/>
  <c r="AA825" i="6"/>
  <c r="AA823" i="6"/>
  <c r="AA822" i="6"/>
  <c r="AA820" i="6"/>
  <c r="AA819" i="6"/>
  <c r="AA816" i="6"/>
  <c r="AA815" i="6"/>
  <c r="AA814" i="6"/>
  <c r="AA813" i="6"/>
  <c r="AA812" i="6"/>
  <c r="AA811" i="6"/>
  <c r="AA810" i="6"/>
  <c r="AA808" i="6"/>
  <c r="AA807" i="6"/>
  <c r="AA806" i="6"/>
  <c r="AA805" i="6"/>
  <c r="AA804" i="6"/>
  <c r="AA803" i="6"/>
  <c r="AA802" i="6"/>
  <c r="AA800" i="6"/>
  <c r="AA799" i="6"/>
  <c r="AA798" i="6"/>
  <c r="AA796" i="6"/>
  <c r="AA795" i="6"/>
  <c r="AA794" i="6"/>
  <c r="AA793" i="6"/>
  <c r="AA792" i="6"/>
  <c r="AA791" i="6"/>
  <c r="AA790" i="6"/>
  <c r="AA788" i="6"/>
  <c r="AA787" i="6"/>
  <c r="AA786" i="6"/>
  <c r="AA785" i="6"/>
  <c r="AA784" i="6"/>
  <c r="AA783" i="6"/>
  <c r="AA782" i="6"/>
  <c r="AA781" i="6"/>
  <c r="AA780" i="6"/>
  <c r="AA779" i="6"/>
  <c r="AA778" i="6"/>
  <c r="AA777" i="6"/>
  <c r="AA776" i="6"/>
  <c r="AA775" i="6"/>
  <c r="AA774" i="6"/>
  <c r="AA773" i="6"/>
  <c r="AA772" i="6"/>
  <c r="AA771" i="6"/>
  <c r="AA767" i="6"/>
  <c r="AA766" i="6"/>
  <c r="AA765" i="6"/>
  <c r="AA763" i="6"/>
  <c r="AA762" i="6"/>
  <c r="E760" i="6"/>
  <c r="K760" i="6"/>
  <c r="AA760" i="6" s="1"/>
  <c r="E759" i="6"/>
  <c r="K759" i="6"/>
  <c r="E758" i="6"/>
  <c r="K758" i="6"/>
  <c r="E757" i="6"/>
  <c r="K757" i="6"/>
  <c r="AA757" i="6" s="1"/>
  <c r="E756" i="6"/>
  <c r="K756" i="6"/>
  <c r="E755" i="6"/>
  <c r="K755" i="6"/>
  <c r="E754" i="6"/>
  <c r="K754" i="6"/>
  <c r="E753" i="6"/>
  <c r="K753" i="6"/>
  <c r="AA753" i="6" s="1"/>
  <c r="P752" i="6"/>
  <c r="O752" i="6"/>
  <c r="M752" i="6"/>
  <c r="E752" i="6"/>
  <c r="K752" i="6"/>
  <c r="E751" i="6"/>
  <c r="K751" i="6"/>
  <c r="E750" i="6"/>
  <c r="K750" i="6"/>
  <c r="AA744" i="6"/>
  <c r="AA745" i="6"/>
  <c r="AA746" i="6"/>
  <c r="AA747" i="6"/>
  <c r="AA748" i="6"/>
  <c r="AA749" i="6"/>
  <c r="J744" i="6"/>
  <c r="J745" i="6"/>
  <c r="J746" i="6"/>
  <c r="J747" i="6"/>
  <c r="J748" i="6"/>
  <c r="J749" i="6"/>
  <c r="E745" i="6"/>
  <c r="E746" i="6"/>
  <c r="E747" i="6"/>
  <c r="E748" i="6"/>
  <c r="E749" i="6"/>
  <c r="E744" i="6"/>
  <c r="M741" i="6"/>
  <c r="AA740" i="6"/>
  <c r="AA741" i="6"/>
  <c r="AA742" i="6"/>
  <c r="AA743" i="6"/>
  <c r="M740" i="6"/>
  <c r="J740" i="6"/>
  <c r="J741" i="6"/>
  <c r="J742" i="6"/>
  <c r="J743" i="6"/>
  <c r="E741" i="6"/>
  <c r="E742" i="6"/>
  <c r="E743" i="6"/>
  <c r="E740" i="6"/>
  <c r="M736" i="6"/>
  <c r="AA733" i="6"/>
  <c r="AA734" i="6"/>
  <c r="AA735" i="6"/>
  <c r="AA736" i="6"/>
  <c r="AA737" i="6"/>
  <c r="AA738" i="6"/>
  <c r="AA739" i="6"/>
  <c r="J734" i="6"/>
  <c r="J735" i="6"/>
  <c r="J736" i="6"/>
  <c r="J737" i="6"/>
  <c r="J738" i="6"/>
  <c r="J739" i="6"/>
  <c r="E735" i="6"/>
  <c r="E736" i="6"/>
  <c r="E737" i="6"/>
  <c r="E738" i="6"/>
  <c r="E739" i="6"/>
  <c r="E734" i="6"/>
  <c r="AA730" i="6"/>
  <c r="AA731" i="6"/>
  <c r="AA732" i="6"/>
  <c r="J730" i="6"/>
  <c r="J731" i="6"/>
  <c r="J732" i="6"/>
  <c r="J733" i="6"/>
  <c r="E731" i="6"/>
  <c r="E732" i="6"/>
  <c r="E733" i="6"/>
  <c r="E730" i="6"/>
  <c r="AA726" i="6"/>
  <c r="AA727" i="6"/>
  <c r="AA728" i="6"/>
  <c r="AA729" i="6"/>
  <c r="AA725" i="6"/>
  <c r="J725" i="6"/>
  <c r="J726" i="6"/>
  <c r="J727" i="6"/>
  <c r="J728" i="6"/>
  <c r="J729" i="6"/>
  <c r="E726" i="6"/>
  <c r="E727" i="6"/>
  <c r="E728" i="6"/>
  <c r="E729" i="6"/>
  <c r="E725" i="6"/>
  <c r="AA721" i="6"/>
  <c r="AA722" i="6"/>
  <c r="AA723" i="6"/>
  <c r="AA724" i="6"/>
  <c r="J722" i="6"/>
  <c r="J723" i="6"/>
  <c r="J724" i="6"/>
  <c r="J721" i="6"/>
  <c r="E722" i="6"/>
  <c r="E723" i="6"/>
  <c r="E724" i="6"/>
  <c r="E721" i="6"/>
  <c r="E720" i="6"/>
  <c r="K720" i="6"/>
  <c r="AA720" i="6" s="1"/>
  <c r="P719" i="6"/>
  <c r="E719" i="6"/>
  <c r="K719" i="6"/>
  <c r="AA719" i="6" s="1"/>
  <c r="P718" i="6"/>
  <c r="E718" i="6"/>
  <c r="K718" i="6"/>
  <c r="E717" i="6"/>
  <c r="K717" i="6"/>
  <c r="E716" i="6"/>
  <c r="K716" i="6"/>
  <c r="AA716" i="6" s="1"/>
  <c r="P712" i="6"/>
  <c r="E715" i="6"/>
  <c r="K715" i="6"/>
  <c r="AA715" i="6" s="1"/>
  <c r="E714" i="6"/>
  <c r="K714" i="6"/>
  <c r="AA714" i="6" s="1"/>
  <c r="E713" i="6"/>
  <c r="K713" i="6"/>
  <c r="AA713" i="6" s="1"/>
  <c r="E712" i="6"/>
  <c r="K712" i="6"/>
  <c r="AA712" i="6" s="1"/>
  <c r="E711" i="6"/>
  <c r="K711" i="6"/>
  <c r="AA711" i="6" s="1"/>
  <c r="P710" i="6"/>
  <c r="E710" i="6"/>
  <c r="K710" i="6"/>
  <c r="AA710" i="6" s="1"/>
  <c r="E709" i="6"/>
  <c r="K709" i="6"/>
  <c r="AA709" i="6" s="1"/>
  <c r="E708" i="6"/>
  <c r="K708" i="6"/>
  <c r="AA708" i="6" s="1"/>
  <c r="E707" i="6"/>
  <c r="K707" i="6"/>
  <c r="AA707" i="6" s="1"/>
  <c r="E706" i="6"/>
  <c r="K706" i="6"/>
  <c r="AA706" i="6" s="1"/>
  <c r="E705" i="6"/>
  <c r="K705" i="6"/>
  <c r="E704" i="6"/>
  <c r="K704" i="6"/>
  <c r="E703" i="6"/>
  <c r="K703" i="6"/>
  <c r="AA703" i="6" s="1"/>
  <c r="E702" i="6"/>
  <c r="K702" i="6"/>
  <c r="AA702" i="6" s="1"/>
  <c r="F330" i="23"/>
  <c r="G330" i="23"/>
  <c r="I330" i="23"/>
  <c r="M698" i="6"/>
  <c r="O696" i="6"/>
  <c r="M696" i="6"/>
  <c r="O700" i="6"/>
  <c r="M694" i="6"/>
  <c r="AA694" i="6"/>
  <c r="AA695" i="6"/>
  <c r="AA696" i="6"/>
  <c r="AA697" i="6"/>
  <c r="AA698" i="6"/>
  <c r="AA699" i="6"/>
  <c r="AA700" i="6"/>
  <c r="AA701" i="6"/>
  <c r="AA693" i="6"/>
  <c r="M693" i="6"/>
  <c r="I693" i="6"/>
  <c r="J693" i="6" s="1"/>
  <c r="J694" i="6"/>
  <c r="J695" i="6"/>
  <c r="J696" i="6"/>
  <c r="J697" i="6"/>
  <c r="J698" i="6"/>
  <c r="J699" i="6"/>
  <c r="J700" i="6"/>
  <c r="J701" i="6"/>
  <c r="E694" i="6"/>
  <c r="E695" i="6"/>
  <c r="E696" i="6"/>
  <c r="E697" i="6"/>
  <c r="E698" i="6"/>
  <c r="E699" i="6"/>
  <c r="E700" i="6"/>
  <c r="E701" i="6"/>
  <c r="E693" i="6"/>
  <c r="F329" i="23"/>
  <c r="G329" i="23"/>
  <c r="H329" i="23"/>
  <c r="I329" i="23" s="1"/>
  <c r="F328" i="23"/>
  <c r="G328" i="23"/>
  <c r="H328" i="23"/>
  <c r="I328" i="23" s="1"/>
  <c r="F327" i="23"/>
  <c r="G327" i="23"/>
  <c r="H327" i="23"/>
  <c r="I327" i="23" s="1"/>
  <c r="F326" i="23"/>
  <c r="G326" i="23"/>
  <c r="H326" i="23"/>
  <c r="I326" i="23" s="1"/>
  <c r="F325" i="23"/>
  <c r="G325" i="23"/>
  <c r="H325" i="23"/>
  <c r="I325" i="23" s="1"/>
  <c r="Z691" i="6"/>
  <c r="M691" i="6"/>
  <c r="AA689" i="6"/>
  <c r="AA690" i="6"/>
  <c r="AA691" i="6"/>
  <c r="AA692" i="6"/>
  <c r="P689" i="6"/>
  <c r="O689" i="6"/>
  <c r="M689" i="6"/>
  <c r="J689" i="6"/>
  <c r="J690" i="6"/>
  <c r="J691" i="6"/>
  <c r="J692" i="6"/>
  <c r="E690" i="6"/>
  <c r="E691" i="6"/>
  <c r="E692" i="6"/>
  <c r="E689" i="6"/>
  <c r="M686" i="6"/>
  <c r="P683" i="6"/>
  <c r="O683" i="6"/>
  <c r="M683" i="6"/>
  <c r="AA682" i="6"/>
  <c r="AA683" i="6"/>
  <c r="AA684" i="6"/>
  <c r="AA685" i="6"/>
  <c r="AA686" i="6"/>
  <c r="AA687" i="6"/>
  <c r="AA688" i="6"/>
  <c r="O682" i="6"/>
  <c r="J682" i="6"/>
  <c r="J683" i="6"/>
  <c r="J684" i="6"/>
  <c r="J685" i="6"/>
  <c r="J686" i="6"/>
  <c r="J687" i="6"/>
  <c r="J688" i="6"/>
  <c r="E683" i="6"/>
  <c r="E684" i="6"/>
  <c r="E685" i="6"/>
  <c r="E686" i="6"/>
  <c r="E687" i="6"/>
  <c r="E688" i="6"/>
  <c r="E682" i="6"/>
  <c r="F324" i="23"/>
  <c r="G324" i="23"/>
  <c r="I324" i="23" s="1"/>
  <c r="F323" i="23"/>
  <c r="G323" i="23"/>
  <c r="H323" i="23"/>
  <c r="I323" i="23" s="1"/>
  <c r="F322" i="23"/>
  <c r="G322" i="23"/>
  <c r="I322" i="23" s="1"/>
  <c r="F321" i="23"/>
  <c r="G321" i="23"/>
  <c r="H321" i="23"/>
  <c r="I321" i="23" s="1"/>
  <c r="F320" i="23"/>
  <c r="G320" i="23"/>
  <c r="H320" i="23"/>
  <c r="I320" i="23" s="1"/>
  <c r="F319" i="23"/>
  <c r="G319" i="23"/>
  <c r="H319" i="23"/>
  <c r="I319" i="23" s="1"/>
  <c r="F318" i="23"/>
  <c r="G318" i="23"/>
  <c r="H318" i="23"/>
  <c r="I318" i="23" s="1"/>
  <c r="F317" i="23"/>
  <c r="G317" i="23"/>
  <c r="H317" i="23"/>
  <c r="I317" i="23" s="1"/>
  <c r="F316" i="23"/>
  <c r="G316" i="23"/>
  <c r="H316" i="23"/>
  <c r="I316" i="23" s="1"/>
  <c r="F315" i="23"/>
  <c r="G315" i="23"/>
  <c r="H315" i="23"/>
  <c r="I315" i="23" s="1"/>
  <c r="F314" i="23"/>
  <c r="G314" i="23"/>
  <c r="H314" i="23"/>
  <c r="I314" i="23" s="1"/>
  <c r="F313" i="23"/>
  <c r="G313" i="23"/>
  <c r="I313" i="23"/>
  <c r="F312" i="23"/>
  <c r="G312" i="23"/>
  <c r="H312" i="23"/>
  <c r="I312" i="23" s="1"/>
  <c r="F311" i="23"/>
  <c r="G311" i="23"/>
  <c r="I311" i="23"/>
  <c r="F310" i="23"/>
  <c r="G310" i="23"/>
  <c r="I310" i="23"/>
  <c r="F309" i="23"/>
  <c r="G309" i="23"/>
  <c r="H309" i="23"/>
  <c r="I309" i="23" s="1"/>
  <c r="F308" i="23"/>
  <c r="G308" i="23"/>
  <c r="I308" i="23"/>
  <c r="F307" i="23"/>
  <c r="G307" i="23"/>
  <c r="I307" i="23"/>
  <c r="H263" i="23"/>
  <c r="I263" i="23" s="1"/>
  <c r="H179" i="23"/>
  <c r="H181" i="23"/>
  <c r="H182" i="23"/>
  <c r="H183" i="23"/>
  <c r="H184" i="23"/>
  <c r="H185" i="23"/>
  <c r="H187" i="23"/>
  <c r="H188" i="23"/>
  <c r="H189" i="23"/>
  <c r="H190" i="23"/>
  <c r="H191" i="23"/>
  <c r="H192" i="23"/>
  <c r="H193" i="23"/>
  <c r="H194" i="23"/>
  <c r="H195" i="23"/>
  <c r="H196" i="23"/>
  <c r="H197" i="23"/>
  <c r="H198" i="23"/>
  <c r="H199" i="23"/>
  <c r="H200" i="23"/>
  <c r="F306" i="23"/>
  <c r="G306" i="23"/>
  <c r="H306" i="23"/>
  <c r="I306" i="23" s="1"/>
  <c r="F305" i="23"/>
  <c r="G305" i="23"/>
  <c r="H305" i="23"/>
  <c r="I305" i="23" s="1"/>
  <c r="F304" i="23"/>
  <c r="G304" i="23"/>
  <c r="H304" i="23"/>
  <c r="I304" i="23" s="1"/>
  <c r="F303" i="23"/>
  <c r="G303" i="23"/>
  <c r="H303" i="23"/>
  <c r="I303" i="23" s="1"/>
  <c r="F302" i="23"/>
  <c r="G302" i="23"/>
  <c r="H302" i="23"/>
  <c r="I302" i="23" s="1"/>
  <c r="F301" i="23"/>
  <c r="G301" i="23"/>
  <c r="H301" i="23"/>
  <c r="I301" i="23" s="1"/>
  <c r="F300" i="23"/>
  <c r="G300" i="23"/>
  <c r="H300" i="23"/>
  <c r="I300" i="23" s="1"/>
  <c r="F299" i="23"/>
  <c r="G299" i="23"/>
  <c r="H299" i="23"/>
  <c r="I299" i="23" s="1"/>
  <c r="F298" i="23"/>
  <c r="G298" i="23"/>
  <c r="I298" i="23"/>
  <c r="F297" i="23"/>
  <c r="G297" i="23"/>
  <c r="I297" i="23"/>
  <c r="F296" i="23"/>
  <c r="G296" i="23"/>
  <c r="H296" i="23"/>
  <c r="I296" i="23" s="1"/>
  <c r="F295" i="23"/>
  <c r="G295" i="23"/>
  <c r="H295" i="23"/>
  <c r="I295" i="23" s="1"/>
  <c r="F294" i="23"/>
  <c r="G294" i="23"/>
  <c r="I294" i="23"/>
  <c r="F293" i="23"/>
  <c r="G293" i="23"/>
  <c r="I293" i="23" s="1"/>
  <c r="F292" i="23"/>
  <c r="G292" i="23"/>
  <c r="H292" i="23"/>
  <c r="I292" i="23" s="1"/>
  <c r="F291" i="23"/>
  <c r="G291" i="23"/>
  <c r="I291" i="23"/>
  <c r="F290" i="23"/>
  <c r="G290" i="23"/>
  <c r="H290" i="23"/>
  <c r="I290" i="23" s="1"/>
  <c r="F289" i="23"/>
  <c r="G289" i="23"/>
  <c r="I289" i="23"/>
  <c r="F288" i="23"/>
  <c r="G288" i="23"/>
  <c r="H288" i="23"/>
  <c r="I288" i="23" s="1"/>
  <c r="F287" i="23"/>
  <c r="G287" i="23"/>
  <c r="H287" i="23"/>
  <c r="I287" i="23" s="1"/>
  <c r="F286" i="23"/>
  <c r="G286" i="23"/>
  <c r="H286" i="23"/>
  <c r="I286" i="23" s="1"/>
  <c r="F285" i="23"/>
  <c r="G285" i="23"/>
  <c r="H285" i="23"/>
  <c r="I285" i="23" s="1"/>
  <c r="F284" i="23"/>
  <c r="G284" i="23"/>
  <c r="H284" i="23"/>
  <c r="I284" i="23" s="1"/>
  <c r="F283" i="23"/>
  <c r="G283" i="23"/>
  <c r="H283" i="23"/>
  <c r="I283" i="23" s="1"/>
  <c r="F282" i="23"/>
  <c r="G282" i="23"/>
  <c r="H282" i="23"/>
  <c r="I282" i="23" s="1"/>
  <c r="F281" i="23"/>
  <c r="G281" i="23"/>
  <c r="H281" i="23"/>
  <c r="I281" i="23" s="1"/>
  <c r="F280" i="23"/>
  <c r="G280" i="23"/>
  <c r="H280" i="23"/>
  <c r="I280" i="23" s="1"/>
  <c r="F279" i="23"/>
  <c r="G279" i="23"/>
  <c r="I279" i="23"/>
  <c r="F278" i="23"/>
  <c r="G278" i="23"/>
  <c r="H278" i="23"/>
  <c r="I278" i="23" s="1"/>
  <c r="F277" i="23"/>
  <c r="G277" i="23"/>
  <c r="I277" i="23"/>
  <c r="F276" i="23"/>
  <c r="G276" i="23"/>
  <c r="H276" i="23"/>
  <c r="I276" i="23" s="1"/>
  <c r="F275" i="23"/>
  <c r="G275" i="23"/>
  <c r="H275" i="23"/>
  <c r="I275" i="23" s="1"/>
  <c r="F274" i="23"/>
  <c r="G274" i="23"/>
  <c r="I274" i="23"/>
  <c r="F273" i="23"/>
  <c r="G273" i="23"/>
  <c r="H273" i="23"/>
  <c r="I273" i="23" s="1"/>
  <c r="F272" i="23"/>
  <c r="G272" i="23"/>
  <c r="I272" i="23"/>
  <c r="F271" i="23"/>
  <c r="G271" i="23"/>
  <c r="I271" i="23" s="1"/>
  <c r="F270" i="23"/>
  <c r="G270" i="23"/>
  <c r="H270" i="23"/>
  <c r="I270" i="23" s="1"/>
  <c r="F269" i="23"/>
  <c r="G269" i="23"/>
  <c r="I269" i="23"/>
  <c r="F268" i="23"/>
  <c r="G268" i="23"/>
  <c r="H268" i="23"/>
  <c r="I268" i="23" s="1"/>
  <c r="F267" i="23"/>
  <c r="G267" i="23"/>
  <c r="H267" i="23"/>
  <c r="I267" i="23" s="1"/>
  <c r="F266" i="23"/>
  <c r="G266" i="23"/>
  <c r="H266" i="23"/>
  <c r="I266" i="23" s="1"/>
  <c r="F265" i="23"/>
  <c r="G265" i="23"/>
  <c r="I265" i="23"/>
  <c r="F264" i="23"/>
  <c r="G264" i="23"/>
  <c r="I264" i="23"/>
  <c r="F263" i="23"/>
  <c r="G263" i="23"/>
  <c r="F262" i="23"/>
  <c r="G262" i="23"/>
  <c r="H262" i="23"/>
  <c r="I262" i="23" s="1"/>
  <c r="F261" i="23"/>
  <c r="G261" i="23"/>
  <c r="H261" i="23"/>
  <c r="I261" i="23" s="1"/>
  <c r="F260" i="23"/>
  <c r="G260" i="23"/>
  <c r="H260" i="23"/>
  <c r="I260" i="23" s="1"/>
  <c r="F259" i="23"/>
  <c r="G259" i="23"/>
  <c r="H259" i="23"/>
  <c r="I259" i="23" s="1"/>
  <c r="F258" i="23"/>
  <c r="G258" i="23"/>
  <c r="H258" i="23"/>
  <c r="I258" i="23" s="1"/>
  <c r="F257" i="23"/>
  <c r="G257" i="23"/>
  <c r="H257" i="23"/>
  <c r="I257" i="23" s="1"/>
  <c r="F256" i="23"/>
  <c r="G256" i="23"/>
  <c r="H256" i="23"/>
  <c r="I256" i="23" s="1"/>
  <c r="F255" i="23"/>
  <c r="G255" i="23"/>
  <c r="I255" i="23"/>
  <c r="F254" i="23"/>
  <c r="G254" i="23"/>
  <c r="H254" i="23"/>
  <c r="I254" i="23" s="1"/>
  <c r="F253" i="23"/>
  <c r="G253" i="23"/>
  <c r="I253" i="23"/>
  <c r="F252" i="23"/>
  <c r="G252" i="23"/>
  <c r="H252" i="23"/>
  <c r="I252" i="23" s="1"/>
  <c r="F251" i="23"/>
  <c r="G251" i="23"/>
  <c r="I251" i="23"/>
  <c r="F250" i="23"/>
  <c r="G250" i="23"/>
  <c r="H250" i="23"/>
  <c r="I250" i="23" s="1"/>
  <c r="F249" i="23"/>
  <c r="G249" i="23"/>
  <c r="H249" i="23"/>
  <c r="I249" i="23" s="1"/>
  <c r="F248" i="23"/>
  <c r="G248" i="23"/>
  <c r="H248" i="23"/>
  <c r="I248" i="23" s="1"/>
  <c r="F247" i="23"/>
  <c r="G247" i="23"/>
  <c r="I247" i="23"/>
  <c r="F246" i="23"/>
  <c r="G246" i="23"/>
  <c r="H246" i="23"/>
  <c r="I246" i="23" s="1"/>
  <c r="F245" i="23"/>
  <c r="G245" i="23"/>
  <c r="I245" i="23"/>
  <c r="F244" i="23"/>
  <c r="G244" i="23"/>
  <c r="H244" i="23"/>
  <c r="I244" i="23" s="1"/>
  <c r="F243" i="23"/>
  <c r="G243" i="23"/>
  <c r="H243" i="23"/>
  <c r="I243" i="23" s="1"/>
  <c r="F242" i="23"/>
  <c r="G242" i="23"/>
  <c r="H242" i="23"/>
  <c r="I242" i="23" s="1"/>
  <c r="F241" i="23"/>
  <c r="G241" i="23"/>
  <c r="I241" i="23" s="1"/>
  <c r="F240" i="23"/>
  <c r="G240" i="23"/>
  <c r="H240" i="23"/>
  <c r="I240" i="23" s="1"/>
  <c r="F239" i="23"/>
  <c r="G239" i="23"/>
  <c r="H239" i="23"/>
  <c r="I239" i="23" s="1"/>
  <c r="F238" i="23"/>
  <c r="G238" i="23"/>
  <c r="H238" i="23"/>
  <c r="I238" i="23" s="1"/>
  <c r="F237" i="23"/>
  <c r="G237" i="23"/>
  <c r="H237" i="23"/>
  <c r="I237" i="23" s="1"/>
  <c r="F236" i="23"/>
  <c r="G236" i="23"/>
  <c r="H236" i="23"/>
  <c r="I236" i="23" s="1"/>
  <c r="F235" i="23"/>
  <c r="G235" i="23"/>
  <c r="H235" i="23"/>
  <c r="I235" i="23" s="1"/>
  <c r="F234" i="23"/>
  <c r="G234" i="23"/>
  <c r="H234" i="23"/>
  <c r="I234" i="23" s="1"/>
  <c r="F233" i="23"/>
  <c r="G233" i="23"/>
  <c r="H233" i="23"/>
  <c r="I233" i="23" s="1"/>
  <c r="F232" i="23"/>
  <c r="G232" i="23"/>
  <c r="H232" i="23"/>
  <c r="I232" i="23" s="1"/>
  <c r="F231" i="23"/>
  <c r="G231" i="23"/>
  <c r="H231" i="23"/>
  <c r="I231" i="23" s="1"/>
  <c r="F230" i="23"/>
  <c r="G230" i="23"/>
  <c r="H230" i="23"/>
  <c r="I230" i="23" s="1"/>
  <c r="F229" i="23"/>
  <c r="G229" i="23"/>
  <c r="H229" i="23"/>
  <c r="I229" i="23" s="1"/>
  <c r="F228" i="23"/>
  <c r="G228" i="23"/>
  <c r="H228" i="23"/>
  <c r="I228" i="23" s="1"/>
  <c r="F227" i="23"/>
  <c r="G227" i="23"/>
  <c r="H227" i="23"/>
  <c r="I227" i="23" s="1"/>
  <c r="F226" i="23"/>
  <c r="G226" i="23"/>
  <c r="I226" i="23"/>
  <c r="F225" i="23"/>
  <c r="G225" i="23"/>
  <c r="H225" i="23"/>
  <c r="I225" i="23" s="1"/>
  <c r="F224" i="23"/>
  <c r="G224" i="23"/>
  <c r="I224" i="23"/>
  <c r="F223" i="23"/>
  <c r="G223" i="23"/>
  <c r="I223" i="23"/>
  <c r="F222" i="23"/>
  <c r="G222" i="23"/>
  <c r="I222" i="23"/>
  <c r="F221" i="23"/>
  <c r="G221" i="23"/>
  <c r="I221" i="23"/>
  <c r="F220" i="23"/>
  <c r="G220" i="23"/>
  <c r="H220" i="23"/>
  <c r="I220" i="23" s="1"/>
  <c r="F219" i="23"/>
  <c r="G219" i="23"/>
  <c r="H219" i="23"/>
  <c r="I219" i="23" s="1"/>
  <c r="F218" i="23"/>
  <c r="G218" i="23"/>
  <c r="I218" i="23"/>
  <c r="F217" i="23"/>
  <c r="G217" i="23"/>
  <c r="H217" i="23"/>
  <c r="I217" i="23" s="1"/>
  <c r="F216" i="23"/>
  <c r="G216" i="23"/>
  <c r="H216" i="23"/>
  <c r="I216" i="23" s="1"/>
  <c r="F215" i="23"/>
  <c r="G215" i="23"/>
  <c r="I215" i="23"/>
  <c r="F214" i="23"/>
  <c r="G214" i="23"/>
  <c r="I214" i="23"/>
  <c r="F213" i="23"/>
  <c r="G213" i="23"/>
  <c r="I213" i="23"/>
  <c r="F212" i="23"/>
  <c r="G212" i="23"/>
  <c r="I212" i="23"/>
  <c r="F211" i="23"/>
  <c r="G211" i="23"/>
  <c r="H211" i="23"/>
  <c r="I211" i="23" s="1"/>
  <c r="F210" i="23"/>
  <c r="G210" i="23"/>
  <c r="H210" i="23"/>
  <c r="I210" i="23" s="1"/>
  <c r="F209" i="23"/>
  <c r="G209" i="23"/>
  <c r="H209" i="23"/>
  <c r="I209" i="23" s="1"/>
  <c r="O677" i="6"/>
  <c r="M677" i="6"/>
  <c r="O676" i="6"/>
  <c r="M676" i="6"/>
  <c r="O675" i="6"/>
  <c r="M675" i="6"/>
  <c r="AA674" i="6"/>
  <c r="AA675" i="6"/>
  <c r="AA676" i="6"/>
  <c r="AA677" i="6"/>
  <c r="AA678" i="6"/>
  <c r="AA679" i="6"/>
  <c r="AA680" i="6"/>
  <c r="AA681" i="6"/>
  <c r="J674" i="6"/>
  <c r="J675" i="6"/>
  <c r="J676" i="6"/>
  <c r="J677" i="6"/>
  <c r="J678" i="6"/>
  <c r="J679" i="6"/>
  <c r="J680" i="6"/>
  <c r="J681" i="6"/>
  <c r="E675" i="6"/>
  <c r="E676" i="6"/>
  <c r="E677" i="6"/>
  <c r="E678" i="6"/>
  <c r="E679" i="6"/>
  <c r="E680" i="6"/>
  <c r="E681" i="6"/>
  <c r="E674" i="6"/>
  <c r="AA671" i="6"/>
  <c r="AA672" i="6"/>
  <c r="AA673" i="6"/>
  <c r="J671" i="6"/>
  <c r="J672" i="6"/>
  <c r="J673" i="6"/>
  <c r="E672" i="6"/>
  <c r="E673" i="6"/>
  <c r="E671" i="6"/>
  <c r="P665" i="6"/>
  <c r="O665" i="6"/>
  <c r="M665" i="6"/>
  <c r="M662" i="6"/>
  <c r="AA661" i="6"/>
  <c r="AA662" i="6"/>
  <c r="AA663" i="6"/>
  <c r="AA664" i="6"/>
  <c r="AA665" i="6"/>
  <c r="AA666" i="6"/>
  <c r="AA667" i="6"/>
  <c r="AA668" i="6"/>
  <c r="AA669" i="6"/>
  <c r="AA670" i="6"/>
  <c r="J661" i="6"/>
  <c r="J662" i="6"/>
  <c r="J663" i="6"/>
  <c r="J664" i="6"/>
  <c r="J665" i="6"/>
  <c r="J666" i="6"/>
  <c r="J667" i="6"/>
  <c r="J668" i="6"/>
  <c r="J669" i="6"/>
  <c r="J670" i="6"/>
  <c r="E662" i="6"/>
  <c r="E663" i="6"/>
  <c r="E664" i="6"/>
  <c r="E665" i="6"/>
  <c r="E666" i="6"/>
  <c r="E667" i="6"/>
  <c r="E668" i="6"/>
  <c r="E669" i="6"/>
  <c r="E670" i="6"/>
  <c r="E661" i="6"/>
  <c r="AA656" i="6"/>
  <c r="AA657" i="6"/>
  <c r="AA658" i="6"/>
  <c r="AA659" i="6"/>
  <c r="AA660" i="6"/>
  <c r="Z656" i="6"/>
  <c r="M656" i="6"/>
  <c r="J656" i="6"/>
  <c r="J657" i="6"/>
  <c r="J658" i="6"/>
  <c r="J659" i="6"/>
  <c r="J660" i="6"/>
  <c r="E657" i="6"/>
  <c r="E658" i="6"/>
  <c r="E659" i="6"/>
  <c r="E660" i="6"/>
  <c r="E656" i="6"/>
  <c r="P653" i="6"/>
  <c r="M653" i="6"/>
  <c r="AA650" i="6"/>
  <c r="AA651" i="6"/>
  <c r="AA652" i="6"/>
  <c r="AA653" i="6"/>
  <c r="AA654" i="6"/>
  <c r="AA655" i="6"/>
  <c r="J650" i="6"/>
  <c r="J651" i="6"/>
  <c r="J652" i="6"/>
  <c r="J653" i="6"/>
  <c r="J654" i="6"/>
  <c r="J655" i="6"/>
  <c r="E651" i="6"/>
  <c r="E652" i="6"/>
  <c r="E653" i="6"/>
  <c r="E654" i="6"/>
  <c r="E655" i="6"/>
  <c r="E650" i="6"/>
  <c r="AA643" i="6"/>
  <c r="AA644" i="6"/>
  <c r="AA645" i="6"/>
  <c r="AA646" i="6"/>
  <c r="AA647" i="6"/>
  <c r="AA648" i="6"/>
  <c r="AA649" i="6"/>
  <c r="Z643" i="6"/>
  <c r="O643" i="6"/>
  <c r="M643" i="6"/>
  <c r="J643" i="6"/>
  <c r="J644" i="6"/>
  <c r="J645" i="6"/>
  <c r="J646" i="6"/>
  <c r="J647" i="6"/>
  <c r="J648" i="6"/>
  <c r="J649" i="6"/>
  <c r="E644" i="6"/>
  <c r="E645" i="6"/>
  <c r="E646" i="6"/>
  <c r="E647" i="6"/>
  <c r="E648" i="6"/>
  <c r="E649" i="6"/>
  <c r="E643" i="6"/>
  <c r="Z639" i="6"/>
  <c r="AA635" i="6"/>
  <c r="AA636" i="6"/>
  <c r="AA637" i="6"/>
  <c r="AA638" i="6"/>
  <c r="AA639" i="6"/>
  <c r="AA640" i="6"/>
  <c r="AA641" i="6"/>
  <c r="AA642" i="6"/>
  <c r="E636" i="6"/>
  <c r="E637" i="6"/>
  <c r="E638" i="6"/>
  <c r="E639" i="6"/>
  <c r="E640" i="6"/>
  <c r="E641" i="6"/>
  <c r="E642" i="6"/>
  <c r="E635" i="6"/>
  <c r="AA622" i="6"/>
  <c r="AA623" i="6"/>
  <c r="AA624" i="6"/>
  <c r="AA625" i="6"/>
  <c r="AA626" i="6"/>
  <c r="AA627" i="6"/>
  <c r="AA628" i="6"/>
  <c r="AA629" i="6"/>
  <c r="AA630" i="6"/>
  <c r="AA631" i="6"/>
  <c r="AA632" i="6"/>
  <c r="AA633" i="6"/>
  <c r="AA634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22" i="6"/>
  <c r="P620" i="6"/>
  <c r="M620" i="6"/>
  <c r="AA619" i="6"/>
  <c r="AA620" i="6"/>
  <c r="AA621" i="6"/>
  <c r="J619" i="6"/>
  <c r="J620" i="6"/>
  <c r="J621" i="6"/>
  <c r="E620" i="6"/>
  <c r="E621" i="6"/>
  <c r="E619" i="6"/>
  <c r="M615" i="6"/>
  <c r="AA614" i="6"/>
  <c r="AA615" i="6"/>
  <c r="AA616" i="6"/>
  <c r="AA617" i="6"/>
  <c r="AA618" i="6"/>
  <c r="J614" i="6"/>
  <c r="J615" i="6"/>
  <c r="J616" i="6"/>
  <c r="J617" i="6"/>
  <c r="J618" i="6"/>
  <c r="E615" i="6"/>
  <c r="E616" i="6"/>
  <c r="E617" i="6"/>
  <c r="E618" i="6"/>
  <c r="E614" i="6"/>
  <c r="M608" i="6"/>
  <c r="AA607" i="6"/>
  <c r="AA608" i="6"/>
  <c r="AA609" i="6"/>
  <c r="AA610" i="6"/>
  <c r="AA611" i="6"/>
  <c r="AA612" i="6"/>
  <c r="AA613" i="6"/>
  <c r="J607" i="6"/>
  <c r="J608" i="6"/>
  <c r="J609" i="6"/>
  <c r="J610" i="6"/>
  <c r="J611" i="6"/>
  <c r="J612" i="6"/>
  <c r="J613" i="6"/>
  <c r="E608" i="6"/>
  <c r="E609" i="6"/>
  <c r="E610" i="6"/>
  <c r="E611" i="6"/>
  <c r="E612" i="6"/>
  <c r="E613" i="6"/>
  <c r="E607" i="6"/>
  <c r="M602" i="6"/>
  <c r="AA601" i="6"/>
  <c r="AA602" i="6"/>
  <c r="AA603" i="6"/>
  <c r="AA604" i="6"/>
  <c r="AA605" i="6"/>
  <c r="AA606" i="6"/>
  <c r="J601" i="6"/>
  <c r="J602" i="6"/>
  <c r="J603" i="6"/>
  <c r="J604" i="6"/>
  <c r="J605" i="6"/>
  <c r="J606" i="6"/>
  <c r="E602" i="6"/>
  <c r="E603" i="6"/>
  <c r="E604" i="6"/>
  <c r="E605" i="6"/>
  <c r="E606" i="6"/>
  <c r="E601" i="6"/>
  <c r="M599" i="6"/>
  <c r="AA598" i="6"/>
  <c r="AA599" i="6"/>
  <c r="AA600" i="6"/>
  <c r="J598" i="6"/>
  <c r="J599" i="6"/>
  <c r="J600" i="6"/>
  <c r="E599" i="6"/>
  <c r="E600" i="6"/>
  <c r="E598" i="6"/>
  <c r="P198" i="23"/>
  <c r="AA594" i="6"/>
  <c r="AA595" i="6"/>
  <c r="AA596" i="6"/>
  <c r="AA597" i="6"/>
  <c r="J594" i="6"/>
  <c r="J595" i="6"/>
  <c r="J596" i="6"/>
  <c r="J597" i="6"/>
  <c r="E595" i="6"/>
  <c r="E596" i="6"/>
  <c r="E597" i="6"/>
  <c r="E594" i="6"/>
  <c r="AA591" i="6"/>
  <c r="AA592" i="6"/>
  <c r="AA593" i="6"/>
  <c r="J591" i="6"/>
  <c r="J592" i="6"/>
  <c r="J593" i="6"/>
  <c r="E592" i="6"/>
  <c r="E593" i="6"/>
  <c r="E591" i="6"/>
  <c r="AA585" i="6"/>
  <c r="AA586" i="6"/>
  <c r="AA587" i="6"/>
  <c r="AA588" i="6"/>
  <c r="AA589" i="6"/>
  <c r="AA590" i="6"/>
  <c r="J585" i="6"/>
  <c r="J586" i="6"/>
  <c r="J587" i="6"/>
  <c r="J588" i="6"/>
  <c r="J589" i="6"/>
  <c r="J590" i="6"/>
  <c r="E586" i="6"/>
  <c r="E587" i="6"/>
  <c r="E588" i="6"/>
  <c r="E589" i="6"/>
  <c r="E590" i="6"/>
  <c r="E585" i="6"/>
  <c r="Z581" i="6"/>
  <c r="M581" i="6"/>
  <c r="AA581" i="6"/>
  <c r="AA582" i="6"/>
  <c r="AA583" i="6"/>
  <c r="AA584" i="6"/>
  <c r="J581" i="6"/>
  <c r="J582" i="6"/>
  <c r="J583" i="6"/>
  <c r="J584" i="6"/>
  <c r="E582" i="6"/>
  <c r="E583" i="6"/>
  <c r="E584" i="6"/>
  <c r="E581" i="6"/>
  <c r="M575" i="6"/>
  <c r="O575" i="6"/>
  <c r="P575" i="6"/>
  <c r="AA574" i="6"/>
  <c r="AA575" i="6"/>
  <c r="AA576" i="6"/>
  <c r="AA577" i="6"/>
  <c r="AA578" i="6"/>
  <c r="AA579" i="6"/>
  <c r="AA580" i="6"/>
  <c r="M574" i="6"/>
  <c r="J574" i="6"/>
  <c r="J575" i="6"/>
  <c r="J576" i="6"/>
  <c r="J577" i="6"/>
  <c r="J578" i="6"/>
  <c r="J579" i="6"/>
  <c r="J580" i="6"/>
  <c r="E575" i="6"/>
  <c r="E576" i="6"/>
  <c r="E577" i="6"/>
  <c r="E578" i="6"/>
  <c r="E579" i="6"/>
  <c r="E580" i="6"/>
  <c r="E574" i="6"/>
  <c r="AA752" i="6" l="1"/>
  <c r="AA751" i="6"/>
  <c r="AA759" i="6"/>
  <c r="AA755" i="6"/>
  <c r="AA758" i="6"/>
  <c r="AA754" i="6"/>
  <c r="AA750" i="6"/>
  <c r="AA756" i="6"/>
  <c r="AA718" i="6"/>
  <c r="AA717" i="6"/>
  <c r="AA705" i="6"/>
  <c r="AA704" i="6"/>
  <c r="M567" i="6"/>
  <c r="M565" i="6"/>
  <c r="AA564" i="6"/>
  <c r="AA565" i="6"/>
  <c r="AA566" i="6"/>
  <c r="AA567" i="6"/>
  <c r="AA568" i="6"/>
  <c r="AA569" i="6"/>
  <c r="AA570" i="6"/>
  <c r="AA571" i="6"/>
  <c r="AA572" i="6"/>
  <c r="AA573" i="6"/>
  <c r="J564" i="6"/>
  <c r="J565" i="6"/>
  <c r="J566" i="6"/>
  <c r="J567" i="6"/>
  <c r="J568" i="6"/>
  <c r="J569" i="6"/>
  <c r="J570" i="6"/>
  <c r="J571" i="6"/>
  <c r="J572" i="6"/>
  <c r="J573" i="6"/>
  <c r="E565" i="6"/>
  <c r="E566" i="6"/>
  <c r="E567" i="6"/>
  <c r="E568" i="6"/>
  <c r="E569" i="6"/>
  <c r="E570" i="6"/>
  <c r="E571" i="6"/>
  <c r="E572" i="6"/>
  <c r="E573" i="6"/>
  <c r="E564" i="6"/>
  <c r="AA563" i="6"/>
  <c r="J563" i="6"/>
  <c r="E563" i="6"/>
  <c r="AA559" i="6"/>
  <c r="AA560" i="6"/>
  <c r="AA561" i="6"/>
  <c r="AA562" i="6"/>
  <c r="J559" i="6"/>
  <c r="J560" i="6"/>
  <c r="J561" i="6"/>
  <c r="J562" i="6"/>
  <c r="E560" i="6"/>
  <c r="E561" i="6"/>
  <c r="E562" i="6"/>
  <c r="E559" i="6"/>
  <c r="M556" i="6"/>
  <c r="AA554" i="6"/>
  <c r="AA555" i="6"/>
  <c r="AA556" i="6"/>
  <c r="AA557" i="6"/>
  <c r="AA558" i="6"/>
  <c r="J554" i="6"/>
  <c r="J555" i="6"/>
  <c r="J556" i="6"/>
  <c r="J557" i="6"/>
  <c r="J558" i="6"/>
  <c r="E555" i="6"/>
  <c r="E556" i="6"/>
  <c r="E557" i="6"/>
  <c r="E558" i="6"/>
  <c r="E554" i="6"/>
  <c r="F208" i="23"/>
  <c r="G208" i="23"/>
  <c r="H208" i="23"/>
  <c r="I208" i="23" s="1"/>
  <c r="F207" i="23"/>
  <c r="G207" i="23"/>
  <c r="H207" i="23"/>
  <c r="I207" i="23" s="1"/>
  <c r="F206" i="23"/>
  <c r="G206" i="23"/>
  <c r="H206" i="23"/>
  <c r="I206" i="23" s="1"/>
  <c r="F205" i="23"/>
  <c r="G205" i="23"/>
  <c r="I205" i="23" s="1"/>
  <c r="F204" i="23"/>
  <c r="G204" i="23"/>
  <c r="I204" i="23" s="1"/>
  <c r="F203" i="23"/>
  <c r="G203" i="23"/>
  <c r="H203" i="23"/>
  <c r="I203" i="23" s="1"/>
  <c r="F202" i="23"/>
  <c r="G202" i="23"/>
  <c r="H202" i="23"/>
  <c r="I202" i="23" s="1"/>
  <c r="F201" i="23"/>
  <c r="G201" i="23"/>
  <c r="I201" i="23" s="1"/>
  <c r="F200" i="23"/>
  <c r="G200" i="23"/>
  <c r="I200" i="23"/>
  <c r="F199" i="23"/>
  <c r="G199" i="23"/>
  <c r="I199" i="23"/>
  <c r="F198" i="23"/>
  <c r="G198" i="23"/>
  <c r="I198" i="23"/>
  <c r="F197" i="23"/>
  <c r="G197" i="23"/>
  <c r="I197" i="23"/>
  <c r="F196" i="23"/>
  <c r="G196" i="23"/>
  <c r="I196" i="23"/>
  <c r="F195" i="23"/>
  <c r="G195" i="23"/>
  <c r="I195" i="23"/>
  <c r="F194" i="23"/>
  <c r="G194" i="23"/>
  <c r="I194" i="23"/>
  <c r="F193" i="23"/>
  <c r="G193" i="23"/>
  <c r="I193" i="23"/>
  <c r="F192" i="23"/>
  <c r="G192" i="23"/>
  <c r="I192" i="23"/>
  <c r="F191" i="23"/>
  <c r="G191" i="23"/>
  <c r="I191" i="23"/>
  <c r="F190" i="23"/>
  <c r="G190" i="23"/>
  <c r="I190" i="23"/>
  <c r="F189" i="23"/>
  <c r="G189" i="23"/>
  <c r="I189" i="23"/>
  <c r="F188" i="23"/>
  <c r="G188" i="23"/>
  <c r="I188" i="23"/>
  <c r="F187" i="23"/>
  <c r="G187" i="23"/>
  <c r="I187" i="23"/>
  <c r="F186" i="23"/>
  <c r="G186" i="23"/>
  <c r="I186" i="23"/>
  <c r="F185" i="23"/>
  <c r="G185" i="23"/>
  <c r="I185" i="23"/>
  <c r="F184" i="23"/>
  <c r="G184" i="23"/>
  <c r="I184" i="23"/>
  <c r="F183" i="23"/>
  <c r="G183" i="23"/>
  <c r="I183" i="23"/>
  <c r="F182" i="23"/>
  <c r="G182" i="23"/>
  <c r="I182" i="23"/>
  <c r="F181" i="23"/>
  <c r="G181" i="23"/>
  <c r="I181" i="23"/>
  <c r="F180" i="23"/>
  <c r="G180" i="23"/>
  <c r="I180" i="23"/>
  <c r="F179" i="23"/>
  <c r="G179" i="23"/>
  <c r="I179" i="23"/>
  <c r="F178" i="23"/>
  <c r="G178" i="23"/>
  <c r="H178" i="23"/>
  <c r="I178" i="23" s="1"/>
  <c r="F177" i="23"/>
  <c r="G177" i="23"/>
  <c r="H177" i="23"/>
  <c r="I177" i="23" s="1"/>
  <c r="F176" i="23"/>
  <c r="G176" i="23"/>
  <c r="I176" i="23"/>
  <c r="F175" i="23"/>
  <c r="G175" i="23"/>
  <c r="I175" i="23"/>
  <c r="F174" i="23"/>
  <c r="G174" i="23"/>
  <c r="I174" i="23"/>
  <c r="F173" i="23"/>
  <c r="G173" i="23"/>
  <c r="H173" i="23"/>
  <c r="I173" i="23" s="1"/>
  <c r="F172" i="23"/>
  <c r="G172" i="23"/>
  <c r="H172" i="23"/>
  <c r="I172" i="23" s="1"/>
  <c r="F171" i="23"/>
  <c r="G171" i="23"/>
  <c r="I171" i="23"/>
  <c r="F170" i="23"/>
  <c r="G170" i="23"/>
  <c r="H170" i="23"/>
  <c r="I170" i="23" s="1"/>
  <c r="M549" i="6"/>
  <c r="AA548" i="6"/>
  <c r="AA549" i="6"/>
  <c r="AA550" i="6"/>
  <c r="AA551" i="6"/>
  <c r="AA552" i="6"/>
  <c r="AA553" i="6"/>
  <c r="J548" i="6"/>
  <c r="J549" i="6"/>
  <c r="J550" i="6"/>
  <c r="J551" i="6"/>
  <c r="J552" i="6"/>
  <c r="J553" i="6"/>
  <c r="E549" i="6"/>
  <c r="E550" i="6"/>
  <c r="E551" i="6"/>
  <c r="E552" i="6"/>
  <c r="E553" i="6"/>
  <c r="E548" i="6"/>
  <c r="M544" i="6"/>
  <c r="P543" i="6"/>
  <c r="AA540" i="6"/>
  <c r="AA541" i="6"/>
  <c r="AA542" i="6"/>
  <c r="AA543" i="6"/>
  <c r="AA544" i="6"/>
  <c r="AA545" i="6"/>
  <c r="AA546" i="6"/>
  <c r="AA547" i="6"/>
  <c r="J540" i="6"/>
  <c r="J541" i="6"/>
  <c r="J542" i="6"/>
  <c r="J543" i="6"/>
  <c r="J544" i="6"/>
  <c r="J545" i="6"/>
  <c r="J546" i="6"/>
  <c r="J547" i="6"/>
  <c r="E541" i="6"/>
  <c r="E542" i="6"/>
  <c r="E543" i="6"/>
  <c r="E544" i="6"/>
  <c r="E545" i="6"/>
  <c r="E546" i="6"/>
  <c r="E547" i="6"/>
  <c r="E540" i="6"/>
  <c r="M534" i="6"/>
  <c r="AA530" i="6"/>
  <c r="AA531" i="6"/>
  <c r="AA532" i="6"/>
  <c r="AA533" i="6"/>
  <c r="AA534" i="6"/>
  <c r="AA535" i="6"/>
  <c r="AA536" i="6"/>
  <c r="AA537" i="6"/>
  <c r="AA538" i="6"/>
  <c r="AA539" i="6"/>
  <c r="J530" i="6"/>
  <c r="J531" i="6"/>
  <c r="J532" i="6"/>
  <c r="J533" i="6"/>
  <c r="J534" i="6"/>
  <c r="J535" i="6"/>
  <c r="J536" i="6"/>
  <c r="J537" i="6"/>
  <c r="J538" i="6"/>
  <c r="J539" i="6"/>
  <c r="E531" i="6"/>
  <c r="E532" i="6"/>
  <c r="E533" i="6"/>
  <c r="E534" i="6"/>
  <c r="E535" i="6"/>
  <c r="E536" i="6"/>
  <c r="E537" i="6"/>
  <c r="E538" i="6"/>
  <c r="E539" i="6"/>
  <c r="E530" i="6"/>
  <c r="O524" i="6" l="1"/>
  <c r="M524" i="6"/>
  <c r="AA523" i="6"/>
  <c r="AA524" i="6"/>
  <c r="AA525" i="6"/>
  <c r="AA526" i="6"/>
  <c r="AA527" i="6"/>
  <c r="AA528" i="6"/>
  <c r="AA529" i="6"/>
  <c r="O523" i="6"/>
  <c r="M523" i="6"/>
  <c r="J523" i="6"/>
  <c r="J524" i="6"/>
  <c r="J525" i="6"/>
  <c r="J526" i="6"/>
  <c r="J527" i="6"/>
  <c r="J528" i="6"/>
  <c r="J529" i="6"/>
  <c r="E524" i="6"/>
  <c r="E525" i="6"/>
  <c r="E526" i="6"/>
  <c r="E527" i="6"/>
  <c r="E528" i="6"/>
  <c r="E529" i="6"/>
  <c r="E523" i="6"/>
  <c r="M513" i="6"/>
  <c r="M511" i="6"/>
  <c r="AA511" i="6"/>
  <c r="AA512" i="6"/>
  <c r="AA513" i="6"/>
  <c r="AA514" i="6"/>
  <c r="AA515" i="6"/>
  <c r="AA516" i="6"/>
  <c r="AA517" i="6"/>
  <c r="AA518" i="6"/>
  <c r="AA519" i="6"/>
  <c r="AA520" i="6"/>
  <c r="AA521" i="6"/>
  <c r="AA522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E512" i="6"/>
  <c r="E513" i="6"/>
  <c r="E514" i="6"/>
  <c r="E515" i="6"/>
  <c r="E516" i="6"/>
  <c r="E517" i="6"/>
  <c r="E518" i="6"/>
  <c r="E519" i="6"/>
  <c r="E520" i="6"/>
  <c r="E521" i="6"/>
  <c r="E522" i="6"/>
  <c r="E511" i="6"/>
  <c r="AA506" i="6"/>
  <c r="AA508" i="6"/>
  <c r="AA509" i="6"/>
  <c r="AA510" i="6"/>
  <c r="M510" i="6"/>
  <c r="J508" i="6"/>
  <c r="J509" i="6"/>
  <c r="J510" i="6"/>
  <c r="E508" i="6"/>
  <c r="E509" i="6"/>
  <c r="E510" i="6"/>
  <c r="K507" i="6"/>
  <c r="AA507" i="6" s="1"/>
  <c r="E507" i="6"/>
  <c r="C26" i="30"/>
  <c r="C23" i="30"/>
  <c r="C22" i="30"/>
  <c r="C21" i="30"/>
  <c r="C20" i="30"/>
  <c r="C18" i="30"/>
  <c r="C14" i="30"/>
  <c r="C11" i="30"/>
  <c r="C10" i="30"/>
  <c r="C8" i="30"/>
  <c r="C7" i="30"/>
  <c r="C6" i="30"/>
  <c r="C5" i="30"/>
  <c r="C3" i="30"/>
  <c r="C2" i="30"/>
  <c r="B9" i="30"/>
  <c r="D9" i="30" s="1"/>
  <c r="B10" i="30"/>
  <c r="D10" i="30" s="1"/>
  <c r="B11" i="30"/>
  <c r="D11" i="30" s="1"/>
  <c r="B12" i="30"/>
  <c r="D12" i="30" s="1"/>
  <c r="B13" i="30"/>
  <c r="D13" i="30" s="1"/>
  <c r="B14" i="30"/>
  <c r="B15" i="30"/>
  <c r="D15" i="30" s="1"/>
  <c r="B16" i="30"/>
  <c r="D16" i="30" s="1"/>
  <c r="B18" i="30"/>
  <c r="D18" i="30" s="1"/>
  <c r="B19" i="30"/>
  <c r="D19" i="30" s="1"/>
  <c r="B20" i="30"/>
  <c r="B21" i="30"/>
  <c r="D21" i="30" s="1"/>
  <c r="B23" i="30"/>
  <c r="D23" i="30" s="1"/>
  <c r="B24" i="30"/>
  <c r="D24" i="30" s="1"/>
  <c r="B25" i="30"/>
  <c r="D25" i="30" s="1"/>
  <c r="B26" i="30"/>
  <c r="O503" i="6"/>
  <c r="M503" i="6"/>
  <c r="AA502" i="6"/>
  <c r="AA503" i="6"/>
  <c r="AA504" i="6"/>
  <c r="AA505" i="6"/>
  <c r="J502" i="6"/>
  <c r="J503" i="6"/>
  <c r="J504" i="6"/>
  <c r="J505" i="6"/>
  <c r="J506" i="6"/>
  <c r="E503" i="6"/>
  <c r="E504" i="6"/>
  <c r="E505" i="6"/>
  <c r="E506" i="6"/>
  <c r="E502" i="6"/>
  <c r="M500" i="6"/>
  <c r="AA499" i="6"/>
  <c r="AA500" i="6"/>
  <c r="AA501" i="6"/>
  <c r="J499" i="6"/>
  <c r="J500" i="6"/>
  <c r="J501" i="6"/>
  <c r="E500" i="6"/>
  <c r="E501" i="6"/>
  <c r="E499" i="6"/>
  <c r="P495" i="6"/>
  <c r="AA493" i="6"/>
  <c r="AA494" i="6"/>
  <c r="AA495" i="6"/>
  <c r="AA496" i="6"/>
  <c r="AA497" i="6"/>
  <c r="AA498" i="6"/>
  <c r="J493" i="6"/>
  <c r="J494" i="6"/>
  <c r="J495" i="6"/>
  <c r="J496" i="6"/>
  <c r="J497" i="6"/>
  <c r="J498" i="6"/>
  <c r="E494" i="6"/>
  <c r="E495" i="6"/>
  <c r="E496" i="6"/>
  <c r="E497" i="6"/>
  <c r="E498" i="6"/>
  <c r="E493" i="6"/>
  <c r="F169" i="23"/>
  <c r="G169" i="23"/>
  <c r="H169" i="23"/>
  <c r="I169" i="23" s="1"/>
  <c r="F168" i="23"/>
  <c r="G168" i="23"/>
  <c r="H168" i="23"/>
  <c r="I168" i="23" s="1"/>
  <c r="F167" i="23"/>
  <c r="G167" i="23"/>
  <c r="I167" i="23" s="1"/>
  <c r="F166" i="23"/>
  <c r="G166" i="23"/>
  <c r="I166" i="23"/>
  <c r="F165" i="23"/>
  <c r="G165" i="23"/>
  <c r="I165" i="23"/>
  <c r="F164" i="23"/>
  <c r="G164" i="23"/>
  <c r="H164" i="23"/>
  <c r="I164" i="23" s="1"/>
  <c r="F163" i="23"/>
  <c r="G163" i="23"/>
  <c r="I163" i="23" s="1"/>
  <c r="F162" i="23"/>
  <c r="G162" i="23"/>
  <c r="H162" i="23"/>
  <c r="I162" i="23" s="1"/>
  <c r="F161" i="23"/>
  <c r="G161" i="23"/>
  <c r="I161" i="23"/>
  <c r="F160" i="23"/>
  <c r="G160" i="23"/>
  <c r="H160" i="23"/>
  <c r="I160" i="23" s="1"/>
  <c r="F159" i="23"/>
  <c r="G159" i="23"/>
  <c r="H159" i="23"/>
  <c r="I159" i="23" s="1"/>
  <c r="F158" i="23"/>
  <c r="G158" i="23"/>
  <c r="H158" i="23"/>
  <c r="I158" i="23" s="1"/>
  <c r="F157" i="23"/>
  <c r="G157" i="23"/>
  <c r="H157" i="23"/>
  <c r="I157" i="23" s="1"/>
  <c r="F156" i="23"/>
  <c r="G156" i="23"/>
  <c r="H156" i="23"/>
  <c r="I156" i="23" s="1"/>
  <c r="F155" i="23"/>
  <c r="G155" i="23"/>
  <c r="H155" i="23"/>
  <c r="I155" i="23" s="1"/>
  <c r="B17" i="30" l="1"/>
  <c r="D17" i="30" s="1"/>
  <c r="D26" i="30"/>
  <c r="D20" i="30"/>
  <c r="D14" i="30"/>
  <c r="M487" i="6"/>
  <c r="AA486" i="6"/>
  <c r="AA487" i="6"/>
  <c r="AA488" i="6"/>
  <c r="AA489" i="6"/>
  <c r="AA490" i="6"/>
  <c r="AA491" i="6"/>
  <c r="AA492" i="6"/>
  <c r="M486" i="6"/>
  <c r="J486" i="6"/>
  <c r="J487" i="6"/>
  <c r="J488" i="6"/>
  <c r="J489" i="6"/>
  <c r="J490" i="6"/>
  <c r="J491" i="6"/>
  <c r="J492" i="6"/>
  <c r="E487" i="6"/>
  <c r="E488" i="6"/>
  <c r="E489" i="6"/>
  <c r="E490" i="6"/>
  <c r="E491" i="6"/>
  <c r="E492" i="6"/>
  <c r="E486" i="6"/>
  <c r="J483" i="6"/>
  <c r="M477" i="6"/>
  <c r="AA479" i="6"/>
  <c r="AA480" i="6"/>
  <c r="AA481" i="6"/>
  <c r="AA482" i="6"/>
  <c r="AA483" i="6"/>
  <c r="AA484" i="6"/>
  <c r="AA485" i="6"/>
  <c r="J477" i="6"/>
  <c r="J479" i="6"/>
  <c r="J480" i="6"/>
  <c r="J481" i="6"/>
  <c r="J482" i="6"/>
  <c r="J484" i="6"/>
  <c r="J485" i="6"/>
  <c r="E478" i="6"/>
  <c r="E479" i="6"/>
  <c r="E480" i="6"/>
  <c r="E481" i="6"/>
  <c r="E482" i="6"/>
  <c r="E483" i="6"/>
  <c r="E484" i="6"/>
  <c r="E485" i="6"/>
  <c r="AA475" i="6"/>
  <c r="AA476" i="6"/>
  <c r="E477" i="6"/>
  <c r="AA477" i="6"/>
  <c r="F154" i="23"/>
  <c r="G154" i="23"/>
  <c r="I154" i="23" s="1"/>
  <c r="F153" i="23"/>
  <c r="G153" i="23"/>
  <c r="H153" i="23"/>
  <c r="I153" i="23" s="1"/>
  <c r="F152" i="23"/>
  <c r="G152" i="23"/>
  <c r="I152" i="23"/>
  <c r="F151" i="23"/>
  <c r="G151" i="23"/>
  <c r="I151" i="23" s="1"/>
  <c r="F150" i="23"/>
  <c r="G150" i="23"/>
  <c r="I150" i="23"/>
  <c r="F149" i="23"/>
  <c r="G149" i="23"/>
  <c r="H149" i="23"/>
  <c r="I149" i="23" s="1"/>
  <c r="F148" i="23"/>
  <c r="G148" i="23"/>
  <c r="H148" i="23"/>
  <c r="I148" i="23" s="1"/>
  <c r="F147" i="23"/>
  <c r="G147" i="23"/>
  <c r="I147" i="23" s="1"/>
  <c r="F146" i="23"/>
  <c r="G146" i="23"/>
  <c r="I146" i="23"/>
  <c r="F145" i="23"/>
  <c r="G145" i="23"/>
  <c r="H145" i="23"/>
  <c r="I145" i="23" s="1"/>
  <c r="J458" i="6" l="1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E476" i="6"/>
  <c r="E475" i="6"/>
  <c r="H5" i="23"/>
  <c r="H6" i="23"/>
  <c r="H7" i="23"/>
  <c r="H8" i="23"/>
  <c r="H10" i="23"/>
  <c r="H12" i="23"/>
  <c r="H13" i="23"/>
  <c r="H14" i="23"/>
  <c r="H15" i="23"/>
  <c r="H16" i="23"/>
  <c r="H17" i="23"/>
  <c r="H18" i="23"/>
  <c r="H21" i="23"/>
  <c r="H24" i="23"/>
  <c r="H31" i="23"/>
  <c r="H33" i="23"/>
  <c r="H35" i="23"/>
  <c r="H40" i="23"/>
  <c r="H41" i="23"/>
  <c r="H46" i="23"/>
  <c r="H47" i="23"/>
  <c r="H48" i="23"/>
  <c r="H50" i="23"/>
  <c r="H51" i="23"/>
  <c r="H52" i="23"/>
  <c r="H53" i="23"/>
  <c r="H63" i="23"/>
  <c r="H64" i="23"/>
  <c r="H65" i="23"/>
  <c r="H66" i="23"/>
  <c r="H67" i="23"/>
  <c r="H70" i="23"/>
  <c r="H71" i="23"/>
  <c r="H72" i="23"/>
  <c r="H75" i="23"/>
  <c r="H76" i="23"/>
  <c r="H77" i="23"/>
  <c r="H78" i="23"/>
  <c r="H80" i="23"/>
  <c r="H83" i="23"/>
  <c r="H87" i="23"/>
  <c r="H89" i="23"/>
  <c r="H91" i="23"/>
  <c r="H92" i="23"/>
  <c r="H95" i="23"/>
  <c r="H96" i="23"/>
  <c r="H97" i="23"/>
  <c r="H100" i="23"/>
  <c r="H107" i="23"/>
  <c r="H109" i="23"/>
  <c r="H110" i="23"/>
  <c r="H114" i="23"/>
  <c r="H115" i="23"/>
  <c r="H117" i="23"/>
  <c r="H118" i="23"/>
  <c r="H119" i="23"/>
  <c r="H121" i="23"/>
  <c r="H126" i="23"/>
  <c r="H127" i="23"/>
  <c r="H130" i="23"/>
  <c r="H133" i="23"/>
  <c r="H134" i="23"/>
  <c r="H136" i="23"/>
  <c r="H137" i="23"/>
  <c r="H139" i="23"/>
  <c r="H141" i="23"/>
  <c r="H4" i="23"/>
  <c r="F144" i="23"/>
  <c r="G144" i="23"/>
  <c r="F143" i="23"/>
  <c r="G143" i="23"/>
  <c r="F142" i="23"/>
  <c r="G142" i="23"/>
  <c r="F141" i="23"/>
  <c r="G141" i="23"/>
  <c r="F140" i="23"/>
  <c r="G140" i="23"/>
  <c r="F139" i="23"/>
  <c r="G139" i="23"/>
  <c r="F138" i="23"/>
  <c r="I138" i="23" s="1"/>
  <c r="G138" i="23"/>
  <c r="F137" i="23"/>
  <c r="G137" i="23"/>
  <c r="F136" i="23"/>
  <c r="G136" i="23"/>
  <c r="F135" i="23"/>
  <c r="G135" i="23"/>
  <c r="F134" i="23"/>
  <c r="G134" i="23"/>
  <c r="F133" i="23"/>
  <c r="G133" i="23"/>
  <c r="F132" i="23"/>
  <c r="G132" i="23"/>
  <c r="F131" i="23"/>
  <c r="G131" i="23"/>
  <c r="F130" i="23"/>
  <c r="G130" i="23"/>
  <c r="F129" i="23"/>
  <c r="G129" i="23"/>
  <c r="F128" i="23"/>
  <c r="G128" i="23"/>
  <c r="F127" i="23"/>
  <c r="G127" i="23"/>
  <c r="F126" i="23"/>
  <c r="G126" i="23"/>
  <c r="F125" i="23"/>
  <c r="G125" i="23"/>
  <c r="F124" i="23"/>
  <c r="G124" i="23"/>
  <c r="AA458" i="6"/>
  <c r="AA459" i="6"/>
  <c r="AA460" i="6"/>
  <c r="AA461" i="6"/>
  <c r="AA462" i="6"/>
  <c r="AA463" i="6"/>
  <c r="AA464" i="6"/>
  <c r="AA465" i="6"/>
  <c r="AA466" i="6"/>
  <c r="AA467" i="6"/>
  <c r="AA468" i="6"/>
  <c r="AA469" i="6"/>
  <c r="AA470" i="6"/>
  <c r="AA471" i="6"/>
  <c r="AA472" i="6"/>
  <c r="AA473" i="6"/>
  <c r="AA474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58" i="6"/>
  <c r="AA452" i="6"/>
  <c r="AA453" i="6"/>
  <c r="AA454" i="6"/>
  <c r="AA455" i="6"/>
  <c r="AA456" i="6"/>
  <c r="AA457" i="6"/>
  <c r="J452" i="6"/>
  <c r="J453" i="6"/>
  <c r="J454" i="6"/>
  <c r="J455" i="6"/>
  <c r="J456" i="6"/>
  <c r="J457" i="6"/>
  <c r="E453" i="6"/>
  <c r="E454" i="6"/>
  <c r="E455" i="6"/>
  <c r="E456" i="6"/>
  <c r="E457" i="6"/>
  <c r="E452" i="6"/>
  <c r="I127" i="23" l="1"/>
  <c r="I126" i="23"/>
  <c r="I140" i="23"/>
  <c r="I139" i="23"/>
  <c r="I143" i="23"/>
  <c r="I144" i="23"/>
  <c r="I142" i="23"/>
  <c r="I141" i="23"/>
  <c r="I137" i="23"/>
  <c r="I136" i="23"/>
  <c r="I135" i="23"/>
  <c r="I134" i="23"/>
  <c r="I133" i="23"/>
  <c r="I132" i="23"/>
  <c r="I131" i="23"/>
  <c r="I130" i="23"/>
  <c r="I129" i="23"/>
  <c r="I128" i="23"/>
  <c r="I125" i="23"/>
  <c r="I124" i="23"/>
  <c r="AA448" i="6"/>
  <c r="AA449" i="6"/>
  <c r="AA450" i="6"/>
  <c r="AA451" i="6"/>
  <c r="J448" i="6"/>
  <c r="J449" i="6"/>
  <c r="J450" i="6"/>
  <c r="J451" i="6"/>
  <c r="E449" i="6"/>
  <c r="E450" i="6"/>
  <c r="E451" i="6"/>
  <c r="E448" i="6"/>
  <c r="F123" i="23"/>
  <c r="G123" i="23"/>
  <c r="F122" i="23"/>
  <c r="I122" i="23" s="1"/>
  <c r="G122" i="23"/>
  <c r="F121" i="23"/>
  <c r="G121" i="23"/>
  <c r="F120" i="23"/>
  <c r="I120" i="23" s="1"/>
  <c r="G120" i="23"/>
  <c r="F119" i="23"/>
  <c r="G119" i="23"/>
  <c r="F118" i="23"/>
  <c r="G118" i="23"/>
  <c r="F117" i="23"/>
  <c r="G117" i="23"/>
  <c r="F116" i="23"/>
  <c r="G116" i="23"/>
  <c r="F115" i="23"/>
  <c r="G115" i="23"/>
  <c r="F114" i="23"/>
  <c r="G114" i="23"/>
  <c r="F113" i="23"/>
  <c r="G113" i="23"/>
  <c r="F112" i="23"/>
  <c r="G112" i="23"/>
  <c r="F111" i="23"/>
  <c r="I111" i="23" s="1"/>
  <c r="G111" i="23"/>
  <c r="F110" i="23"/>
  <c r="G110" i="23"/>
  <c r="F109" i="23"/>
  <c r="I109" i="23" s="1"/>
  <c r="G109" i="23"/>
  <c r="F108" i="23"/>
  <c r="G108" i="23"/>
  <c r="F107" i="23"/>
  <c r="G107" i="23"/>
  <c r="F106" i="23"/>
  <c r="G106" i="23"/>
  <c r="F105" i="23"/>
  <c r="G105" i="23"/>
  <c r="F104" i="23"/>
  <c r="G104" i="23"/>
  <c r="F103" i="23"/>
  <c r="G103" i="23"/>
  <c r="F102" i="23"/>
  <c r="I102" i="23" s="1"/>
  <c r="G102" i="23"/>
  <c r="F101" i="23"/>
  <c r="G101" i="23"/>
  <c r="F100" i="23"/>
  <c r="I100" i="23" s="1"/>
  <c r="G100" i="23"/>
  <c r="F99" i="23"/>
  <c r="G99" i="23"/>
  <c r="F98" i="23"/>
  <c r="G98" i="23"/>
  <c r="F97" i="23"/>
  <c r="G97" i="23"/>
  <c r="F96" i="23"/>
  <c r="G96" i="23"/>
  <c r="F95" i="23"/>
  <c r="I95" i="23" s="1"/>
  <c r="G95" i="23"/>
  <c r="F94" i="23"/>
  <c r="G94" i="23"/>
  <c r="F93" i="23"/>
  <c r="G93" i="23"/>
  <c r="F92" i="23"/>
  <c r="G92" i="23"/>
  <c r="F91" i="23"/>
  <c r="G91" i="23"/>
  <c r="F90" i="23"/>
  <c r="G90" i="23"/>
  <c r="F89" i="23"/>
  <c r="G89" i="23"/>
  <c r="F88" i="23"/>
  <c r="G88" i="23"/>
  <c r="F87" i="23"/>
  <c r="G87" i="23"/>
  <c r="F86" i="23"/>
  <c r="G86" i="23"/>
  <c r="F85" i="23"/>
  <c r="G85" i="23"/>
  <c r="F84" i="23"/>
  <c r="G84" i="23"/>
  <c r="F83" i="23"/>
  <c r="G83" i="23"/>
  <c r="F82" i="23"/>
  <c r="G82" i="23"/>
  <c r="F81" i="23"/>
  <c r="G81" i="23"/>
  <c r="F80" i="23"/>
  <c r="G80" i="23"/>
  <c r="F79" i="23"/>
  <c r="G79" i="23"/>
  <c r="F78" i="23"/>
  <c r="G78" i="23"/>
  <c r="I61" i="23"/>
  <c r="I62" i="23"/>
  <c r="I68" i="23"/>
  <c r="I69" i="23"/>
  <c r="I73" i="23"/>
  <c r="I74" i="23"/>
  <c r="F77" i="23"/>
  <c r="G77" i="23"/>
  <c r="I63" i="23"/>
  <c r="I64" i="23"/>
  <c r="I65" i="23"/>
  <c r="I66" i="23"/>
  <c r="I67" i="23"/>
  <c r="I70" i="23"/>
  <c r="I71" i="23"/>
  <c r="I72" i="23"/>
  <c r="I75" i="23"/>
  <c r="I76" i="23"/>
  <c r="F76" i="23"/>
  <c r="G76" i="23"/>
  <c r="F75" i="23"/>
  <c r="G75" i="23"/>
  <c r="F74" i="23"/>
  <c r="G74" i="23"/>
  <c r="F73" i="23"/>
  <c r="G73" i="23"/>
  <c r="F72" i="23"/>
  <c r="G72" i="23"/>
  <c r="F71" i="23"/>
  <c r="G71" i="23"/>
  <c r="F70" i="23"/>
  <c r="G70" i="23"/>
  <c r="F69" i="23"/>
  <c r="G69" i="23"/>
  <c r="F68" i="23"/>
  <c r="G68" i="23"/>
  <c r="F67" i="23"/>
  <c r="G67" i="23"/>
  <c r="F66" i="23"/>
  <c r="G66" i="23"/>
  <c r="F65" i="23"/>
  <c r="G65" i="23"/>
  <c r="F64" i="23"/>
  <c r="G64" i="23"/>
  <c r="F63" i="23"/>
  <c r="G63" i="23"/>
  <c r="P442" i="6"/>
  <c r="AA440" i="6"/>
  <c r="AA441" i="6"/>
  <c r="AA442" i="6"/>
  <c r="AA443" i="6"/>
  <c r="AA444" i="6"/>
  <c r="AA445" i="6"/>
  <c r="AA446" i="6"/>
  <c r="AA447" i="6"/>
  <c r="J440" i="6"/>
  <c r="J441" i="6"/>
  <c r="J442" i="6"/>
  <c r="J443" i="6"/>
  <c r="J444" i="6"/>
  <c r="J445" i="6"/>
  <c r="J446" i="6"/>
  <c r="J447" i="6"/>
  <c r="E441" i="6"/>
  <c r="E442" i="6"/>
  <c r="E443" i="6"/>
  <c r="E444" i="6"/>
  <c r="E445" i="6"/>
  <c r="E446" i="6"/>
  <c r="E447" i="6"/>
  <c r="E440" i="6"/>
  <c r="L11" i="28"/>
  <c r="AA436" i="6"/>
  <c r="AA437" i="6"/>
  <c r="AA438" i="6"/>
  <c r="AA439" i="6"/>
  <c r="J436" i="6"/>
  <c r="J437" i="6"/>
  <c r="J438" i="6"/>
  <c r="J439" i="6"/>
  <c r="E437" i="6"/>
  <c r="E438" i="6"/>
  <c r="E439" i="6"/>
  <c r="E436" i="6"/>
  <c r="I85" i="23" l="1"/>
  <c r="I80" i="23"/>
  <c r="I123" i="23"/>
  <c r="I121" i="23"/>
  <c r="I119" i="23"/>
  <c r="I117" i="23"/>
  <c r="I116" i="23"/>
  <c r="I118" i="23"/>
  <c r="I115" i="23"/>
  <c r="I114" i="23"/>
  <c r="I113" i="23"/>
  <c r="I112" i="23"/>
  <c r="I110" i="23"/>
  <c r="I108" i="23"/>
  <c r="I107" i="23"/>
  <c r="I105" i="23"/>
  <c r="I106" i="23"/>
  <c r="I103" i="23"/>
  <c r="I104" i="23"/>
  <c r="I101" i="23"/>
  <c r="I99" i="23"/>
  <c r="I98" i="23"/>
  <c r="I97" i="23"/>
  <c r="I82" i="23"/>
  <c r="I96" i="23"/>
  <c r="I94" i="23"/>
  <c r="I79" i="23"/>
  <c r="I83" i="23"/>
  <c r="I93" i="23"/>
  <c r="I87" i="23"/>
  <c r="I92" i="23"/>
  <c r="I91" i="23"/>
  <c r="I89" i="23"/>
  <c r="I90" i="23"/>
  <c r="I88" i="23"/>
  <c r="I86" i="23"/>
  <c r="I81" i="23"/>
  <c r="I84" i="23"/>
  <c r="I78" i="23"/>
  <c r="I30" i="23"/>
  <c r="I77" i="23"/>
  <c r="O432" i="6"/>
  <c r="M432" i="6"/>
  <c r="AA430" i="6"/>
  <c r="AA431" i="6"/>
  <c r="AA432" i="6"/>
  <c r="AA433" i="6"/>
  <c r="AA434" i="6"/>
  <c r="AA435" i="6"/>
  <c r="J430" i="6"/>
  <c r="J431" i="6"/>
  <c r="J432" i="6"/>
  <c r="J433" i="6"/>
  <c r="J434" i="6"/>
  <c r="J435" i="6"/>
  <c r="E431" i="6"/>
  <c r="E432" i="6"/>
  <c r="E433" i="6"/>
  <c r="E434" i="6"/>
  <c r="E435" i="6"/>
  <c r="E430" i="6"/>
  <c r="M428" i="6"/>
  <c r="AA423" i="6"/>
  <c r="AA424" i="6"/>
  <c r="AA425" i="6"/>
  <c r="AA426" i="6"/>
  <c r="AA427" i="6"/>
  <c r="AA428" i="6"/>
  <c r="AA429" i="6"/>
  <c r="M423" i="6"/>
  <c r="J423" i="6"/>
  <c r="J424" i="6"/>
  <c r="J425" i="6"/>
  <c r="J426" i="6"/>
  <c r="J427" i="6"/>
  <c r="J428" i="6"/>
  <c r="J429" i="6"/>
  <c r="E424" i="6"/>
  <c r="E425" i="6"/>
  <c r="E426" i="6"/>
  <c r="E427" i="6"/>
  <c r="E428" i="6"/>
  <c r="E429" i="6"/>
  <c r="E423" i="6"/>
  <c r="AA421" i="6"/>
  <c r="AA422" i="6"/>
  <c r="J421" i="6"/>
  <c r="J422" i="6"/>
  <c r="E422" i="6"/>
  <c r="E421" i="6"/>
  <c r="O417" i="6"/>
  <c r="M417" i="6"/>
  <c r="M416" i="6"/>
  <c r="AA415" i="6"/>
  <c r="AA416" i="6"/>
  <c r="AA417" i="6"/>
  <c r="AA418" i="6"/>
  <c r="AA419" i="6"/>
  <c r="AA420" i="6"/>
  <c r="J415" i="6"/>
  <c r="J416" i="6"/>
  <c r="J417" i="6"/>
  <c r="J418" i="6"/>
  <c r="J419" i="6"/>
  <c r="J420" i="6"/>
  <c r="E416" i="6"/>
  <c r="E417" i="6"/>
  <c r="E418" i="6"/>
  <c r="E419" i="6"/>
  <c r="E420" i="6"/>
  <c r="E415" i="6"/>
  <c r="M408" i="6"/>
  <c r="AA406" i="6"/>
  <c r="AA407" i="6"/>
  <c r="AA408" i="6"/>
  <c r="AA409" i="6"/>
  <c r="AA410" i="6"/>
  <c r="AA411" i="6"/>
  <c r="AA412" i="6"/>
  <c r="AA413" i="6"/>
  <c r="AA414" i="6"/>
  <c r="O406" i="6"/>
  <c r="J406" i="6"/>
  <c r="J407" i="6"/>
  <c r="J408" i="6"/>
  <c r="J409" i="6"/>
  <c r="J410" i="6"/>
  <c r="J411" i="6"/>
  <c r="J412" i="6"/>
  <c r="J413" i="6"/>
  <c r="J414" i="6"/>
  <c r="E407" i="6"/>
  <c r="E408" i="6"/>
  <c r="E409" i="6"/>
  <c r="E410" i="6"/>
  <c r="E411" i="6"/>
  <c r="E412" i="6"/>
  <c r="E413" i="6"/>
  <c r="E414" i="6"/>
  <c r="E406" i="6"/>
  <c r="M401" i="6"/>
  <c r="AA401" i="6"/>
  <c r="AA402" i="6"/>
  <c r="AA403" i="6"/>
  <c r="AA404" i="6"/>
  <c r="AA405" i="6"/>
  <c r="J398" i="6"/>
  <c r="J399" i="6"/>
  <c r="J400" i="6"/>
  <c r="J401" i="6"/>
  <c r="J402" i="6"/>
  <c r="J403" i="6"/>
  <c r="J404" i="6"/>
  <c r="J405" i="6"/>
  <c r="E402" i="6"/>
  <c r="E403" i="6"/>
  <c r="E404" i="6"/>
  <c r="E405" i="6"/>
  <c r="E401" i="6"/>
  <c r="M56" i="23"/>
  <c r="AA397" i="6"/>
  <c r="AA398" i="6"/>
  <c r="AA399" i="6"/>
  <c r="AA400" i="6"/>
  <c r="E398" i="6"/>
  <c r="E399" i="6"/>
  <c r="E400" i="6"/>
  <c r="J397" i="6"/>
  <c r="E397" i="6"/>
  <c r="E396" i="6"/>
  <c r="K396" i="6"/>
  <c r="AA396" i="6" s="1"/>
  <c r="E395" i="6"/>
  <c r="K395" i="6"/>
  <c r="E394" i="6"/>
  <c r="K394" i="6"/>
  <c r="E393" i="6"/>
  <c r="K393" i="6"/>
  <c r="M392" i="6"/>
  <c r="E392" i="6"/>
  <c r="K392" i="6"/>
  <c r="M391" i="6"/>
  <c r="E391" i="6"/>
  <c r="K391" i="6"/>
  <c r="E390" i="6"/>
  <c r="K390" i="6"/>
  <c r="F62" i="23"/>
  <c r="G62" i="23"/>
  <c r="F61" i="23"/>
  <c r="G61" i="23"/>
  <c r="F60" i="23"/>
  <c r="G60" i="23"/>
  <c r="F59" i="23"/>
  <c r="G59" i="23"/>
  <c r="F58" i="23"/>
  <c r="G58" i="23"/>
  <c r="F57" i="23"/>
  <c r="G57" i="23"/>
  <c r="F56" i="23"/>
  <c r="G56" i="23"/>
  <c r="F55" i="23"/>
  <c r="G55" i="23"/>
  <c r="I55" i="23" s="1"/>
  <c r="F54" i="23"/>
  <c r="G54" i="23"/>
  <c r="I54" i="23" s="1"/>
  <c r="F53" i="23"/>
  <c r="G53" i="23"/>
  <c r="F52" i="23"/>
  <c r="G52" i="23"/>
  <c r="F51" i="23"/>
  <c r="G51" i="23"/>
  <c r="F50" i="23"/>
  <c r="G50" i="23"/>
  <c r="F49" i="23"/>
  <c r="G49" i="23"/>
  <c r="I49" i="23" s="1"/>
  <c r="F48" i="23"/>
  <c r="G48" i="23"/>
  <c r="F47" i="23"/>
  <c r="G47" i="23"/>
  <c r="F46" i="23"/>
  <c r="G46" i="23"/>
  <c r="F45" i="23"/>
  <c r="G45" i="23"/>
  <c r="I45" i="23" s="1"/>
  <c r="F44" i="23"/>
  <c r="G44" i="23"/>
  <c r="I44" i="23" s="1"/>
  <c r="F43" i="23"/>
  <c r="G43" i="23"/>
  <c r="I43" i="23" s="1"/>
  <c r="F42" i="23"/>
  <c r="G42" i="23"/>
  <c r="I42" i="23" s="1"/>
  <c r="F41" i="23"/>
  <c r="G41" i="23"/>
  <c r="F40" i="23"/>
  <c r="G40" i="23"/>
  <c r="I40" i="23" s="1"/>
  <c r="F39" i="23"/>
  <c r="G39" i="23"/>
  <c r="I39" i="23" s="1"/>
  <c r="F38" i="23"/>
  <c r="G38" i="23"/>
  <c r="I38" i="23" s="1"/>
  <c r="F37" i="23"/>
  <c r="G37" i="23"/>
  <c r="I37" i="23" s="1"/>
  <c r="F36" i="23"/>
  <c r="G36" i="23"/>
  <c r="I36" i="23" s="1"/>
  <c r="F35" i="23"/>
  <c r="G35" i="23"/>
  <c r="F34" i="23"/>
  <c r="G34" i="23"/>
  <c r="I34" i="23" s="1"/>
  <c r="F33" i="23"/>
  <c r="G33" i="23"/>
  <c r="E389" i="6"/>
  <c r="K389" i="6"/>
  <c r="AA389" i="6" s="1"/>
  <c r="E388" i="6"/>
  <c r="K388" i="6"/>
  <c r="E387" i="6"/>
  <c r="K387" i="6"/>
  <c r="E386" i="6"/>
  <c r="K386" i="6"/>
  <c r="E385" i="6"/>
  <c r="K385" i="6"/>
  <c r="AA385" i="6" s="1"/>
  <c r="E384" i="6"/>
  <c r="K384" i="6"/>
  <c r="AA384" i="6" s="1"/>
  <c r="E383" i="6"/>
  <c r="K383" i="6"/>
  <c r="AA383" i="6" s="1"/>
  <c r="E382" i="6"/>
  <c r="K382" i="6"/>
  <c r="E381" i="6"/>
  <c r="K381" i="6"/>
  <c r="AA381" i="6" s="1"/>
  <c r="E380" i="6"/>
  <c r="K380" i="6"/>
  <c r="AA380" i="6" s="1"/>
  <c r="E379" i="6"/>
  <c r="K379" i="6"/>
  <c r="AA379" i="6" s="1"/>
  <c r="E378" i="6"/>
  <c r="K378" i="6"/>
  <c r="E377" i="6"/>
  <c r="K377" i="6"/>
  <c r="E374" i="6"/>
  <c r="K374" i="6"/>
  <c r="E373" i="6"/>
  <c r="K373" i="6"/>
  <c r="E372" i="6"/>
  <c r="K372" i="6"/>
  <c r="AA372" i="6" s="1"/>
  <c r="E367" i="6"/>
  <c r="K367" i="6"/>
  <c r="AA367" i="6" s="1"/>
  <c r="E366" i="6"/>
  <c r="K366" i="6"/>
  <c r="AA366" i="6" s="1"/>
  <c r="P376" i="6"/>
  <c r="M376" i="6"/>
  <c r="E376" i="6"/>
  <c r="K376" i="6"/>
  <c r="E358" i="6"/>
  <c r="K358" i="6"/>
  <c r="AA358" i="6" s="1"/>
  <c r="E375" i="6"/>
  <c r="K375" i="6"/>
  <c r="E371" i="6"/>
  <c r="K371" i="6"/>
  <c r="E370" i="6"/>
  <c r="K370" i="6"/>
  <c r="E369" i="6"/>
  <c r="K369" i="6"/>
  <c r="E368" i="6"/>
  <c r="K368" i="6"/>
  <c r="E362" i="6"/>
  <c r="K362" i="6"/>
  <c r="AA362" i="6" s="1"/>
  <c r="E351" i="6"/>
  <c r="K351" i="6"/>
  <c r="AA351" i="6" s="1"/>
  <c r="J364" i="6"/>
  <c r="I364" i="6"/>
  <c r="N100" i="25"/>
  <c r="F32" i="23"/>
  <c r="G32" i="23"/>
  <c r="F31" i="23"/>
  <c r="G31" i="23"/>
  <c r="F30" i="23"/>
  <c r="G30" i="23"/>
  <c r="F29" i="23"/>
  <c r="G29" i="23"/>
  <c r="I29" i="23" s="1"/>
  <c r="F28" i="23"/>
  <c r="G28" i="23"/>
  <c r="I28" i="23" s="1"/>
  <c r="F27" i="23"/>
  <c r="G27" i="23"/>
  <c r="I27" i="23" s="1"/>
  <c r="F26" i="23"/>
  <c r="G26" i="23"/>
  <c r="I26" i="23" s="1"/>
  <c r="F25" i="23"/>
  <c r="G25" i="23"/>
  <c r="I25" i="23" s="1"/>
  <c r="F24" i="23"/>
  <c r="G24" i="23"/>
  <c r="I24" i="23" s="1"/>
  <c r="F23" i="23"/>
  <c r="G23" i="23"/>
  <c r="I23" i="23" s="1"/>
  <c r="F22" i="23"/>
  <c r="G22" i="23"/>
  <c r="I22" i="23" s="1"/>
  <c r="E365" i="6"/>
  <c r="K365" i="6"/>
  <c r="AA365" i="6" s="1"/>
  <c r="E364" i="6"/>
  <c r="E363" i="6"/>
  <c r="K363" i="6"/>
  <c r="AA386" i="6" l="1"/>
  <c r="B7" i="30"/>
  <c r="D7" i="30" s="1"/>
  <c r="AA375" i="6"/>
  <c r="B6" i="30"/>
  <c r="D6" i="30" s="1"/>
  <c r="B5" i="30"/>
  <c r="D5" i="30" s="1"/>
  <c r="B8" i="30"/>
  <c r="D8" i="30" s="1"/>
  <c r="I53" i="23"/>
  <c r="I31" i="23"/>
  <c r="I50" i="23"/>
  <c r="I57" i="23"/>
  <c r="I59" i="23"/>
  <c r="I32" i="23"/>
  <c r="I56" i="23"/>
  <c r="I58" i="23"/>
  <c r="I60" i="23"/>
  <c r="I46" i="23"/>
  <c r="I51" i="23"/>
  <c r="K364" i="6"/>
  <c r="AA392" i="6"/>
  <c r="AA395" i="6"/>
  <c r="AA391" i="6"/>
  <c r="AA394" i="6"/>
  <c r="AA390" i="6"/>
  <c r="AA393" i="6"/>
  <c r="I48" i="23"/>
  <c r="I33" i="23"/>
  <c r="I35" i="23"/>
  <c r="I41" i="23"/>
  <c r="I47" i="23"/>
  <c r="I52" i="23"/>
  <c r="AA387" i="6"/>
  <c r="AA388" i="6"/>
  <c r="AA382" i="6"/>
  <c r="AA374" i="6"/>
  <c r="AA373" i="6"/>
  <c r="AA376" i="6"/>
  <c r="AA378" i="6"/>
  <c r="AA377" i="6"/>
  <c r="AA371" i="6"/>
  <c r="AA370" i="6"/>
  <c r="AA369" i="6"/>
  <c r="AA368" i="6"/>
  <c r="AA363" i="6"/>
  <c r="B3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" i="26"/>
  <c r="B4" i="30" l="1"/>
  <c r="D4" i="30" s="1"/>
  <c r="AA364" i="6"/>
  <c r="F21" i="23"/>
  <c r="G21" i="23"/>
  <c r="F20" i="23"/>
  <c r="G20" i="23"/>
  <c r="I20" i="23" s="1"/>
  <c r="E361" i="6"/>
  <c r="K361" i="6"/>
  <c r="E360" i="6"/>
  <c r="K360" i="6"/>
  <c r="E359" i="6"/>
  <c r="K359" i="6"/>
  <c r="E330" i="6"/>
  <c r="K330" i="6"/>
  <c r="AA330" i="6" s="1"/>
  <c r="E285" i="6"/>
  <c r="K285" i="6"/>
  <c r="AA285" i="6" s="1"/>
  <c r="E274" i="6"/>
  <c r="K274" i="6"/>
  <c r="AA274" i="6" s="1"/>
  <c r="D3" i="25"/>
  <c r="D4" i="25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52" i="25"/>
  <c r="D53" i="25"/>
  <c r="D54" i="25"/>
  <c r="D55" i="25"/>
  <c r="D56" i="25"/>
  <c r="D57" i="25"/>
  <c r="D58" i="25"/>
  <c r="D59" i="25"/>
  <c r="D60" i="25"/>
  <c r="D61" i="25"/>
  <c r="D62" i="25"/>
  <c r="D63" i="25"/>
  <c r="D64" i="25"/>
  <c r="D65" i="25"/>
  <c r="D66" i="25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D90" i="25"/>
  <c r="D91" i="25"/>
  <c r="D92" i="25"/>
  <c r="D93" i="25"/>
  <c r="D94" i="25"/>
  <c r="D95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D109" i="25"/>
  <c r="D110" i="25"/>
  <c r="D111" i="25"/>
  <c r="E111" i="25" s="1"/>
  <c r="D112" i="25"/>
  <c r="D113" i="25"/>
  <c r="D114" i="25"/>
  <c r="D115" i="25"/>
  <c r="D116" i="25"/>
  <c r="D117" i="25"/>
  <c r="D118" i="25"/>
  <c r="D119" i="25"/>
  <c r="D120" i="25"/>
  <c r="D121" i="25"/>
  <c r="D122" i="25"/>
  <c r="D123" i="25"/>
  <c r="D124" i="25"/>
  <c r="D125" i="25"/>
  <c r="D126" i="25"/>
  <c r="D127" i="25"/>
  <c r="D128" i="25"/>
  <c r="D129" i="25"/>
  <c r="D130" i="25"/>
  <c r="D131" i="25"/>
  <c r="D132" i="25"/>
  <c r="D133" i="25"/>
  <c r="D134" i="25"/>
  <c r="D135" i="25"/>
  <c r="D136" i="25"/>
  <c r="D137" i="25"/>
  <c r="D138" i="25"/>
  <c r="D139" i="25"/>
  <c r="D140" i="25"/>
  <c r="D141" i="25"/>
  <c r="D142" i="25"/>
  <c r="D143" i="25"/>
  <c r="D144" i="25"/>
  <c r="D145" i="25"/>
  <c r="D146" i="25"/>
  <c r="D147" i="25"/>
  <c r="D148" i="25"/>
  <c r="D149" i="25"/>
  <c r="D150" i="25"/>
  <c r="D151" i="25"/>
  <c r="D152" i="25"/>
  <c r="D153" i="25"/>
  <c r="D154" i="25"/>
  <c r="D155" i="25"/>
  <c r="D156" i="25"/>
  <c r="D157" i="25"/>
  <c r="D158" i="25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2" i="25"/>
  <c r="C113" i="25"/>
  <c r="C114" i="25"/>
  <c r="C115" i="25"/>
  <c r="C116" i="25"/>
  <c r="C117" i="25"/>
  <c r="C118" i="25"/>
  <c r="C119" i="25"/>
  <c r="C120" i="25"/>
  <c r="C121" i="25"/>
  <c r="C122" i="25"/>
  <c r="C123" i="25"/>
  <c r="C124" i="25"/>
  <c r="C125" i="25"/>
  <c r="C126" i="25"/>
  <c r="C127" i="25"/>
  <c r="C128" i="25"/>
  <c r="C129" i="25"/>
  <c r="C130" i="25"/>
  <c r="C131" i="25"/>
  <c r="C132" i="25"/>
  <c r="C133" i="25"/>
  <c r="C134" i="25"/>
  <c r="C135" i="25"/>
  <c r="C136" i="25"/>
  <c r="C137" i="25"/>
  <c r="C138" i="25"/>
  <c r="C139" i="25"/>
  <c r="C140" i="25"/>
  <c r="C141" i="25"/>
  <c r="C142" i="25"/>
  <c r="C143" i="25"/>
  <c r="C144" i="25"/>
  <c r="C145" i="25"/>
  <c r="C146" i="25"/>
  <c r="C147" i="25"/>
  <c r="C148" i="25"/>
  <c r="C149" i="25"/>
  <c r="C150" i="25"/>
  <c r="C151" i="25"/>
  <c r="C152" i="25"/>
  <c r="C153" i="25"/>
  <c r="C154" i="25"/>
  <c r="C155" i="25"/>
  <c r="C156" i="25"/>
  <c r="C157" i="25"/>
  <c r="C158" i="25"/>
  <c r="D2" i="25"/>
  <c r="C2" i="25"/>
  <c r="F19" i="23"/>
  <c r="G19" i="23"/>
  <c r="I19" i="23" s="1"/>
  <c r="F18" i="23"/>
  <c r="G18" i="23"/>
  <c r="I18" i="23" s="1"/>
  <c r="F17" i="23"/>
  <c r="G17" i="23"/>
  <c r="F16" i="23"/>
  <c r="G16" i="23"/>
  <c r="E357" i="6"/>
  <c r="K357" i="6"/>
  <c r="E356" i="6"/>
  <c r="K356" i="6"/>
  <c r="E355" i="6"/>
  <c r="K355" i="6"/>
  <c r="E354" i="6"/>
  <c r="K354" i="6"/>
  <c r="E353" i="6"/>
  <c r="K353" i="6"/>
  <c r="M352" i="6"/>
  <c r="F15" i="23"/>
  <c r="G15" i="23"/>
  <c r="I15" i="23" s="1"/>
  <c r="E352" i="6"/>
  <c r="K352" i="6"/>
  <c r="M350" i="6"/>
  <c r="E350" i="6"/>
  <c r="K350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5" i="6"/>
  <c r="E276" i="6"/>
  <c r="E277" i="6"/>
  <c r="E278" i="6"/>
  <c r="E279" i="6"/>
  <c r="E280" i="6"/>
  <c r="E281" i="6"/>
  <c r="E282" i="6"/>
  <c r="E283" i="6"/>
  <c r="E284" i="6"/>
  <c r="E186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" i="6"/>
  <c r="K296" i="6"/>
  <c r="AA296" i="6" s="1"/>
  <c r="E87" i="25" l="1"/>
  <c r="E75" i="25"/>
  <c r="E67" i="25"/>
  <c r="E31" i="25"/>
  <c r="E23" i="25"/>
  <c r="E39" i="25"/>
  <c r="E27" i="25"/>
  <c r="E43" i="25"/>
  <c r="B2" i="30"/>
  <c r="D2" i="30" s="1"/>
  <c r="AA359" i="6"/>
  <c r="B3" i="30"/>
  <c r="D3" i="30" s="1"/>
  <c r="E11" i="25"/>
  <c r="E19" i="25"/>
  <c r="E55" i="25"/>
  <c r="E71" i="25"/>
  <c r="I21" i="23"/>
  <c r="E15" i="25"/>
  <c r="E35" i="25"/>
  <c r="E59" i="25"/>
  <c r="E83" i="25"/>
  <c r="E63" i="25"/>
  <c r="E3" i="25"/>
  <c r="E51" i="25"/>
  <c r="E7" i="25"/>
  <c r="E79" i="25"/>
  <c r="AA361" i="6"/>
  <c r="AA360" i="6"/>
  <c r="E47" i="25"/>
  <c r="E2" i="25"/>
  <c r="E158" i="25"/>
  <c r="E154" i="25"/>
  <c r="E150" i="25"/>
  <c r="E146" i="25"/>
  <c r="E142" i="25"/>
  <c r="E138" i="25"/>
  <c r="E134" i="25"/>
  <c r="E130" i="25"/>
  <c r="E126" i="25"/>
  <c r="E122" i="25"/>
  <c r="E118" i="25"/>
  <c r="E114" i="25"/>
  <c r="E110" i="25"/>
  <c r="E106" i="25"/>
  <c r="E102" i="25"/>
  <c r="E98" i="25"/>
  <c r="E94" i="25"/>
  <c r="E90" i="25"/>
  <c r="E86" i="25"/>
  <c r="E82" i="25"/>
  <c r="E78" i="25"/>
  <c r="E74" i="25"/>
  <c r="E70" i="25"/>
  <c r="E66" i="25"/>
  <c r="E62" i="25"/>
  <c r="E58" i="25"/>
  <c r="E54" i="25"/>
  <c r="E50" i="25"/>
  <c r="E46" i="25"/>
  <c r="E42" i="25"/>
  <c r="E38" i="25"/>
  <c r="E34" i="25"/>
  <c r="E30" i="25"/>
  <c r="E26" i="25"/>
  <c r="E22" i="25"/>
  <c r="E18" i="25"/>
  <c r="E14" i="25"/>
  <c r="E10" i="25"/>
  <c r="E6" i="25"/>
  <c r="E157" i="25"/>
  <c r="E153" i="25"/>
  <c r="E149" i="25"/>
  <c r="E145" i="25"/>
  <c r="E141" i="25"/>
  <c r="E137" i="25"/>
  <c r="E133" i="25"/>
  <c r="E129" i="25"/>
  <c r="E125" i="25"/>
  <c r="E121" i="25"/>
  <c r="E117" i="25"/>
  <c r="E113" i="25"/>
  <c r="E109" i="25"/>
  <c r="E105" i="25"/>
  <c r="E101" i="25"/>
  <c r="E97" i="25"/>
  <c r="E93" i="25"/>
  <c r="E89" i="25"/>
  <c r="E85" i="25"/>
  <c r="E81" i="25"/>
  <c r="E77" i="25"/>
  <c r="E73" i="25"/>
  <c r="E69" i="25"/>
  <c r="E65" i="25"/>
  <c r="E61" i="25"/>
  <c r="E57" i="25"/>
  <c r="E53" i="25"/>
  <c r="E49" i="25"/>
  <c r="E45" i="25"/>
  <c r="E41" i="25"/>
  <c r="E37" i="25"/>
  <c r="E33" i="25"/>
  <c r="E29" i="25"/>
  <c r="E25" i="25"/>
  <c r="E21" i="25"/>
  <c r="E17" i="25"/>
  <c r="E13" i="25"/>
  <c r="E9" i="25"/>
  <c r="E5" i="25"/>
  <c r="E156" i="25"/>
  <c r="E152" i="25"/>
  <c r="E148" i="25"/>
  <c r="E144" i="25"/>
  <c r="E140" i="25"/>
  <c r="E136" i="25"/>
  <c r="E132" i="25"/>
  <c r="E128" i="25"/>
  <c r="E124" i="25"/>
  <c r="E120" i="25"/>
  <c r="E116" i="25"/>
  <c r="E112" i="25"/>
  <c r="E108" i="25"/>
  <c r="E104" i="25"/>
  <c r="E100" i="25"/>
  <c r="E96" i="25"/>
  <c r="E92" i="25"/>
  <c r="E88" i="25"/>
  <c r="E84" i="25"/>
  <c r="E80" i="25"/>
  <c r="E76" i="25"/>
  <c r="E72" i="25"/>
  <c r="E68" i="25"/>
  <c r="E64" i="25"/>
  <c r="E60" i="25"/>
  <c r="E56" i="25"/>
  <c r="E52" i="25"/>
  <c r="E48" i="25"/>
  <c r="E44" i="25"/>
  <c r="E40" i="25"/>
  <c r="E36" i="25"/>
  <c r="E32" i="25"/>
  <c r="E28" i="25"/>
  <c r="E24" i="25"/>
  <c r="E20" i="25"/>
  <c r="E16" i="25"/>
  <c r="E12" i="25"/>
  <c r="E8" i="25"/>
  <c r="E4" i="25"/>
  <c r="E155" i="25"/>
  <c r="E151" i="25"/>
  <c r="E147" i="25"/>
  <c r="E143" i="25"/>
  <c r="E139" i="25"/>
  <c r="E135" i="25"/>
  <c r="E131" i="25"/>
  <c r="E127" i="25"/>
  <c r="E123" i="25"/>
  <c r="E119" i="25"/>
  <c r="E115" i="25"/>
  <c r="E107" i="25"/>
  <c r="E103" i="25"/>
  <c r="E99" i="25"/>
  <c r="E95" i="25"/>
  <c r="E91" i="25"/>
  <c r="AA352" i="6"/>
  <c r="AA357" i="6"/>
  <c r="AA353" i="6"/>
  <c r="AA356" i="6"/>
  <c r="AA355" i="6"/>
  <c r="AA350" i="6"/>
  <c r="AA354" i="6"/>
  <c r="F14" i="23"/>
  <c r="G14" i="23"/>
  <c r="I14" i="23" s="1"/>
  <c r="F13" i="23"/>
  <c r="G13" i="23"/>
  <c r="F12" i="23"/>
  <c r="G12" i="23"/>
  <c r="F11" i="23"/>
  <c r="G11" i="23"/>
  <c r="I11" i="23" s="1"/>
  <c r="F10" i="23"/>
  <c r="G10" i="23"/>
  <c r="I10" i="23" s="1"/>
  <c r="F9" i="23"/>
  <c r="G9" i="23"/>
  <c r="I9" i="23" s="1"/>
  <c r="K349" i="6"/>
  <c r="K348" i="6"/>
  <c r="AA348" i="6" s="1"/>
  <c r="M347" i="6"/>
  <c r="K347" i="6"/>
  <c r="K346" i="6"/>
  <c r="K345" i="6"/>
  <c r="K344" i="6"/>
  <c r="K343" i="6"/>
  <c r="K342" i="6"/>
  <c r="K341" i="6"/>
  <c r="M340" i="6"/>
  <c r="K340" i="6"/>
  <c r="K339" i="6"/>
  <c r="K338" i="6"/>
  <c r="D109" i="22"/>
  <c r="E109" i="22"/>
  <c r="D108" i="22"/>
  <c r="E108" i="22"/>
  <c r="D107" i="22"/>
  <c r="E107" i="22"/>
  <c r="D106" i="22"/>
  <c r="E106" i="22"/>
  <c r="D105" i="22"/>
  <c r="E105" i="22"/>
  <c r="D104" i="22"/>
  <c r="E104" i="22"/>
  <c r="D102" i="22"/>
  <c r="E102" i="22"/>
  <c r="D101" i="22"/>
  <c r="E101" i="22"/>
  <c r="D100" i="22"/>
  <c r="E100" i="22"/>
  <c r="D99" i="22"/>
  <c r="E99" i="22"/>
  <c r="F98" i="22"/>
  <c r="D97" i="22"/>
  <c r="E97" i="22"/>
  <c r="D95" i="22"/>
  <c r="E95" i="22"/>
  <c r="D94" i="22"/>
  <c r="E94" i="22"/>
  <c r="D93" i="22"/>
  <c r="E93" i="22"/>
  <c r="D92" i="22"/>
  <c r="E92" i="22"/>
  <c r="D91" i="22"/>
  <c r="E91" i="22"/>
  <c r="D90" i="22"/>
  <c r="E90" i="22"/>
  <c r="F89" i="22"/>
  <c r="D88" i="22"/>
  <c r="E88" i="22"/>
  <c r="D87" i="22"/>
  <c r="E87" i="22"/>
  <c r="D86" i="22"/>
  <c r="E86" i="22"/>
  <c r="D85" i="22"/>
  <c r="E85" i="22"/>
  <c r="D83" i="22"/>
  <c r="E83" i="22"/>
  <c r="D82" i="22"/>
  <c r="E82" i="22"/>
  <c r="D80" i="22"/>
  <c r="E80" i="22"/>
  <c r="D79" i="22"/>
  <c r="E79" i="22"/>
  <c r="D78" i="22"/>
  <c r="E78" i="22"/>
  <c r="D77" i="22"/>
  <c r="E77" i="22"/>
  <c r="D76" i="22"/>
  <c r="E76" i="22"/>
  <c r="F75" i="22"/>
  <c r="D74" i="22"/>
  <c r="E74" i="22"/>
  <c r="D73" i="22"/>
  <c r="E73" i="22"/>
  <c r="D72" i="22"/>
  <c r="E72" i="22"/>
  <c r="D71" i="22"/>
  <c r="E71" i="22"/>
  <c r="D70" i="22"/>
  <c r="E70" i="22"/>
  <c r="D69" i="22"/>
  <c r="E69" i="22"/>
  <c r="D68" i="22"/>
  <c r="E68" i="22"/>
  <c r="D67" i="22"/>
  <c r="E67" i="22"/>
  <c r="D66" i="22"/>
  <c r="E66" i="22"/>
  <c r="D65" i="22"/>
  <c r="E65" i="22"/>
  <c r="D64" i="22"/>
  <c r="E64" i="22"/>
  <c r="D63" i="22"/>
  <c r="E63" i="22"/>
  <c r="D62" i="22"/>
  <c r="E62" i="22"/>
  <c r="D61" i="22"/>
  <c r="E61" i="22"/>
  <c r="D60" i="22"/>
  <c r="E60" i="22"/>
  <c r="D59" i="22"/>
  <c r="E59" i="22"/>
  <c r="D58" i="22"/>
  <c r="E58" i="22"/>
  <c r="D57" i="22"/>
  <c r="E57" i="22"/>
  <c r="D56" i="22"/>
  <c r="E56" i="22"/>
  <c r="D55" i="22"/>
  <c r="E55" i="22"/>
  <c r="D54" i="22"/>
  <c r="E54" i="22"/>
  <c r="D53" i="22"/>
  <c r="E53" i="22"/>
  <c r="D52" i="22"/>
  <c r="E52" i="22"/>
  <c r="D51" i="22"/>
  <c r="E51" i="22"/>
  <c r="D50" i="22"/>
  <c r="E50" i="22"/>
  <c r="D49" i="22"/>
  <c r="E49" i="22"/>
  <c r="D48" i="22"/>
  <c r="E48" i="22"/>
  <c r="D47" i="22"/>
  <c r="E47" i="22"/>
  <c r="D46" i="22"/>
  <c r="E46" i="22"/>
  <c r="D44" i="22"/>
  <c r="E44" i="22"/>
  <c r="E43" i="22"/>
  <c r="D43" i="22"/>
  <c r="E4" i="22"/>
  <c r="E14" i="22"/>
  <c r="E15" i="22"/>
  <c r="E7" i="22"/>
  <c r="E9" i="22"/>
  <c r="E38" i="22"/>
  <c r="E8" i="22"/>
  <c r="E20" i="22"/>
  <c r="E10" i="22"/>
  <c r="E18" i="22"/>
  <c r="E22" i="22"/>
  <c r="E40" i="22"/>
  <c r="E30" i="22"/>
  <c r="E33" i="22"/>
  <c r="E35" i="22"/>
  <c r="E39" i="22"/>
  <c r="E6" i="22"/>
  <c r="E32" i="22"/>
  <c r="E26" i="22"/>
  <c r="E36" i="22"/>
  <c r="E42" i="22"/>
  <c r="E34" i="22"/>
  <c r="D23" i="22"/>
  <c r="D4" i="22"/>
  <c r="D11" i="22"/>
  <c r="D14" i="22"/>
  <c r="D15" i="22"/>
  <c r="D16" i="22"/>
  <c r="D8" i="22"/>
  <c r="D17" i="22"/>
  <c r="D20" i="22"/>
  <c r="D24" i="22"/>
  <c r="D3" i="22"/>
  <c r="D10" i="22"/>
  <c r="D28" i="22"/>
  <c r="D18" i="22"/>
  <c r="D22" i="22"/>
  <c r="D27" i="22"/>
  <c r="D29" i="22"/>
  <c r="D40" i="22"/>
  <c r="D30" i="22"/>
  <c r="D33" i="22"/>
  <c r="D35" i="22"/>
  <c r="D6" i="22"/>
  <c r="D21" i="22"/>
  <c r="D25" i="22"/>
  <c r="D32" i="22"/>
  <c r="D41" i="22"/>
  <c r="D26" i="22"/>
  <c r="D42" i="22"/>
  <c r="D31" i="22"/>
  <c r="D34" i="22"/>
  <c r="F5" i="23"/>
  <c r="F6" i="23"/>
  <c r="F7" i="23"/>
  <c r="F8" i="23"/>
  <c r="I16" i="23" s="1"/>
  <c r="F4" i="23"/>
  <c r="G5" i="23"/>
  <c r="I5" i="23" s="1"/>
  <c r="G6" i="23"/>
  <c r="G7" i="23"/>
  <c r="G8" i="23"/>
  <c r="I8" i="23" s="1"/>
  <c r="G4" i="23"/>
  <c r="E41" i="22"/>
  <c r="D39" i="22"/>
  <c r="D38" i="22"/>
  <c r="D37" i="22"/>
  <c r="E37" i="22"/>
  <c r="D36" i="22"/>
  <c r="E31" i="22"/>
  <c r="E29" i="22"/>
  <c r="E28" i="22"/>
  <c r="E27" i="22"/>
  <c r="E25" i="22"/>
  <c r="E24" i="22"/>
  <c r="E23" i="22"/>
  <c r="E21" i="22"/>
  <c r="D19" i="22"/>
  <c r="E17" i="22"/>
  <c r="E16" i="22"/>
  <c r="D13" i="22"/>
  <c r="E13" i="22"/>
  <c r="F12" i="22"/>
  <c r="E11" i="22"/>
  <c r="D9" i="22"/>
  <c r="D7" i="22"/>
  <c r="D5" i="22"/>
  <c r="E5" i="22"/>
  <c r="E3" i="22"/>
  <c r="K337" i="6"/>
  <c r="AA337" i="6" s="1"/>
  <c r="K336" i="6"/>
  <c r="K335" i="6"/>
  <c r="K334" i="6"/>
  <c r="K333" i="6"/>
  <c r="K332" i="6"/>
  <c r="AA332" i="6" s="1"/>
  <c r="K331" i="6"/>
  <c r="M328" i="6"/>
  <c r="K329" i="6"/>
  <c r="K328" i="6"/>
  <c r="K327" i="6"/>
  <c r="K326" i="6"/>
  <c r="K325" i="6"/>
  <c r="K324" i="6"/>
  <c r="K323" i="6"/>
  <c r="K322" i="6"/>
  <c r="AA322" i="6" s="1"/>
  <c r="K321" i="6"/>
  <c r="K320" i="6"/>
  <c r="AA320" i="6" s="1"/>
  <c r="K319" i="6"/>
  <c r="K318" i="6"/>
  <c r="K317" i="6"/>
  <c r="AA317" i="6" s="1"/>
  <c r="K316" i="6"/>
  <c r="AA316" i="6" s="1"/>
  <c r="K315" i="6"/>
  <c r="K314" i="6"/>
  <c r="AA314" i="6" s="1"/>
  <c r="K313" i="6"/>
  <c r="K312" i="6"/>
  <c r="AA312" i="6" s="1"/>
  <c r="M311" i="6"/>
  <c r="K311" i="6"/>
  <c r="K310" i="6"/>
  <c r="AA310" i="6" s="1"/>
  <c r="K309" i="6"/>
  <c r="K308" i="6"/>
  <c r="K307" i="6"/>
  <c r="M306" i="6"/>
  <c r="K306" i="6"/>
  <c r="AA306" i="6" s="1"/>
  <c r="K305" i="6"/>
  <c r="K304" i="6"/>
  <c r="M303" i="6"/>
  <c r="C5" i="31" l="1"/>
  <c r="B5" i="31"/>
  <c r="C6" i="31"/>
  <c r="C2" i="31"/>
  <c r="B6" i="31"/>
  <c r="B2" i="31"/>
  <c r="B10" i="31" s="1"/>
  <c r="I12" i="23"/>
  <c r="I13" i="23"/>
  <c r="I7" i="23"/>
  <c r="I17" i="23"/>
  <c r="AA346" i="6"/>
  <c r="AA349" i="6"/>
  <c r="AA342" i="6"/>
  <c r="AA345" i="6"/>
  <c r="AA341" i="6"/>
  <c r="AA344" i="6"/>
  <c r="AA340" i="6"/>
  <c r="AA347" i="6"/>
  <c r="AA343" i="6"/>
  <c r="AA339" i="6"/>
  <c r="AA338" i="6"/>
  <c r="F70" i="22"/>
  <c r="F74" i="22"/>
  <c r="F101" i="22"/>
  <c r="F100" i="22"/>
  <c r="F105" i="22"/>
  <c r="F109" i="22"/>
  <c r="F108" i="22"/>
  <c r="F107" i="22"/>
  <c r="F106" i="22"/>
  <c r="F50" i="22"/>
  <c r="F54" i="22"/>
  <c r="F56" i="22"/>
  <c r="F58" i="22"/>
  <c r="F60" i="22"/>
  <c r="F93" i="22"/>
  <c r="F97" i="22"/>
  <c r="F104" i="22"/>
  <c r="F103" i="22"/>
  <c r="F102" i="22"/>
  <c r="F99" i="22"/>
  <c r="F76" i="22"/>
  <c r="F78" i="22"/>
  <c r="F83" i="22"/>
  <c r="F86" i="22"/>
  <c r="F77" i="22"/>
  <c r="F82" i="22"/>
  <c r="F96" i="22"/>
  <c r="F95" i="22"/>
  <c r="F94" i="22"/>
  <c r="F92" i="22"/>
  <c r="F91" i="22"/>
  <c r="F90" i="22"/>
  <c r="F88" i="22"/>
  <c r="F87" i="22"/>
  <c r="F85" i="22"/>
  <c r="F84" i="22"/>
  <c r="F43" i="22"/>
  <c r="F44" i="22"/>
  <c r="F47" i="22"/>
  <c r="F49" i="22"/>
  <c r="F57" i="22"/>
  <c r="F63" i="22"/>
  <c r="F65" i="22"/>
  <c r="F67" i="22"/>
  <c r="F81" i="22"/>
  <c r="F80" i="22"/>
  <c r="F79" i="22"/>
  <c r="F73" i="22"/>
  <c r="F72" i="22"/>
  <c r="F71" i="22"/>
  <c r="F69" i="22"/>
  <c r="F68" i="22"/>
  <c r="F66" i="22"/>
  <c r="F64" i="22"/>
  <c r="F62" i="22"/>
  <c r="F61" i="22"/>
  <c r="F59" i="22"/>
  <c r="F55" i="22"/>
  <c r="F53" i="22"/>
  <c r="F52" i="22"/>
  <c r="F51" i="22"/>
  <c r="F48" i="22"/>
  <c r="F46" i="22"/>
  <c r="F45" i="22"/>
  <c r="E19" i="22"/>
  <c r="F19" i="22" s="1"/>
  <c r="F13" i="22"/>
  <c r="F15" i="22"/>
  <c r="F17" i="22"/>
  <c r="F21" i="22"/>
  <c r="F23" i="22"/>
  <c r="F25" i="22"/>
  <c r="F27" i="22"/>
  <c r="F29" i="22"/>
  <c r="F31" i="22"/>
  <c r="F33" i="22"/>
  <c r="F14" i="22"/>
  <c r="F16" i="22"/>
  <c r="F18" i="22"/>
  <c r="F20" i="22"/>
  <c r="F22" i="22"/>
  <c r="F24" i="22"/>
  <c r="F28" i="22"/>
  <c r="F30" i="22"/>
  <c r="F32" i="22"/>
  <c r="F34" i="22"/>
  <c r="F36" i="22"/>
  <c r="F38" i="22"/>
  <c r="F40" i="22"/>
  <c r="F42" i="22"/>
  <c r="AA336" i="6"/>
  <c r="F4" i="22"/>
  <c r="F6" i="22"/>
  <c r="F8" i="22"/>
  <c r="F10" i="22"/>
  <c r="AA335" i="6"/>
  <c r="AA331" i="6"/>
  <c r="F35" i="22"/>
  <c r="F37" i="22"/>
  <c r="F39" i="22"/>
  <c r="F41" i="22"/>
  <c r="AA334" i="6"/>
  <c r="F5" i="22"/>
  <c r="F7" i="22"/>
  <c r="F9" i="22"/>
  <c r="F11" i="22"/>
  <c r="AA333" i="6"/>
  <c r="F26" i="22"/>
  <c r="F3" i="22"/>
  <c r="AA326" i="6"/>
  <c r="AA329" i="6"/>
  <c r="AA325" i="6"/>
  <c r="AA328" i="6"/>
  <c r="AA324" i="6"/>
  <c r="AA327" i="6"/>
  <c r="AA323" i="6"/>
  <c r="AA321" i="6"/>
  <c r="AA319" i="6"/>
  <c r="AA318" i="6"/>
  <c r="AA315" i="6"/>
  <c r="AA313" i="6"/>
  <c r="AA311" i="6"/>
  <c r="AA309" i="6"/>
  <c r="AA307" i="6"/>
  <c r="AA308" i="6"/>
  <c r="AA304" i="6"/>
  <c r="AA305" i="6"/>
  <c r="K303" i="6" l="1"/>
  <c r="O302" i="6"/>
  <c r="M302" i="6"/>
  <c r="K302" i="6"/>
  <c r="M301" i="6"/>
  <c r="K301" i="6"/>
  <c r="AA302" i="6" l="1"/>
  <c r="AA301" i="6"/>
  <c r="AA303" i="6"/>
  <c r="C21" i="10" l="1"/>
  <c r="M21" i="10"/>
  <c r="F21" i="10"/>
  <c r="G21" i="10"/>
  <c r="H21" i="10"/>
  <c r="I21" i="10"/>
  <c r="B21" i="10"/>
  <c r="J21" i="10"/>
  <c r="K21" i="10"/>
  <c r="L21" i="10"/>
  <c r="D21" i="10"/>
  <c r="E21" i="10"/>
  <c r="K300" i="6" l="1"/>
  <c r="K299" i="6"/>
  <c r="K298" i="6"/>
  <c r="K297" i="6"/>
  <c r="AA297" i="6" s="1"/>
  <c r="I6" i="23"/>
  <c r="K295" i="6"/>
  <c r="K294" i="6"/>
  <c r="AA294" i="6" s="1"/>
  <c r="K293" i="6"/>
  <c r="AA293" i="6" s="1"/>
  <c r="K292" i="6"/>
  <c r="AA292" i="6" s="1"/>
  <c r="K291" i="6"/>
  <c r="AA291" i="6" s="1"/>
  <c r="K290" i="6"/>
  <c r="AA290" i="6" s="1"/>
  <c r="K289" i="6"/>
  <c r="AA289" i="6" s="1"/>
  <c r="K288" i="6"/>
  <c r="AA288" i="6" s="1"/>
  <c r="K287" i="6"/>
  <c r="AA287" i="6" s="1"/>
  <c r="O286" i="6"/>
  <c r="K286" i="6"/>
  <c r="K186" i="6"/>
  <c r="AA186" i="6" s="1"/>
  <c r="K284" i="6"/>
  <c r="J283" i="6"/>
  <c r="K282" i="6"/>
  <c r="K281" i="6"/>
  <c r="AA281" i="6" s="1"/>
  <c r="M280" i="6"/>
  <c r="K280" i="6"/>
  <c r="K279" i="6"/>
  <c r="K278" i="6"/>
  <c r="K277" i="6"/>
  <c r="K276" i="6"/>
  <c r="AA276" i="6" s="1"/>
  <c r="K275" i="6"/>
  <c r="AA275" i="6" s="1"/>
  <c r="K283" i="6" l="1"/>
  <c r="AA299" i="6"/>
  <c r="AA300" i="6"/>
  <c r="AA298" i="6"/>
  <c r="AA295" i="6"/>
  <c r="AA278" i="6"/>
  <c r="AA282" i="6"/>
  <c r="AA286" i="6"/>
  <c r="AA279" i="6"/>
  <c r="AA280" i="6"/>
  <c r="AA284" i="6"/>
  <c r="AA277" i="6"/>
  <c r="K273" i="6"/>
  <c r="K272" i="6"/>
  <c r="AA272" i="6" s="1"/>
  <c r="K271" i="6"/>
  <c r="AA271" i="6" s="1"/>
  <c r="K270" i="6"/>
  <c r="AA270" i="6" s="1"/>
  <c r="N29" i="9"/>
  <c r="Q2" i="9"/>
  <c r="I1" i="9"/>
  <c r="K269" i="6"/>
  <c r="AA269" i="6" s="1"/>
  <c r="K268" i="6"/>
  <c r="K267" i="6"/>
  <c r="M266" i="6"/>
  <c r="K266" i="6"/>
  <c r="D1" i="5"/>
  <c r="I251" i="6"/>
  <c r="K251" i="6" s="1"/>
  <c r="K265" i="6"/>
  <c r="K264" i="6"/>
  <c r="AA264" i="6" s="1"/>
  <c r="K263" i="6"/>
  <c r="K262" i="6"/>
  <c r="O261" i="6"/>
  <c r="M261" i="6"/>
  <c r="K261" i="6"/>
  <c r="AA261" i="6" s="1"/>
  <c r="M260" i="6"/>
  <c r="K260" i="6"/>
  <c r="AA260" i="6" s="1"/>
  <c r="K259" i="6"/>
  <c r="AA259" i="6" s="1"/>
  <c r="K258" i="6"/>
  <c r="O257" i="6"/>
  <c r="M257" i="6"/>
  <c r="K257" i="6"/>
  <c r="AA257" i="6" s="1"/>
  <c r="K256" i="6"/>
  <c r="AA256" i="6" s="1"/>
  <c r="K255" i="6"/>
  <c r="K254" i="6"/>
  <c r="AA254" i="6" s="1"/>
  <c r="K253" i="6"/>
  <c r="M252" i="6"/>
  <c r="K252" i="6"/>
  <c r="AA252" i="6" s="1"/>
  <c r="K250" i="6"/>
  <c r="K249" i="6"/>
  <c r="K248" i="6"/>
  <c r="AA248" i="6" s="1"/>
  <c r="K247" i="6"/>
  <c r="AA247" i="6" s="1"/>
  <c r="K246" i="6"/>
  <c r="AA246" i="6" s="1"/>
  <c r="I245" i="6"/>
  <c r="K245" i="6" s="1"/>
  <c r="K244" i="6"/>
  <c r="AA244" i="6" s="1"/>
  <c r="K243" i="6"/>
  <c r="K242" i="6"/>
  <c r="P241" i="6"/>
  <c r="K241" i="6"/>
  <c r="K240" i="6"/>
  <c r="AA240" i="6" s="1"/>
  <c r="K239" i="6"/>
  <c r="K238" i="6"/>
  <c r="O237" i="6"/>
  <c r="K237" i="6"/>
  <c r="K236" i="6"/>
  <c r="M235" i="6"/>
  <c r="K235" i="6"/>
  <c r="K234" i="6"/>
  <c r="K233" i="6"/>
  <c r="K232" i="6"/>
  <c r="K231" i="6"/>
  <c r="AA231" i="6" s="1"/>
  <c r="M230" i="6"/>
  <c r="K230" i="6"/>
  <c r="K229" i="6"/>
  <c r="AA229" i="6" s="1"/>
  <c r="K228" i="6"/>
  <c r="K227" i="6"/>
  <c r="K226" i="6"/>
  <c r="K225" i="6"/>
  <c r="K224" i="6"/>
  <c r="K223" i="6"/>
  <c r="M222" i="6"/>
  <c r="K222" i="6"/>
  <c r="M221" i="6"/>
  <c r="K221" i="6"/>
  <c r="O219" i="6"/>
  <c r="K220" i="6"/>
  <c r="M219" i="6"/>
  <c r="K219" i="6"/>
  <c r="M216" i="6"/>
  <c r="O211" i="6"/>
  <c r="M209" i="6"/>
  <c r="P208" i="6"/>
  <c r="O208" i="6"/>
  <c r="M204" i="6"/>
  <c r="M199" i="6"/>
  <c r="P192" i="6"/>
  <c r="M192" i="6"/>
  <c r="M191" i="6"/>
  <c r="K192" i="6"/>
  <c r="AA192" i="6" s="1"/>
  <c r="K193" i="6"/>
  <c r="AA193" i="6" s="1"/>
  <c r="K194" i="6"/>
  <c r="AA194" i="6" s="1"/>
  <c r="K195" i="6"/>
  <c r="AA195" i="6" s="1"/>
  <c r="K196" i="6"/>
  <c r="AA196" i="6" s="1"/>
  <c r="K197" i="6"/>
  <c r="AA197" i="6" s="1"/>
  <c r="K198" i="6"/>
  <c r="AA198" i="6" s="1"/>
  <c r="K199" i="6"/>
  <c r="AA199" i="6" s="1"/>
  <c r="K200" i="6"/>
  <c r="K201" i="6"/>
  <c r="K202" i="6"/>
  <c r="AA202" i="6" s="1"/>
  <c r="K203" i="6"/>
  <c r="AA203" i="6" s="1"/>
  <c r="K204" i="6"/>
  <c r="K205" i="6"/>
  <c r="AA205" i="6" s="1"/>
  <c r="K206" i="6"/>
  <c r="AA206" i="6" s="1"/>
  <c r="K207" i="6"/>
  <c r="K208" i="6"/>
  <c r="AA208" i="6" s="1"/>
  <c r="K209" i="6"/>
  <c r="AA209" i="6" s="1"/>
  <c r="K210" i="6"/>
  <c r="AA210" i="6" s="1"/>
  <c r="K211" i="6"/>
  <c r="AA211" i="6" s="1"/>
  <c r="K212" i="6"/>
  <c r="K213" i="6"/>
  <c r="AA213" i="6" s="1"/>
  <c r="K214" i="6"/>
  <c r="AA214" i="6" s="1"/>
  <c r="K215" i="6"/>
  <c r="AA215" i="6" s="1"/>
  <c r="K216" i="6"/>
  <c r="AA216" i="6" s="1"/>
  <c r="K217" i="6"/>
  <c r="AA217" i="6" s="1"/>
  <c r="K218" i="6"/>
  <c r="AA218" i="6" s="1"/>
  <c r="K191" i="6"/>
  <c r="Z103" i="6"/>
  <c r="P178" i="6"/>
  <c r="M178" i="6"/>
  <c r="P164" i="6"/>
  <c r="M164" i="6"/>
  <c r="P160" i="6"/>
  <c r="O159" i="6"/>
  <c r="M159" i="6"/>
  <c r="O152" i="6"/>
  <c r="M152" i="6"/>
  <c r="O150" i="6"/>
  <c r="M147" i="6"/>
  <c r="O141" i="6"/>
  <c r="M131" i="6"/>
  <c r="O129" i="6"/>
  <c r="M129" i="6"/>
  <c r="M119" i="6"/>
  <c r="M105" i="6"/>
  <c r="M102" i="6"/>
  <c r="M101" i="6"/>
  <c r="M100" i="6"/>
  <c r="M90" i="6"/>
  <c r="M61" i="6"/>
  <c r="M26" i="6"/>
  <c r="P20" i="6"/>
  <c r="M4" i="6"/>
  <c r="K4" i="6"/>
  <c r="K5" i="6"/>
  <c r="K6" i="6"/>
  <c r="K7" i="6"/>
  <c r="AA7" i="6" s="1"/>
  <c r="K8" i="6"/>
  <c r="K9" i="6"/>
  <c r="AA9" i="6" s="1"/>
  <c r="K10" i="6"/>
  <c r="AA10" i="6" s="1"/>
  <c r="K11" i="6"/>
  <c r="K12" i="6"/>
  <c r="AA12" i="6" s="1"/>
  <c r="K13" i="6"/>
  <c r="AA13" i="6" s="1"/>
  <c r="K14" i="6"/>
  <c r="AA14" i="6" s="1"/>
  <c r="K15" i="6"/>
  <c r="K16" i="6"/>
  <c r="AA16" i="6" s="1"/>
  <c r="K17" i="6"/>
  <c r="K18" i="6"/>
  <c r="AA18" i="6" s="1"/>
  <c r="K19" i="6"/>
  <c r="AA19" i="6" s="1"/>
  <c r="K20" i="6"/>
  <c r="AA20" i="6" s="1"/>
  <c r="K21" i="6"/>
  <c r="K22" i="6"/>
  <c r="AA22" i="6" s="1"/>
  <c r="K23" i="6"/>
  <c r="AA23" i="6" s="1"/>
  <c r="K24" i="6"/>
  <c r="AA24" i="6" s="1"/>
  <c r="K25" i="6"/>
  <c r="AA25" i="6" s="1"/>
  <c r="K26" i="6"/>
  <c r="AA26" i="6" s="1"/>
  <c r="K27" i="6"/>
  <c r="AA27" i="6" s="1"/>
  <c r="K28" i="6"/>
  <c r="K29" i="6"/>
  <c r="K30" i="6"/>
  <c r="AA30" i="6" s="1"/>
  <c r="K31" i="6"/>
  <c r="AA31" i="6" s="1"/>
  <c r="K32" i="6"/>
  <c r="AA32" i="6" s="1"/>
  <c r="K33" i="6"/>
  <c r="K34" i="6"/>
  <c r="AA34" i="6" s="1"/>
  <c r="K35" i="6"/>
  <c r="AA35" i="6" s="1"/>
  <c r="K36" i="6"/>
  <c r="AA36" i="6" s="1"/>
  <c r="K37" i="6"/>
  <c r="AA37" i="6" s="1"/>
  <c r="K38" i="6"/>
  <c r="AA38" i="6" s="1"/>
  <c r="K39" i="6"/>
  <c r="AA39" i="6" s="1"/>
  <c r="K40" i="6"/>
  <c r="AA40" i="6" s="1"/>
  <c r="K41" i="6"/>
  <c r="K42" i="6"/>
  <c r="K43" i="6"/>
  <c r="AA43" i="6" s="1"/>
  <c r="K44" i="6"/>
  <c r="K45" i="6"/>
  <c r="AA45" i="6" s="1"/>
  <c r="K46" i="6"/>
  <c r="AA46" i="6" s="1"/>
  <c r="K47" i="6"/>
  <c r="AA47" i="6" s="1"/>
  <c r="K48" i="6"/>
  <c r="K49" i="6"/>
  <c r="K50" i="6"/>
  <c r="AA50" i="6" s="1"/>
  <c r="K51" i="6"/>
  <c r="K52" i="6"/>
  <c r="K53" i="6"/>
  <c r="K54" i="6"/>
  <c r="AA54" i="6" s="1"/>
  <c r="K55" i="6"/>
  <c r="AA55" i="6" s="1"/>
  <c r="K56" i="6"/>
  <c r="K57" i="6"/>
  <c r="K58" i="6"/>
  <c r="AA58" i="6" s="1"/>
  <c r="K59" i="6"/>
  <c r="AA59" i="6" s="1"/>
  <c r="K60" i="6"/>
  <c r="K61" i="6"/>
  <c r="AA61" i="6" s="1"/>
  <c r="K62" i="6"/>
  <c r="K63" i="6"/>
  <c r="AA63" i="6" s="1"/>
  <c r="K64" i="6"/>
  <c r="AA64" i="6" s="1"/>
  <c r="K65" i="6"/>
  <c r="K66" i="6"/>
  <c r="AA66" i="6" s="1"/>
  <c r="K67" i="6"/>
  <c r="AA67" i="6" s="1"/>
  <c r="K68" i="6"/>
  <c r="AA68" i="6" s="1"/>
  <c r="K69" i="6"/>
  <c r="K70" i="6"/>
  <c r="AA70" i="6" s="1"/>
  <c r="K71" i="6"/>
  <c r="AA71" i="6" s="1"/>
  <c r="K72" i="6"/>
  <c r="AA72" i="6" s="1"/>
  <c r="K73" i="6"/>
  <c r="K74" i="6"/>
  <c r="AA74" i="6" s="1"/>
  <c r="K75" i="6"/>
  <c r="AA75" i="6" s="1"/>
  <c r="K76" i="6"/>
  <c r="K77" i="6"/>
  <c r="K78" i="6"/>
  <c r="AA78" i="6" s="1"/>
  <c r="K79" i="6"/>
  <c r="AA79" i="6" s="1"/>
  <c r="K80" i="6"/>
  <c r="AA80" i="6" s="1"/>
  <c r="K81" i="6"/>
  <c r="K82" i="6"/>
  <c r="AA82" i="6" s="1"/>
  <c r="K83" i="6"/>
  <c r="AA83" i="6" s="1"/>
  <c r="K84" i="6"/>
  <c r="AA84" i="6" s="1"/>
  <c r="K85" i="6"/>
  <c r="AA85" i="6" s="1"/>
  <c r="K86" i="6"/>
  <c r="AA86" i="6" s="1"/>
  <c r="K87" i="6"/>
  <c r="AA87" i="6" s="1"/>
  <c r="K88" i="6"/>
  <c r="AA88" i="6" s="1"/>
  <c r="K89" i="6"/>
  <c r="AA89" i="6" s="1"/>
  <c r="K90" i="6"/>
  <c r="AA90" i="6" s="1"/>
  <c r="K91" i="6"/>
  <c r="AA91" i="6" s="1"/>
  <c r="K92" i="6"/>
  <c r="K93" i="6"/>
  <c r="AA93" i="6" s="1"/>
  <c r="K94" i="6"/>
  <c r="AA94" i="6" s="1"/>
  <c r="K95" i="6"/>
  <c r="AA95" i="6" s="1"/>
  <c r="K96" i="6"/>
  <c r="AA96" i="6" s="1"/>
  <c r="K97" i="6"/>
  <c r="AA97" i="6" s="1"/>
  <c r="K98" i="6"/>
  <c r="AA98" i="6" s="1"/>
  <c r="K99" i="6"/>
  <c r="AA99" i="6" s="1"/>
  <c r="K100" i="6"/>
  <c r="K101" i="6"/>
  <c r="AA101" i="6" s="1"/>
  <c r="K102" i="6"/>
  <c r="AA102" i="6" s="1"/>
  <c r="K103" i="6"/>
  <c r="AA103" i="6" s="1"/>
  <c r="K104" i="6"/>
  <c r="AA104" i="6" s="1"/>
  <c r="K105" i="6"/>
  <c r="AA105" i="6" s="1"/>
  <c r="K106" i="6"/>
  <c r="K107" i="6"/>
  <c r="K108" i="6"/>
  <c r="AA108" i="6" s="1"/>
  <c r="K109" i="6"/>
  <c r="K110" i="6"/>
  <c r="K111" i="6"/>
  <c r="AA111" i="6" s="1"/>
  <c r="K112" i="6"/>
  <c r="K113" i="6"/>
  <c r="AA113" i="6" s="1"/>
  <c r="K114" i="6"/>
  <c r="AA114" i="6" s="1"/>
  <c r="K115" i="6"/>
  <c r="AA115" i="6" s="1"/>
  <c r="K116" i="6"/>
  <c r="AA116" i="6" s="1"/>
  <c r="K117" i="6"/>
  <c r="AA117" i="6" s="1"/>
  <c r="K118" i="6"/>
  <c r="AA118" i="6" s="1"/>
  <c r="K119" i="6"/>
  <c r="AA119" i="6" s="1"/>
  <c r="K120" i="6"/>
  <c r="AA120" i="6" s="1"/>
  <c r="K121" i="6"/>
  <c r="AA121" i="6" s="1"/>
  <c r="K122" i="6"/>
  <c r="K123" i="6"/>
  <c r="AA123" i="6" s="1"/>
  <c r="K124" i="6"/>
  <c r="AA124" i="6" s="1"/>
  <c r="K125" i="6"/>
  <c r="AA125" i="6" s="1"/>
  <c r="K126" i="6"/>
  <c r="AA126" i="6" s="1"/>
  <c r="K127" i="6"/>
  <c r="AA127" i="6" s="1"/>
  <c r="K128" i="6"/>
  <c r="AA128" i="6" s="1"/>
  <c r="K129" i="6"/>
  <c r="AA129" i="6" s="1"/>
  <c r="K130" i="6"/>
  <c r="K131" i="6"/>
  <c r="AA131" i="6" s="1"/>
  <c r="K132" i="6"/>
  <c r="AA132" i="6" s="1"/>
  <c r="K133" i="6"/>
  <c r="AA133" i="6" s="1"/>
  <c r="K134" i="6"/>
  <c r="K135" i="6"/>
  <c r="K136" i="6"/>
  <c r="AA136" i="6" s="1"/>
  <c r="K137" i="6"/>
  <c r="AA137" i="6" s="1"/>
  <c r="K138" i="6"/>
  <c r="K139" i="6"/>
  <c r="AA139" i="6" s="1"/>
  <c r="K140" i="6"/>
  <c r="AA140" i="6" s="1"/>
  <c r="K141" i="6"/>
  <c r="AA141" i="6" s="1"/>
  <c r="K142" i="6"/>
  <c r="AA142" i="6" s="1"/>
  <c r="K143" i="6"/>
  <c r="K144" i="6"/>
  <c r="AA144" i="6" s="1"/>
  <c r="K145" i="6"/>
  <c r="AA145" i="6" s="1"/>
  <c r="K146" i="6"/>
  <c r="AA146" i="6" s="1"/>
  <c r="K147" i="6"/>
  <c r="AA147" i="6" s="1"/>
  <c r="K148" i="6"/>
  <c r="AA148" i="6" s="1"/>
  <c r="K149" i="6"/>
  <c r="AA149" i="6" s="1"/>
  <c r="K150" i="6"/>
  <c r="K151" i="6"/>
  <c r="K152" i="6"/>
  <c r="AA152" i="6" s="1"/>
  <c r="K153" i="6"/>
  <c r="AA153" i="6" s="1"/>
  <c r="K154" i="6"/>
  <c r="K155" i="6"/>
  <c r="AA155" i="6" s="1"/>
  <c r="K156" i="6"/>
  <c r="AA156" i="6" s="1"/>
  <c r="K157" i="6"/>
  <c r="AA157" i="6" s="1"/>
  <c r="K158" i="6"/>
  <c r="K159" i="6"/>
  <c r="AA159" i="6" s="1"/>
  <c r="K160" i="6"/>
  <c r="K161" i="6"/>
  <c r="AA161" i="6" s="1"/>
  <c r="K162" i="6"/>
  <c r="AA162" i="6" s="1"/>
  <c r="K163" i="6"/>
  <c r="K164" i="6"/>
  <c r="AA164" i="6" s="1"/>
  <c r="K165" i="6"/>
  <c r="AA165" i="6" s="1"/>
  <c r="K166" i="6"/>
  <c r="K167" i="6"/>
  <c r="K168" i="6"/>
  <c r="AA168" i="6" s="1"/>
  <c r="K169" i="6"/>
  <c r="AA169" i="6" s="1"/>
  <c r="K170" i="6"/>
  <c r="AA170" i="6" s="1"/>
  <c r="K171" i="6"/>
  <c r="AA171" i="6" s="1"/>
  <c r="K172" i="6"/>
  <c r="AA172" i="6" s="1"/>
  <c r="K173" i="6"/>
  <c r="AA173" i="6" s="1"/>
  <c r="K174" i="6"/>
  <c r="AA174" i="6" s="1"/>
  <c r="K175" i="6"/>
  <c r="AA175" i="6" s="1"/>
  <c r="K176" i="6"/>
  <c r="AA176" i="6" s="1"/>
  <c r="K177" i="6"/>
  <c r="AA177" i="6" s="1"/>
  <c r="K178" i="6"/>
  <c r="AA178" i="6" s="1"/>
  <c r="K179" i="6"/>
  <c r="AA179" i="6" s="1"/>
  <c r="K180" i="6"/>
  <c r="AA180" i="6" s="1"/>
  <c r="K181" i="6"/>
  <c r="AA181" i="6" s="1"/>
  <c r="K182" i="6"/>
  <c r="AA182" i="6" s="1"/>
  <c r="K183" i="6"/>
  <c r="AA183" i="6" s="1"/>
  <c r="K184" i="6"/>
  <c r="AA184" i="6" s="1"/>
  <c r="K185" i="6"/>
  <c r="AA185" i="6" s="1"/>
  <c r="K187" i="6"/>
  <c r="K188" i="6"/>
  <c r="AA188" i="6" s="1"/>
  <c r="K189" i="6"/>
  <c r="AA189" i="6" s="1"/>
  <c r="K190" i="6"/>
  <c r="AA190" i="6" s="1"/>
  <c r="K3" i="6"/>
  <c r="AA6" i="6" l="1"/>
  <c r="AA109" i="6"/>
  <c r="AA62" i="6"/>
  <c r="AA42" i="6"/>
  <c r="AA15" i="6"/>
  <c r="AA11" i="6"/>
  <c r="C3" i="31"/>
  <c r="B3" i="31"/>
  <c r="C7" i="31"/>
  <c r="K7" i="31" s="1"/>
  <c r="B7" i="31"/>
  <c r="C4" i="31"/>
  <c r="B4" i="31"/>
  <c r="AA228" i="6"/>
  <c r="AA283" i="6"/>
  <c r="AA4" i="6"/>
  <c r="AA51" i="6"/>
  <c r="AA76" i="6"/>
  <c r="J20" i="10"/>
  <c r="F20" i="10"/>
  <c r="L20" i="10"/>
  <c r="H20" i="10"/>
  <c r="M20" i="10"/>
  <c r="I20" i="10"/>
  <c r="E20" i="10"/>
  <c r="K20" i="10"/>
  <c r="G20" i="10"/>
  <c r="F5" i="14"/>
  <c r="F9" i="14"/>
  <c r="F13" i="14"/>
  <c r="C9" i="14"/>
  <c r="C13" i="14"/>
  <c r="C12" i="14"/>
  <c r="F6" i="14"/>
  <c r="F10" i="14"/>
  <c r="C6" i="14"/>
  <c r="C10" i="14"/>
  <c r="F11" i="14"/>
  <c r="C3" i="14"/>
  <c r="C11" i="14"/>
  <c r="F12" i="14"/>
  <c r="AA3" i="6"/>
  <c r="AA154" i="6"/>
  <c r="AA150" i="6"/>
  <c r="AA134" i="6"/>
  <c r="AA130" i="6"/>
  <c r="AA122" i="6"/>
  <c r="AA110" i="6"/>
  <c r="AA106" i="6"/>
  <c r="AA191" i="6"/>
  <c r="AA226" i="6"/>
  <c r="AA230" i="6"/>
  <c r="AA235" i="6"/>
  <c r="AA236" i="6"/>
  <c r="AA241" i="6"/>
  <c r="AA266" i="6"/>
  <c r="AA267" i="6"/>
  <c r="AA81" i="6"/>
  <c r="AA77" i="6"/>
  <c r="AA73" i="6"/>
  <c r="AA69" i="6"/>
  <c r="AA65" i="6"/>
  <c r="AA57" i="6"/>
  <c r="AA53" i="6"/>
  <c r="AA49" i="6"/>
  <c r="AA41" i="6"/>
  <c r="AA33" i="6"/>
  <c r="AA29" i="6"/>
  <c r="AA21" i="6"/>
  <c r="AA17" i="6"/>
  <c r="AA5" i="6"/>
  <c r="AA212" i="6"/>
  <c r="AA204" i="6"/>
  <c r="AA225" i="6"/>
  <c r="AA234" i="6"/>
  <c r="AA249" i="6"/>
  <c r="AA253" i="6"/>
  <c r="AA263" i="6"/>
  <c r="AA160" i="6"/>
  <c r="AA112" i="6"/>
  <c r="AA100" i="6"/>
  <c r="AA92" i="6"/>
  <c r="AA60" i="6"/>
  <c r="AA56" i="6"/>
  <c r="AA52" i="6"/>
  <c r="AA44" i="6"/>
  <c r="AA8" i="6"/>
  <c r="AA233" i="6"/>
  <c r="AA239" i="6"/>
  <c r="AA262" i="6"/>
  <c r="AA167" i="6"/>
  <c r="AA163" i="6"/>
  <c r="AA151" i="6"/>
  <c r="AA143" i="6"/>
  <c r="AA135" i="6"/>
  <c r="AA107" i="6"/>
  <c r="AA219" i="6"/>
  <c r="AA220" i="6"/>
  <c r="AA221" i="6"/>
  <c r="AA222" i="6"/>
  <c r="AA223" i="6"/>
  <c r="AA227" i="6"/>
  <c r="AA232" i="6"/>
  <c r="AA237" i="6"/>
  <c r="AA238" i="6"/>
  <c r="AA243" i="6"/>
  <c r="AA255" i="6"/>
  <c r="AA258" i="6"/>
  <c r="AA265" i="6"/>
  <c r="C6" i="10"/>
  <c r="M4" i="10"/>
  <c r="I3" i="10"/>
  <c r="AA273" i="6"/>
  <c r="B7" i="10"/>
  <c r="B4" i="10"/>
  <c r="E3" i="10"/>
  <c r="M3" i="10"/>
  <c r="B5" i="10"/>
  <c r="C4" i="10"/>
  <c r="K3" i="10"/>
  <c r="B3" i="10"/>
  <c r="C3" i="10"/>
  <c r="D4" i="10"/>
  <c r="C5" i="10"/>
  <c r="F3" i="10"/>
  <c r="J3" i="10"/>
  <c r="D7" i="10"/>
  <c r="E7" i="10"/>
  <c r="F7" i="10"/>
  <c r="I7" i="10"/>
  <c r="J7" i="10"/>
  <c r="K7" i="10"/>
  <c r="L7" i="10"/>
  <c r="M7" i="10"/>
  <c r="F6" i="10"/>
  <c r="I6" i="10"/>
  <c r="J6" i="10"/>
  <c r="K6" i="10"/>
  <c r="L6" i="10"/>
  <c r="M6" i="10"/>
  <c r="B6" i="10"/>
  <c r="C7" i="10"/>
  <c r="D3" i="10"/>
  <c r="L3" i="10"/>
  <c r="D5" i="10"/>
  <c r="F5" i="10"/>
  <c r="G5" i="10"/>
  <c r="H5" i="10"/>
  <c r="I5" i="10"/>
  <c r="J5" i="10"/>
  <c r="K5" i="10"/>
  <c r="L5" i="10"/>
  <c r="M5" i="10"/>
  <c r="F4" i="10"/>
  <c r="I4" i="10"/>
  <c r="J4" i="10"/>
  <c r="K4" i="10"/>
  <c r="L4" i="10"/>
  <c r="G1" i="9"/>
  <c r="AA268" i="6"/>
  <c r="AA251" i="6"/>
  <c r="AA250" i="6"/>
  <c r="AA245" i="6"/>
  <c r="AA242" i="6"/>
  <c r="AA224" i="6"/>
  <c r="AA166" i="6"/>
  <c r="AA200" i="6"/>
  <c r="AA28" i="6"/>
  <c r="AA207" i="6"/>
  <c r="AA201" i="6"/>
  <c r="AA48" i="6"/>
  <c r="AA158" i="6"/>
  <c r="AA138" i="6"/>
  <c r="AA187" i="6"/>
  <c r="I4" i="23" l="1"/>
  <c r="A4" i="24" s="1" a="1"/>
  <c r="A4" i="24" s="1"/>
  <c r="C20" i="10"/>
  <c r="F3" i="14"/>
  <c r="L2" i="9"/>
  <c r="O2" i="9"/>
  <c r="Q3" i="9" s="1"/>
  <c r="K1" i="9"/>
  <c r="B1" i="5"/>
  <c r="K2" i="9" l="1"/>
  <c r="P2" i="9"/>
  <c r="P3" i="9" s="1"/>
  <c r="J476" i="6"/>
  <c r="J475" i="6"/>
  <c r="D6" i="10" l="1"/>
  <c r="K478" i="6"/>
  <c r="B22" i="30" l="1"/>
  <c r="D22" i="30" s="1"/>
  <c r="AA478" i="6"/>
  <c r="C4" i="14"/>
  <c r="D20" i="10" l="1"/>
  <c r="F4" i="14"/>
  <c r="J642" i="6" l="1"/>
  <c r="J636" i="6"/>
  <c r="J638" i="6"/>
  <c r="J637" i="6"/>
  <c r="C5" i="14"/>
  <c r="J639" i="6"/>
  <c r="J640" i="6"/>
  <c r="J641" i="6"/>
  <c r="J635" i="6"/>
  <c r="E6" i="10" l="1"/>
  <c r="E4" i="10"/>
  <c r="E5" i="10"/>
  <c r="AA921" i="6" l="1"/>
  <c r="AA922" i="6"/>
  <c r="AA923" i="6"/>
  <c r="AA924" i="6"/>
  <c r="AA925" i="6"/>
  <c r="AA926" i="6"/>
  <c r="AA927" i="6"/>
  <c r="J929" i="6"/>
  <c r="J921" i="6"/>
  <c r="J922" i="6"/>
  <c r="J923" i="6"/>
  <c r="J924" i="6"/>
  <c r="J925" i="6"/>
  <c r="J926" i="6"/>
  <c r="J927" i="6"/>
  <c r="AA920" i="6"/>
  <c r="J920" i="6"/>
  <c r="J930" i="6" l="1"/>
  <c r="AA930" i="6"/>
  <c r="J942" i="6" l="1"/>
  <c r="AA942" i="6"/>
  <c r="J943" i="6"/>
  <c r="AA943" i="6"/>
  <c r="J948" i="6" l="1"/>
  <c r="AA948" i="6"/>
  <c r="AA950" i="6"/>
  <c r="AA951" i="6"/>
  <c r="AA952" i="6"/>
  <c r="AA953" i="6"/>
  <c r="AA955" i="6"/>
  <c r="AA949" i="6"/>
  <c r="J955" i="6"/>
  <c r="J953" i="6"/>
  <c r="G4" i="10" s="1"/>
  <c r="J952" i="6"/>
  <c r="J951" i="6"/>
  <c r="J950" i="6"/>
  <c r="J949" i="6"/>
  <c r="J954" i="6"/>
  <c r="AA954" i="6"/>
  <c r="J956" i="6" l="1"/>
  <c r="AA956" i="6"/>
  <c r="J957" i="6"/>
  <c r="AA957" i="6"/>
  <c r="J958" i="6"/>
  <c r="AA958" i="6"/>
  <c r="AA971" i="6" l="1"/>
  <c r="AA970" i="6"/>
  <c r="AA972" i="6"/>
  <c r="AA973" i="6"/>
  <c r="AA974" i="6"/>
  <c r="AA975" i="6"/>
  <c r="AA976" i="6"/>
  <c r="AA977" i="6"/>
  <c r="AA969" i="6"/>
  <c r="J976" i="6"/>
  <c r="J975" i="6"/>
  <c r="J974" i="6"/>
  <c r="J973" i="6"/>
  <c r="J972" i="6"/>
  <c r="G6" i="10" s="1"/>
  <c r="J971" i="6"/>
  <c r="J970" i="6"/>
  <c r="J969" i="6"/>
  <c r="G7" i="10" s="1"/>
  <c r="AA968" i="6"/>
  <c r="J968" i="6"/>
  <c r="G3" i="10" s="1"/>
  <c r="AA978" i="6" l="1"/>
  <c r="C7" i="14"/>
  <c r="F7" i="14" l="1"/>
  <c r="J988" i="6" l="1"/>
  <c r="AA988" i="6"/>
  <c r="J989" i="6"/>
  <c r="AA989" i="6"/>
  <c r="J987" i="6"/>
  <c r="AA987" i="6"/>
  <c r="J986" i="6"/>
  <c r="AA986" i="6"/>
  <c r="AA991" i="6" l="1"/>
  <c r="AA990" i="6"/>
  <c r="J990" i="6"/>
  <c r="AA996" i="6" l="1"/>
  <c r="AA998" i="6"/>
  <c r="AA997" i="6"/>
  <c r="J998" i="6"/>
  <c r="J997" i="6"/>
  <c r="J996" i="6"/>
  <c r="AA1009" i="6"/>
  <c r="AA1011" i="6"/>
  <c r="AA1008" i="6"/>
  <c r="AA1010" i="6"/>
  <c r="J1011" i="6"/>
  <c r="J1010" i="6"/>
  <c r="J1009" i="6"/>
  <c r="J1008" i="6"/>
  <c r="AA1014" i="6"/>
  <c r="AA1015" i="6"/>
  <c r="AA1016" i="6"/>
  <c r="AA1017" i="6"/>
  <c r="AA1018" i="6"/>
  <c r="AA1013" i="6"/>
  <c r="J1018" i="6"/>
  <c r="J1017" i="6"/>
  <c r="J1016" i="6"/>
  <c r="J1015" i="6"/>
  <c r="J1014" i="6"/>
  <c r="J1013" i="6"/>
  <c r="J1012" i="6"/>
  <c r="AA1012" i="6"/>
  <c r="AA1019" i="6"/>
  <c r="AA1021" i="6"/>
  <c r="AA1022" i="6"/>
  <c r="AA1023" i="6"/>
  <c r="AA1024" i="6"/>
  <c r="AA1025" i="6"/>
  <c r="AA1020" i="6"/>
  <c r="J1025" i="6"/>
  <c r="J1024" i="6"/>
  <c r="J1023" i="6"/>
  <c r="J1022" i="6"/>
  <c r="J1021" i="6"/>
  <c r="J1020" i="6"/>
  <c r="J1019" i="6"/>
  <c r="H3" i="10" l="1"/>
  <c r="H6" i="10"/>
  <c r="H4" i="10"/>
  <c r="H7" i="10"/>
  <c r="K1030" i="6"/>
  <c r="K1031" i="6"/>
  <c r="AA1031" i="6" s="1"/>
  <c r="F2" i="14" l="1"/>
  <c r="AA1030" i="6"/>
  <c r="C8" i="14"/>
  <c r="B20" i="10"/>
  <c r="C2" i="14"/>
  <c r="F8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Souza</author>
    <author>Gilberto Vieira</author>
  </authors>
  <commentList>
    <comment ref="AG2" authorId="0" shapeId="0" xr:uid="{A22582A8-7CE8-47F8-86E5-AC2F4C8C91A1}">
      <text>
        <r>
          <rPr>
            <sz val="11"/>
            <color theme="1"/>
            <rFont val="Calibri"/>
            <family val="2"/>
            <scheme val="minor"/>
          </rPr>
          <t xml:space="preserve">Cristian Souza:
CABEÇOTE, MOTOR, ARREFECIMENTO
</t>
        </r>
      </text>
    </comment>
    <comment ref="G251" authorId="1" shapeId="0" xr:uid="{102ABDC4-D144-4D98-978C-F8C138EB901A}">
      <text>
        <r>
          <rPr>
            <b/>
            <sz val="9"/>
            <color indexed="81"/>
            <rFont val="Segoe UI"/>
            <family val="2"/>
          </rPr>
          <t>Gilberto Vieira:</t>
        </r>
        <r>
          <rPr>
            <sz val="9"/>
            <color indexed="81"/>
            <rFont val="Segoe UI"/>
            <family val="2"/>
          </rPr>
          <t xml:space="preserve">
CARRO LEANDRO</t>
        </r>
      </text>
    </comment>
    <comment ref="A350" authorId="1" shapeId="0" xr:uid="{98010AED-94AC-41C7-BE8A-D25735F19BB6}">
      <text>
        <r>
          <rPr>
            <b/>
            <sz val="9"/>
            <color indexed="81"/>
            <rFont val="Segoe UI"/>
            <family val="2"/>
          </rPr>
          <t>Gilberto Vieira:
OS TRANSFERIDA PARA O MÊS DE FEVEREIRO MAS FOI FECHADA 01/03</t>
        </r>
      </text>
    </comment>
    <comment ref="AB375" authorId="1" shapeId="0" xr:uid="{75C519A4-C8B7-41E4-828B-5BFB0C563424}">
      <text>
        <r>
          <rPr>
            <b/>
            <sz val="9"/>
            <color indexed="81"/>
            <rFont val="Segoe UI"/>
            <family val="2"/>
          </rPr>
          <t>Gilberto Vieira:</t>
        </r>
        <r>
          <rPr>
            <sz val="9"/>
            <color indexed="81"/>
            <rFont val="Segoe UI"/>
            <family val="2"/>
          </rPr>
          <t xml:space="preserve">
FABIANO</t>
        </r>
      </text>
    </comment>
    <comment ref="G854" authorId="0" shapeId="0" xr:uid="{510766A7-1BB1-43B5-AA0C-061D07D15677}">
      <text>
        <r>
          <rPr>
            <sz val="11"/>
            <color theme="1"/>
            <rFont val="Calibri"/>
            <family val="2"/>
            <scheme val="minor"/>
          </rPr>
          <t>Cristian Souza:
CLIENTE CREDITAS</t>
        </r>
      </text>
    </comment>
    <comment ref="F915" authorId="0" shapeId="0" xr:uid="{5255AAA6-2594-451D-A8F6-632577E640A7}">
      <text>
        <r>
          <rPr>
            <sz val="11"/>
            <color theme="1"/>
            <rFont val="Calibri"/>
            <family val="2"/>
            <scheme val="minor"/>
          </rPr>
          <t>Cristian Souza:
garantia</t>
        </r>
      </text>
    </comment>
    <comment ref="G992" authorId="0" shapeId="0" xr:uid="{7719B52A-0C19-43E2-A5FC-936B0193228D}">
      <text>
        <r>
          <rPr>
            <sz val="11"/>
            <color theme="1"/>
            <rFont val="Calibri"/>
            <family val="2"/>
            <scheme val="minor"/>
          </rPr>
          <t>Cristian Souza:
BENEFICIO</t>
        </r>
      </text>
    </comment>
    <comment ref="G1024" authorId="0" shapeId="0" xr:uid="{B08AEA30-369A-457A-84C0-29A778CCA7CB}">
      <text>
        <r>
          <rPr>
            <sz val="11"/>
            <color theme="1"/>
            <rFont val="Calibri"/>
            <family val="2"/>
            <scheme val="minor"/>
          </rPr>
          <t>Cristian Souza:
CREDITAS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Gilberto</author>
  </authors>
  <commentList>
    <comment ref="A12" authorId="0" shapeId="0" xr:uid="{EF654C02-BBF9-43E5-8B86-B242C87636BE}">
      <text>
        <r>
          <rPr>
            <b/>
            <sz val="9"/>
            <color indexed="81"/>
            <rFont val="Tahoma"/>
            <family val="2"/>
          </rPr>
          <t>Gilberto:</t>
        </r>
        <r>
          <rPr>
            <sz val="9"/>
            <color indexed="81"/>
            <rFont val="Tahoma"/>
            <family val="2"/>
          </rPr>
          <t xml:space="preserve">
ÓLEO</t>
        </r>
      </text>
    </comment>
    <comment ref="C272" authorId="0" shapeId="0" xr:uid="{BDBDBB0C-587C-48BB-9A51-05D8371DEB9E}">
      <text>
        <r>
          <rPr>
            <b/>
            <sz val="9"/>
            <color indexed="81"/>
            <rFont val="Tahoma"/>
            <family val="2"/>
          </rPr>
          <t>Gilberto:</t>
        </r>
        <r>
          <rPr>
            <sz val="9"/>
            <color indexed="81"/>
            <rFont val="Tahoma"/>
            <family val="2"/>
          </rPr>
          <t xml:space="preserve">
TROCA DE JUNTA SPIN RFN 6324</t>
        </r>
      </text>
    </comment>
    <comment ref="C316" authorId="0" shapeId="0" xr:uid="{12D3B1CD-5FF7-497D-B647-F1D846BCB18F}">
      <text>
        <r>
          <rPr>
            <b/>
            <sz val="9"/>
            <color indexed="81"/>
            <rFont val="Tahoma"/>
            <family val="2"/>
          </rPr>
          <t>Gilberto:</t>
        </r>
        <r>
          <rPr>
            <sz val="9"/>
            <color indexed="81"/>
            <rFont val="Tahoma"/>
            <family val="2"/>
          </rPr>
          <t xml:space="preserve">
LAVAGEM DA MERCEDES</t>
        </r>
      </text>
    </comment>
    <comment ref="C318" authorId="0" shapeId="0" xr:uid="{3FACFE56-500F-445A-8568-9BA03AFE318F}">
      <text>
        <r>
          <rPr>
            <b/>
            <sz val="9"/>
            <color indexed="81"/>
            <rFont val="Tahoma"/>
            <family val="2"/>
          </rPr>
          <t>Gilberto:</t>
        </r>
        <r>
          <rPr>
            <sz val="9"/>
            <color indexed="81"/>
            <rFont val="Tahoma"/>
            <family val="2"/>
          </rPr>
          <t xml:space="preserve">
PROGRAMAÇÃO DE CHAVE EMULADOR DA MERCEDES - EBE 6886</t>
        </r>
      </text>
    </comment>
    <comment ref="C333" authorId="0" shapeId="0" xr:uid="{B76F8F30-58CD-46E6-ACC6-F7CBF0B99AF3}">
      <text>
        <r>
          <rPr>
            <b/>
            <sz val="9"/>
            <color indexed="81"/>
            <rFont val="Tahoma"/>
            <family val="2"/>
          </rPr>
          <t>Gilberto:</t>
        </r>
        <r>
          <rPr>
            <sz val="9"/>
            <color indexed="81"/>
            <rFont val="Tahoma"/>
            <family val="2"/>
          </rPr>
          <t xml:space="preserve">
BATERIA PARA CONTROLE REMOTO</t>
        </r>
      </text>
    </comment>
    <comment ref="C335" authorId="0" shapeId="0" xr:uid="{199896CD-94D9-4347-B528-A56F94F70FCF}">
      <text>
        <r>
          <rPr>
            <b/>
            <sz val="9"/>
            <color indexed="81"/>
            <rFont val="Tahoma"/>
            <family val="2"/>
          </rPr>
          <t>Gilberto:</t>
        </r>
        <r>
          <rPr>
            <sz val="9"/>
            <color indexed="81"/>
            <rFont val="Tahoma"/>
            <family val="2"/>
          </rPr>
          <t xml:space="preserve">
CONSERTO DE MIOLO - EKK 7857</t>
        </r>
      </text>
    </comment>
    <comment ref="C373" authorId="0" shapeId="0" xr:uid="{B347298F-D947-4954-AC82-BF26C7C354B0}">
      <text>
        <r>
          <rPr>
            <b/>
            <sz val="9"/>
            <color indexed="81"/>
            <rFont val="Tahoma"/>
            <family val="2"/>
          </rPr>
          <t>Gilberto:</t>
        </r>
        <r>
          <rPr>
            <sz val="9"/>
            <color indexed="81"/>
            <rFont val="Tahoma"/>
            <family val="2"/>
          </rPr>
          <t xml:space="preserve">
ANEL DA BOIA DO TANQUE FIAT</t>
        </r>
      </text>
    </comment>
    <comment ref="C374" authorId="0" shapeId="0" xr:uid="{87ED095A-03A8-4BB7-9449-800C1C16C160}">
      <text>
        <r>
          <rPr>
            <b/>
            <sz val="9"/>
            <color indexed="81"/>
            <rFont val="Tahoma"/>
            <family val="2"/>
          </rPr>
          <t>Gilberto:</t>
        </r>
        <r>
          <rPr>
            <sz val="9"/>
            <color indexed="81"/>
            <rFont val="Tahoma"/>
            <family val="2"/>
          </rPr>
          <t xml:space="preserve">
BOMBA DE COMBUSTÍVEL DO UNO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<sst xmlns="http://schemas.openxmlformats.org/spreadsheetml/2006/main" count="5820" uniqueCount="1642">
  <si>
    <t>MÊS</t>
  </si>
  <si>
    <t>JULHO</t>
  </si>
  <si>
    <t>VALOR EM DINHEIRO</t>
  </si>
  <si>
    <t>GASTOS</t>
  </si>
  <si>
    <t>VALOR</t>
  </si>
  <si>
    <t>ALUGUEL</t>
  </si>
  <si>
    <t>BATERIA</t>
  </si>
  <si>
    <t>CESTA BÁSICA</t>
  </si>
  <si>
    <t>ITEM</t>
  </si>
  <si>
    <t>CHUMBO</t>
  </si>
  <si>
    <t>REVITALIZAÇÃO</t>
  </si>
  <si>
    <t>CONSUMO</t>
  </si>
  <si>
    <t>ADITIVO</t>
  </si>
  <si>
    <t>FLUIDO/SANGRIA</t>
  </si>
  <si>
    <t>LIMPEZA DOS FREIOS</t>
  </si>
  <si>
    <t>ENERGIA</t>
  </si>
  <si>
    <t>FILTRO</t>
  </si>
  <si>
    <t>PALHETA</t>
  </si>
  <si>
    <t>DETERGENTE</t>
  </si>
  <si>
    <t>CIA</t>
  </si>
  <si>
    <t>QNTD</t>
  </si>
  <si>
    <t>MECANICO</t>
  </si>
  <si>
    <t>PORTO</t>
  </si>
  <si>
    <t>LIMPEZA</t>
  </si>
  <si>
    <t>JUCIMAR</t>
  </si>
  <si>
    <t>ALD</t>
  </si>
  <si>
    <t>PEÇAS</t>
  </si>
  <si>
    <t>LEANDRO</t>
  </si>
  <si>
    <t>LETS</t>
  </si>
  <si>
    <t>PNEUS</t>
  </si>
  <si>
    <t>NATANAEL</t>
  </si>
  <si>
    <t>PARTICULAR</t>
  </si>
  <si>
    <t>VAGNER</t>
  </si>
  <si>
    <t>ITAU</t>
  </si>
  <si>
    <t>VANDO</t>
  </si>
  <si>
    <t>AZUL</t>
  </si>
  <si>
    <t>PEDRO</t>
  </si>
  <si>
    <t>ARVAL BRASIL</t>
  </si>
  <si>
    <t>OUTROS</t>
  </si>
  <si>
    <t>PNEUSTORE</t>
  </si>
  <si>
    <t>VALE TRANSPORTE</t>
  </si>
  <si>
    <t>JUNHO</t>
  </si>
  <si>
    <t>FATURAMENTO</t>
  </si>
  <si>
    <t>QNTDE</t>
  </si>
  <si>
    <t>PNEUSTORE - PNEU</t>
  </si>
  <si>
    <t>PNEUSTORE - SERVIÇO</t>
  </si>
  <si>
    <t>MODELO</t>
  </si>
  <si>
    <t>PLACA</t>
  </si>
  <si>
    <t>DATA ENTRADA</t>
  </si>
  <si>
    <t>DATA ATUAL</t>
  </si>
  <si>
    <t>DATA SAIDA</t>
  </si>
  <si>
    <t>STATUS</t>
  </si>
  <si>
    <t>DIAS NA OFICINA</t>
  </si>
  <si>
    <t>carro</t>
  </si>
  <si>
    <t>placa</t>
  </si>
  <si>
    <t>HORA ENTRADA</t>
  </si>
  <si>
    <t>data entrada</t>
  </si>
  <si>
    <t>Coluna2</t>
  </si>
  <si>
    <t>data saida</t>
  </si>
  <si>
    <t>DIAS</t>
  </si>
  <si>
    <t>OBS</t>
  </si>
  <si>
    <t>CIVIC</t>
  </si>
  <si>
    <t>FHJ1292</t>
  </si>
  <si>
    <t>ECOSPORT</t>
  </si>
  <si>
    <t>FMQ9000</t>
  </si>
  <si>
    <t>CRETA</t>
  </si>
  <si>
    <t>GDM0138</t>
  </si>
  <si>
    <t>ONIX</t>
  </si>
  <si>
    <t>FXM3D51</t>
  </si>
  <si>
    <t>TIGO5X</t>
  </si>
  <si>
    <t>DRH3282</t>
  </si>
  <si>
    <t>C60</t>
  </si>
  <si>
    <t>EJD4545</t>
  </si>
  <si>
    <t>DBJ2G30</t>
  </si>
  <si>
    <t>FNA0074</t>
  </si>
  <si>
    <t>POLO</t>
  </si>
  <si>
    <t>DRL2700</t>
  </si>
  <si>
    <t>ARIZZO5</t>
  </si>
  <si>
    <t>FOL4J47</t>
  </si>
  <si>
    <t>DIV3284</t>
  </si>
  <si>
    <t>PUNTO</t>
  </si>
  <si>
    <t>FAO7827</t>
  </si>
  <si>
    <t>FIORINO</t>
  </si>
  <si>
    <t>RMK8H75</t>
  </si>
  <si>
    <t>EVOQUE</t>
  </si>
  <si>
    <t>FFS8895</t>
  </si>
  <si>
    <t>PALIO</t>
  </si>
  <si>
    <t>CJC7I05</t>
  </si>
  <si>
    <t>HB20</t>
  </si>
  <si>
    <t>EWB1B78</t>
  </si>
  <si>
    <t>LAMPADAS</t>
  </si>
  <si>
    <t>COMPASS</t>
  </si>
  <si>
    <t>GHT4D57</t>
  </si>
  <si>
    <t>ETIOS</t>
  </si>
  <si>
    <t>FWK8954</t>
  </si>
  <si>
    <t>KA</t>
  </si>
  <si>
    <t>FXK6H78</t>
  </si>
  <si>
    <t>FII4B57</t>
  </si>
  <si>
    <t>RENEGADE</t>
  </si>
  <si>
    <t>EZZ4322</t>
  </si>
  <si>
    <t xml:space="preserve">TIGGO 8 </t>
  </si>
  <si>
    <t>RBY2F93</t>
  </si>
  <si>
    <t>FOX</t>
  </si>
  <si>
    <t>EQX9103</t>
  </si>
  <si>
    <t>DWH4C65</t>
  </si>
  <si>
    <t>MARCH</t>
  </si>
  <si>
    <t>GGC0388</t>
  </si>
  <si>
    <t>KICKS</t>
  </si>
  <si>
    <t>GFY8325</t>
  </si>
  <si>
    <t>FXX3A90</t>
  </si>
  <si>
    <t>AGILE</t>
  </si>
  <si>
    <t>FKF4334</t>
  </si>
  <si>
    <t>KWP6C66</t>
  </si>
  <si>
    <t>COROLLA</t>
  </si>
  <si>
    <t>FEH9264</t>
  </si>
  <si>
    <t>VERSA</t>
  </si>
  <si>
    <t>FWD2C34</t>
  </si>
  <si>
    <t>HRV</t>
  </si>
  <si>
    <t>FWJ2661</t>
  </si>
  <si>
    <t>VOYAGE</t>
  </si>
  <si>
    <t>FEK4A88</t>
  </si>
  <si>
    <t>FRG8753</t>
  </si>
  <si>
    <t>GRAN VITARA</t>
  </si>
  <si>
    <t>FTP8A91</t>
  </si>
  <si>
    <t>FIX6D51</t>
  </si>
  <si>
    <t>EBK0458</t>
  </si>
  <si>
    <t>CRUZE</t>
  </si>
  <si>
    <t>FAU9C16</t>
  </si>
  <si>
    <t>C4 PALLAS</t>
  </si>
  <si>
    <t>FAI7918</t>
  </si>
  <si>
    <t>FNK5A74</t>
  </si>
  <si>
    <t>IDEIA</t>
  </si>
  <si>
    <t>EAL4H99</t>
  </si>
  <si>
    <t>GCI7025</t>
  </si>
  <si>
    <t>SIH2C21</t>
  </si>
  <si>
    <t>TRACKER</t>
  </si>
  <si>
    <t>FYN9D74</t>
  </si>
  <si>
    <t>GOLF</t>
  </si>
  <si>
    <t>GAH7483</t>
  </si>
  <si>
    <t>CELTA</t>
  </si>
  <si>
    <t>EZK9850</t>
  </si>
  <si>
    <t>DRP9J05</t>
  </si>
  <si>
    <t>ZAFIRA</t>
  </si>
  <si>
    <t>FAL6706</t>
  </si>
  <si>
    <t>FUK3165</t>
  </si>
  <si>
    <t xml:space="preserve">GOL </t>
  </si>
  <si>
    <t>QXR7F87</t>
  </si>
  <si>
    <t>FVH2F16</t>
  </si>
  <si>
    <t>LOGAN</t>
  </si>
  <si>
    <t>EVP8942</t>
  </si>
  <si>
    <t>GOL</t>
  </si>
  <si>
    <t>CLL5844</t>
  </si>
  <si>
    <t>FUP6203</t>
  </si>
  <si>
    <t xml:space="preserve">IDEIA </t>
  </si>
  <si>
    <t>ECG9G65</t>
  </si>
  <si>
    <t>RMK8H72</t>
  </si>
  <si>
    <t>EMY5666</t>
  </si>
  <si>
    <t>A3</t>
  </si>
  <si>
    <t>FYL3J48</t>
  </si>
  <si>
    <t>EXR1613</t>
  </si>
  <si>
    <t>C3</t>
  </si>
  <si>
    <t>FXM0165</t>
  </si>
  <si>
    <t>FKN3693</t>
  </si>
  <si>
    <t>FAO0568</t>
  </si>
  <si>
    <t>SPACEFOX</t>
  </si>
  <si>
    <t>FHX9516</t>
  </si>
  <si>
    <t>FIESTA</t>
  </si>
  <si>
    <t>GCY2729</t>
  </si>
  <si>
    <t>FIT</t>
  </si>
  <si>
    <t>FVH1108</t>
  </si>
  <si>
    <t>FSR6176</t>
  </si>
  <si>
    <t>GIJ8C84</t>
  </si>
  <si>
    <t>HB20S</t>
  </si>
  <si>
    <t>PZG0860</t>
  </si>
  <si>
    <t>FLG6F84</t>
  </si>
  <si>
    <t>Q3</t>
  </si>
  <si>
    <t>ENN0G33</t>
  </si>
  <si>
    <t>SPIN</t>
  </si>
  <si>
    <t>SVC8E98</t>
  </si>
  <si>
    <t>KWID</t>
  </si>
  <si>
    <t>RVQ2H11</t>
  </si>
  <si>
    <t>GDQ2677</t>
  </si>
  <si>
    <t>PRISMA</t>
  </si>
  <si>
    <t>EQO9275</t>
  </si>
  <si>
    <t>SEE6J95</t>
  </si>
  <si>
    <t>GCJ2A66</t>
  </si>
  <si>
    <t>FQG8G39</t>
  </si>
  <si>
    <t>FZH2123</t>
  </si>
  <si>
    <t>ELD5189</t>
  </si>
  <si>
    <t>RNA4C15</t>
  </si>
  <si>
    <t>CORSA</t>
  </si>
  <si>
    <t>DQE6836</t>
  </si>
  <si>
    <t>MOBI</t>
  </si>
  <si>
    <t>QOL9J25</t>
  </si>
  <si>
    <t>JIMNY</t>
  </si>
  <si>
    <t>GIP0181</t>
  </si>
  <si>
    <t>FOZ6717</t>
  </si>
  <si>
    <t>FRN1F52</t>
  </si>
  <si>
    <t>SHJ9H45</t>
  </si>
  <si>
    <t>SANDERO</t>
  </si>
  <si>
    <t>EUG6964</t>
  </si>
  <si>
    <t>CLIO</t>
  </si>
  <si>
    <t>DHZ7963</t>
  </si>
  <si>
    <t>DJX1A55</t>
  </si>
  <si>
    <t>DZG4035</t>
  </si>
  <si>
    <t>GKD5758</t>
  </si>
  <si>
    <t>EYF9172</t>
  </si>
  <si>
    <t>GQX3028</t>
  </si>
  <si>
    <t>ENG2295</t>
  </si>
  <si>
    <t>CITY</t>
  </si>
  <si>
    <t>FPZ5G29</t>
  </si>
  <si>
    <t>GAX8F51</t>
  </si>
  <si>
    <t>GAR5G07</t>
  </si>
  <si>
    <t>EBK8263</t>
  </si>
  <si>
    <t>RVI5D90</t>
  </si>
  <si>
    <t>PARATI</t>
  </si>
  <si>
    <t>DMK2457</t>
  </si>
  <si>
    <t>S10</t>
  </si>
  <si>
    <t>CPA3G67</t>
  </si>
  <si>
    <t>FIELDER</t>
  </si>
  <si>
    <t>EBN2728</t>
  </si>
  <si>
    <t>GEI2263</t>
  </si>
  <si>
    <t>DRI7A17</t>
  </si>
  <si>
    <t>DMM6D72</t>
  </si>
  <si>
    <t>FCE8A26</t>
  </si>
  <si>
    <t>AIRCROSS</t>
  </si>
  <si>
    <t>FLB9658</t>
  </si>
  <si>
    <t>TUCSON</t>
  </si>
  <si>
    <t>FTK5289</t>
  </si>
  <si>
    <t>EYK6131</t>
  </si>
  <si>
    <t>EEM6696</t>
  </si>
  <si>
    <t>RBI5A87</t>
  </si>
  <si>
    <t>RANGER</t>
  </si>
  <si>
    <t>CFC2239</t>
  </si>
  <si>
    <t>GIG6912</t>
  </si>
  <si>
    <t>PZQ0795</t>
  </si>
  <si>
    <t>XC60</t>
  </si>
  <si>
    <t>GIB1F33</t>
  </si>
  <si>
    <t>FBU7C31</t>
  </si>
  <si>
    <t>COR2C32</t>
  </si>
  <si>
    <t>ASX</t>
  </si>
  <si>
    <t>FCG1J50</t>
  </si>
  <si>
    <t>EBS0914</t>
  </si>
  <si>
    <t>CSP5862</t>
  </si>
  <si>
    <t>ELK0D94</t>
  </si>
  <si>
    <t>FKD0154</t>
  </si>
  <si>
    <t>ECY3438</t>
  </si>
  <si>
    <t>FQQ6971</t>
  </si>
  <si>
    <t>EZG5413</t>
  </si>
  <si>
    <t>QCZ5425</t>
  </si>
  <si>
    <t>ELANTRA</t>
  </si>
  <si>
    <t>FKX5E16</t>
  </si>
  <si>
    <t>HB20X</t>
  </si>
  <si>
    <t>FTP0966</t>
  </si>
  <si>
    <t>FIT8D51</t>
  </si>
  <si>
    <t>EQH2722</t>
  </si>
  <si>
    <t>DWK9857</t>
  </si>
  <si>
    <t>DZH3833</t>
  </si>
  <si>
    <t>T-CROSS</t>
  </si>
  <si>
    <t>GEE0H37</t>
  </si>
  <si>
    <t>UP</t>
  </si>
  <si>
    <t>FTG9E11</t>
  </si>
  <si>
    <t>FOE6715</t>
  </si>
  <si>
    <t>FRK2330</t>
  </si>
  <si>
    <t>ECS1B07</t>
  </si>
  <si>
    <t>DYH0D69</t>
  </si>
  <si>
    <t>FEL0228</t>
  </si>
  <si>
    <t>CLASSIC</t>
  </si>
  <si>
    <t>EZH0142</t>
  </si>
  <si>
    <t>PAJERO</t>
  </si>
  <si>
    <t>HJL9A38</t>
  </si>
  <si>
    <t>ELF5C07</t>
  </si>
  <si>
    <t>CROSS FOX</t>
  </si>
  <si>
    <t>FFQ1882</t>
  </si>
  <si>
    <t>EZO1674</t>
  </si>
  <si>
    <t>EUI2870</t>
  </si>
  <si>
    <t>GFW9B66</t>
  </si>
  <si>
    <t>GJV6133</t>
  </si>
  <si>
    <t>C4 LOUNG</t>
  </si>
  <si>
    <t>LRY5123</t>
  </si>
  <si>
    <t>GJH9227</t>
  </si>
  <si>
    <t>DCV2577</t>
  </si>
  <si>
    <t>VIRTUS</t>
  </si>
  <si>
    <t>GEQ6H82</t>
  </si>
  <si>
    <t>GDN5064</t>
  </si>
  <si>
    <t>TORO</t>
  </si>
  <si>
    <t>GDV8J31</t>
  </si>
  <si>
    <t>PXH0B44</t>
  </si>
  <si>
    <t>DUSTER</t>
  </si>
  <si>
    <t>DTQ9654</t>
  </si>
  <si>
    <t>IDEA</t>
  </si>
  <si>
    <t>GBD5319</t>
  </si>
  <si>
    <t>RVO1D21</t>
  </si>
  <si>
    <t>RGN6A17</t>
  </si>
  <si>
    <t>SANTA FÉ</t>
  </si>
  <si>
    <t>GBN1204</t>
  </si>
  <si>
    <t>FKE4A88</t>
  </si>
  <si>
    <t>FEK5864</t>
  </si>
  <si>
    <t>EGR8G91</t>
  </si>
  <si>
    <t>QQR5G93</t>
  </si>
  <si>
    <t>GDG1664</t>
  </si>
  <si>
    <t>GIQ1B46</t>
  </si>
  <si>
    <t>GEG2J17</t>
  </si>
  <si>
    <t>FCB6B85</t>
  </si>
  <si>
    <t>FSC7256</t>
  </si>
  <si>
    <t>FJA0119</t>
  </si>
  <si>
    <t>DZA6036</t>
  </si>
  <si>
    <t>DDF9381</t>
  </si>
  <si>
    <t>FTJ9712</t>
  </si>
  <si>
    <t>FWU0329</t>
  </si>
  <si>
    <t>DVN4I28</t>
  </si>
  <si>
    <t>WRV</t>
  </si>
  <si>
    <t>ELW5I06</t>
  </si>
  <si>
    <t>GGP0415</t>
  </si>
  <si>
    <t>DXW8130</t>
  </si>
  <si>
    <t>PND3548</t>
  </si>
  <si>
    <t>BFP</t>
  </si>
  <si>
    <t>SHR9H22</t>
  </si>
  <si>
    <t>EWM1G65</t>
  </si>
  <si>
    <t>ARGO</t>
  </si>
  <si>
    <t>FNN8652</t>
  </si>
  <si>
    <t>MEGANE</t>
  </si>
  <si>
    <t>FGB5C05</t>
  </si>
  <si>
    <t>IX35</t>
  </si>
  <si>
    <t>FNW3736</t>
  </si>
  <si>
    <t>GAP1184</t>
  </si>
  <si>
    <t>RNB1D36</t>
  </si>
  <si>
    <t>FZX7G37</t>
  </si>
  <si>
    <t>QWR6A72</t>
  </si>
  <si>
    <t>FUZ2F23</t>
  </si>
  <si>
    <t>DUG1934</t>
  </si>
  <si>
    <t>FQJ5407</t>
  </si>
  <si>
    <t>DQP3F90</t>
  </si>
  <si>
    <t>GCG4E33</t>
  </si>
  <si>
    <t>EIU3487</t>
  </si>
  <si>
    <t>FNV4837</t>
  </si>
  <si>
    <t>BWW8E12</t>
  </si>
  <si>
    <t>CUM5A89</t>
  </si>
  <si>
    <t>BKM7824</t>
  </si>
  <si>
    <t>GHR9661</t>
  </si>
  <si>
    <t>ASTRA</t>
  </si>
  <si>
    <t>DHU5J68</t>
  </si>
  <si>
    <t>RML8H79</t>
  </si>
  <si>
    <t>EIM9809</t>
  </si>
  <si>
    <t>ELN8329</t>
  </si>
  <si>
    <t>FUC7G57</t>
  </si>
  <si>
    <t>FYZ8H78</t>
  </si>
  <si>
    <t>GFP3F88</t>
  </si>
  <si>
    <t>GGL2056</t>
  </si>
  <si>
    <t>DSS5063</t>
  </si>
  <si>
    <t>FAO4974</t>
  </si>
  <si>
    <t>FVV7297</t>
  </si>
  <si>
    <t>ERI8107</t>
  </si>
  <si>
    <t>JETTA</t>
  </si>
  <si>
    <t>EEX4911</t>
  </si>
  <si>
    <t>QON4220</t>
  </si>
  <si>
    <t>GKA4365</t>
  </si>
  <si>
    <t>FVR8016</t>
  </si>
  <si>
    <t>DYA3993</t>
  </si>
  <si>
    <t>CSQ1H83</t>
  </si>
  <si>
    <t>GCK4768</t>
  </si>
  <si>
    <t>HNZ3609</t>
  </si>
  <si>
    <t>DFS9J35</t>
  </si>
  <si>
    <t>FCA6G26</t>
  </si>
  <si>
    <t>SAVEIRO</t>
  </si>
  <si>
    <t>FRU3386</t>
  </si>
  <si>
    <t>DIN2613</t>
  </si>
  <si>
    <t>FAN5B04</t>
  </si>
  <si>
    <t>RNA4C14</t>
  </si>
  <si>
    <t>FHM8783</t>
  </si>
  <si>
    <t>I30</t>
  </si>
  <si>
    <t>EZH2576</t>
  </si>
  <si>
    <t>FWW8121</t>
  </si>
  <si>
    <t>FAL1105</t>
  </si>
  <si>
    <t>EQUINOX</t>
  </si>
  <si>
    <t>FJU9848</t>
  </si>
  <si>
    <t>EXM1693</t>
  </si>
  <si>
    <t>FAM6094</t>
  </si>
  <si>
    <t>FXQ6991</t>
  </si>
  <si>
    <t>FYK3192</t>
  </si>
  <si>
    <t>FVS9377</t>
  </si>
  <si>
    <t>DLF4872</t>
  </si>
  <si>
    <t>FQH3954</t>
  </si>
  <si>
    <t>CQN5J31</t>
  </si>
  <si>
    <t>IYP6489</t>
  </si>
  <si>
    <t>DGB6661</t>
  </si>
  <si>
    <t>FNB7C81</t>
  </si>
  <si>
    <t>FQV4G18</t>
  </si>
  <si>
    <t>FWS3067</t>
  </si>
  <si>
    <t>EMG9781</t>
  </si>
  <si>
    <t>FSB6662</t>
  </si>
  <si>
    <t>SCENIC</t>
  </si>
  <si>
    <t>DZD8806</t>
  </si>
  <si>
    <t>EPX6801</t>
  </si>
  <si>
    <t>FTU9D79</t>
  </si>
  <si>
    <t>GGR8444</t>
  </si>
  <si>
    <t>GCW6625</t>
  </si>
  <si>
    <t>EXZ5315</t>
  </si>
  <si>
    <t>FCQ7G70</t>
  </si>
  <si>
    <t>GFB9138</t>
  </si>
  <si>
    <t>EBP1533</t>
  </si>
  <si>
    <t>BTZ1112</t>
  </si>
  <si>
    <t>FVN1724</t>
  </si>
  <si>
    <t>FYS5873</t>
  </si>
  <si>
    <t>FMV6C64</t>
  </si>
  <si>
    <t>RNZ5G54</t>
  </si>
  <si>
    <t>EZK3639</t>
  </si>
  <si>
    <t>FAL1618</t>
  </si>
  <si>
    <t>FAE0108</t>
  </si>
  <si>
    <t>OPX1112</t>
  </si>
  <si>
    <t>DRN0363</t>
  </si>
  <si>
    <t>EME0582</t>
  </si>
  <si>
    <t>FDX2E77</t>
  </si>
  <si>
    <t>GHQ8380</t>
  </si>
  <si>
    <t>END8380</t>
  </si>
  <si>
    <t>C280</t>
  </si>
  <si>
    <t>EAT1732</t>
  </si>
  <si>
    <t>DSR4823</t>
  </si>
  <si>
    <t>GKG2G88</t>
  </si>
  <si>
    <t>GFZ9936</t>
  </si>
  <si>
    <t>EVB1728</t>
  </si>
  <si>
    <t>MAS9B81</t>
  </si>
  <si>
    <t>PXF1D17</t>
  </si>
  <si>
    <t>SHB6E40</t>
  </si>
  <si>
    <t>FUZ8C46</t>
  </si>
  <si>
    <t>CAPTIVA</t>
  </si>
  <si>
    <t>FGP5A72</t>
  </si>
  <si>
    <t>RTD4E10</t>
  </si>
  <si>
    <t>FUR2H35</t>
  </si>
  <si>
    <t>BVV2C08</t>
  </si>
  <si>
    <t>CRONOS</t>
  </si>
  <si>
    <t>GGA7H15</t>
  </si>
  <si>
    <t>MINICOOPER</t>
  </si>
  <si>
    <t>EXS2C97</t>
  </si>
  <si>
    <t>FER4936</t>
  </si>
  <si>
    <t>FOH3A02</t>
  </si>
  <si>
    <t>FOJ9360</t>
  </si>
  <si>
    <t>EDGE</t>
  </si>
  <si>
    <t>FBI7B65</t>
  </si>
  <si>
    <t>GDP7C16</t>
  </si>
  <si>
    <t>FTZ8880</t>
  </si>
  <si>
    <t>FBY7C92</t>
  </si>
  <si>
    <t>QQ</t>
  </si>
  <si>
    <t>FJJ8488</t>
  </si>
  <si>
    <t>BZF8J25</t>
  </si>
  <si>
    <t>SIENA</t>
  </si>
  <si>
    <t>EVD9115</t>
  </si>
  <si>
    <t>ENTRADA</t>
  </si>
  <si>
    <t>SAIDA</t>
  </si>
  <si>
    <t>FGK7222</t>
  </si>
  <si>
    <t>FXT4G77</t>
  </si>
  <si>
    <t>QPP1387</t>
  </si>
  <si>
    <t>BZK6H63</t>
  </si>
  <si>
    <t>FMO1095</t>
  </si>
  <si>
    <t>SHL3D10</t>
  </si>
  <si>
    <t>GAF9402</t>
  </si>
  <si>
    <t>FRR7D33</t>
  </si>
  <si>
    <t>FMX5514</t>
  </si>
  <si>
    <t>FOE5800</t>
  </si>
  <si>
    <t>BAK3855</t>
  </si>
  <si>
    <t>EZB8B79</t>
  </si>
  <si>
    <t>FLT0156</t>
  </si>
  <si>
    <t>DZE7077</t>
  </si>
  <si>
    <t>FXU0C21</t>
  </si>
  <si>
    <t>FPZ2773</t>
  </si>
  <si>
    <t>KWO8B11</t>
  </si>
  <si>
    <t>RTD5C97</t>
  </si>
  <si>
    <t>FVE7833</t>
  </si>
  <si>
    <t>FCG7309</t>
  </si>
  <si>
    <t>RVE6D17</t>
  </si>
  <si>
    <t>FDI2418</t>
  </si>
  <si>
    <t>FLN6732</t>
  </si>
  <si>
    <t>GKC9G42</t>
  </si>
  <si>
    <t>FAD6536</t>
  </si>
  <si>
    <t>RNY8F80</t>
  </si>
  <si>
    <t>FGE3425</t>
  </si>
  <si>
    <t>EEV5153</t>
  </si>
  <si>
    <t>GJQ8384</t>
  </si>
  <si>
    <t>ENG0494</t>
  </si>
  <si>
    <t>EUS3703</t>
  </si>
  <si>
    <t>FKE8708</t>
  </si>
  <si>
    <t>KNM2H20</t>
  </si>
  <si>
    <t>EUA5C14</t>
  </si>
  <si>
    <t>EQN6801</t>
  </si>
  <si>
    <t>FQC9304</t>
  </si>
  <si>
    <t>EUK7117</t>
  </si>
  <si>
    <t>PUO7850</t>
  </si>
  <si>
    <t>GCF9B97</t>
  </si>
  <si>
    <t>EMR6628</t>
  </si>
  <si>
    <t>FHY9516</t>
  </si>
  <si>
    <t>FGM3548</t>
  </si>
  <si>
    <t>RTM8C09</t>
  </si>
  <si>
    <t>AXY2H04</t>
  </si>
  <si>
    <t>FDB3J96</t>
  </si>
  <si>
    <t>GEL6423</t>
  </si>
  <si>
    <t>RND9D07</t>
  </si>
  <si>
    <t>ANN3991</t>
  </si>
  <si>
    <t>FXE0D01</t>
  </si>
  <si>
    <t>DMC3680</t>
  </si>
  <si>
    <t>FIH6830</t>
  </si>
  <si>
    <t>FQL9908</t>
  </si>
  <si>
    <t>EMI3041</t>
  </si>
  <si>
    <t>BDC8B08</t>
  </si>
  <si>
    <t>EGZ4C71</t>
  </si>
  <si>
    <t>GFW3C03</t>
  </si>
  <si>
    <t>RVL4C71</t>
  </si>
  <si>
    <t>EMP8009</t>
  </si>
  <si>
    <t>FEA0I98</t>
  </si>
  <si>
    <t>QXO2B24</t>
  </si>
  <si>
    <t>FZL2638</t>
  </si>
  <si>
    <t>FKB2707</t>
  </si>
  <si>
    <t>BEW2B82</t>
  </si>
  <si>
    <t>DOM9064</t>
  </si>
  <si>
    <t>SHT8I12</t>
  </si>
  <si>
    <t>FHA5I12</t>
  </si>
  <si>
    <t>EMN8606</t>
  </si>
  <si>
    <t>FYR0847</t>
  </si>
  <si>
    <t>QNA2I51</t>
  </si>
  <si>
    <t>FLL3246</t>
  </si>
  <si>
    <t>RTM8C45</t>
  </si>
  <si>
    <t>PVU1839</t>
  </si>
  <si>
    <t>EHX3430</t>
  </si>
  <si>
    <t>GJB4G27</t>
  </si>
  <si>
    <t>FKX5416</t>
  </si>
  <si>
    <t>EJH3340</t>
  </si>
  <si>
    <t>BYQ7J23</t>
  </si>
  <si>
    <t>DRB6064</t>
  </si>
  <si>
    <t>GEN4B84</t>
  </si>
  <si>
    <t>BBE6I28</t>
  </si>
  <si>
    <t>EEG4824</t>
  </si>
  <si>
    <t>FUR2C38</t>
  </si>
  <si>
    <t>FCD2586</t>
  </si>
  <si>
    <t>DGW9G47</t>
  </si>
  <si>
    <t>EPA4176</t>
  </si>
  <si>
    <t>PXF1317</t>
  </si>
  <si>
    <t>FJU4D46</t>
  </si>
  <si>
    <t>GET2804</t>
  </si>
  <si>
    <t>GHE6674</t>
  </si>
  <si>
    <t>RMK8H70</t>
  </si>
  <si>
    <t>SHM9G01</t>
  </si>
  <si>
    <t>EXN5G63</t>
  </si>
  <si>
    <t>FIK6096</t>
  </si>
  <si>
    <t>LSR9040</t>
  </si>
  <si>
    <t>FRG4839</t>
  </si>
  <si>
    <t>QNV5579</t>
  </si>
  <si>
    <t>FEK4088</t>
  </si>
  <si>
    <t>OLZ8177</t>
  </si>
  <si>
    <t>EPZ7885</t>
  </si>
  <si>
    <t>AYZ3232</t>
  </si>
  <si>
    <t>FMP3475</t>
  </si>
  <si>
    <t>EBJ9238</t>
  </si>
  <si>
    <t>EEF3528</t>
  </si>
  <si>
    <t>FEZ2A98</t>
  </si>
  <si>
    <t>FTW6559</t>
  </si>
  <si>
    <t>DQL5G77</t>
  </si>
  <si>
    <t>OMH8133</t>
  </si>
  <si>
    <t>FXA9I52</t>
  </si>
  <si>
    <t>QQF8D67</t>
  </si>
  <si>
    <t>EBE4554</t>
  </si>
  <si>
    <t>CUE8G95</t>
  </si>
  <si>
    <t>FKO7695</t>
  </si>
  <si>
    <t>EQZ8600</t>
  </si>
  <si>
    <t>FCO5H38</t>
  </si>
  <si>
    <t>FEZ6J22</t>
  </si>
  <si>
    <t>RTM1C31</t>
  </si>
  <si>
    <t>GCD5308</t>
  </si>
  <si>
    <t>RNS9J03</t>
  </si>
  <si>
    <t>RNN1H30</t>
  </si>
  <si>
    <t>QMU8942</t>
  </si>
  <si>
    <t>PXE0500</t>
  </si>
  <si>
    <t>FZY7D17</t>
  </si>
  <si>
    <t>FDH0300</t>
  </si>
  <si>
    <t>FLI6785</t>
  </si>
  <si>
    <t>FPK4816</t>
  </si>
  <si>
    <t>ANO BASE:</t>
  </si>
  <si>
    <t>MÊS BASE:</t>
  </si>
  <si>
    <t>VALOR FATURADO DE SERVIÇOS POR MECANICO</t>
  </si>
  <si>
    <t>FILTROS</t>
  </si>
  <si>
    <t>DESCRIÇÃO DE SERVIÇOS</t>
  </si>
  <si>
    <t>VALORES POR TIPO DE COMPANHIA</t>
  </si>
  <si>
    <t>DESCRIÇÃO DE GASTOS DO MÊS</t>
  </si>
  <si>
    <t>CARRO</t>
  </si>
  <si>
    <t>CAPTUR</t>
  </si>
  <si>
    <t>COROROLLA</t>
  </si>
  <si>
    <t>SUBARU</t>
  </si>
  <si>
    <t>KANGOO</t>
  </si>
  <si>
    <t>UNO</t>
  </si>
  <si>
    <t>TCROSS</t>
  </si>
  <si>
    <t>LIVINA</t>
  </si>
  <si>
    <t>SPORTAGE</t>
  </si>
  <si>
    <t>TIGUAN</t>
  </si>
  <si>
    <t>MONTANA</t>
  </si>
  <si>
    <t>GHW0639</t>
  </si>
  <si>
    <t>SX4</t>
  </si>
  <si>
    <t>FABIANO</t>
  </si>
  <si>
    <t>MAZINHO</t>
  </si>
  <si>
    <t>SERVIÇOS</t>
  </si>
  <si>
    <t>PNEU</t>
  </si>
  <si>
    <t>M CASSAB</t>
  </si>
  <si>
    <t>IGREJA UNIVERSAL</t>
  </si>
  <si>
    <t>JANEIRO</t>
  </si>
  <si>
    <t>FEVEREIRO</t>
  </si>
  <si>
    <t>MARÇO</t>
  </si>
  <si>
    <t>ABRIL</t>
  </si>
  <si>
    <t>MAIO</t>
  </si>
  <si>
    <t>AGOSTO</t>
  </si>
  <si>
    <t>SETEMBRO</t>
  </si>
  <si>
    <t>OUTUBRO</t>
  </si>
  <si>
    <t>NOVEMBRO</t>
  </si>
  <si>
    <t>DEZEMBRO</t>
  </si>
  <si>
    <t>IMPOSTOS</t>
  </si>
  <si>
    <t>OLEO</t>
  </si>
  <si>
    <t>AGUA</t>
  </si>
  <si>
    <t>IPTU</t>
  </si>
  <si>
    <t>MODELO VEICULO</t>
  </si>
  <si>
    <t>DATA ORÇAMENTO</t>
  </si>
  <si>
    <t>DATA FATURAMENTO</t>
  </si>
  <si>
    <t>NUM_OS</t>
  </si>
  <si>
    <t>CONVERSÃO PNEUSTORE</t>
  </si>
  <si>
    <t>PECAS</t>
  </si>
  <si>
    <t>SERVICOS</t>
  </si>
  <si>
    <t>DETERGENTE DE PARABRISA</t>
  </si>
  <si>
    <t>QUANTIDADE/OLEO</t>
  </si>
  <si>
    <t>VALOR OLEO</t>
  </si>
  <si>
    <t>TIPO/MARCA</t>
  </si>
  <si>
    <t>VALOR TOTAL(S/BATERIA, S/PNEU)</t>
  </si>
  <si>
    <t>FREIOS</t>
  </si>
  <si>
    <t>SUSPENSÃO</t>
  </si>
  <si>
    <t>INJEÇÃO/IGNIÇÃO</t>
  </si>
  <si>
    <t xml:space="preserve">CA. MO. ARR. </t>
  </si>
  <si>
    <t>OUTROS2</t>
  </si>
  <si>
    <t>OLEOS G</t>
  </si>
  <si>
    <t>TRASMISSÃO</t>
  </si>
  <si>
    <t>FYG1414</t>
  </si>
  <si>
    <t>FYG2156</t>
  </si>
  <si>
    <t>ACDELCO</t>
  </si>
  <si>
    <t>FAX2686</t>
  </si>
  <si>
    <t>M48FD</t>
  </si>
  <si>
    <t>PETRONAS</t>
  </si>
  <si>
    <t>BRY2A71</t>
  </si>
  <si>
    <t>M60AD</t>
  </si>
  <si>
    <t>FGT1E65</t>
  </si>
  <si>
    <t>MF72LD</t>
  </si>
  <si>
    <t>OJZ1C05</t>
  </si>
  <si>
    <t>EUB1662</t>
  </si>
  <si>
    <t>VOLKSWAGEM</t>
  </si>
  <si>
    <t>DCH7J30</t>
  </si>
  <si>
    <t>GCA7773</t>
  </si>
  <si>
    <t>FGJ3690</t>
  </si>
  <si>
    <t>FFP2013</t>
  </si>
  <si>
    <t>FNF4708</t>
  </si>
  <si>
    <t>FJU3360</t>
  </si>
  <si>
    <t>BYW1I68</t>
  </si>
  <si>
    <t>Z50ED</t>
  </si>
  <si>
    <t>FUTURA</t>
  </si>
  <si>
    <t>EUW8955</t>
  </si>
  <si>
    <t>FCH4944</t>
  </si>
  <si>
    <t>FJJ8205</t>
  </si>
  <si>
    <t>MENZOIL</t>
  </si>
  <si>
    <t>MAXONOIL</t>
  </si>
  <si>
    <t>FEA7814</t>
  </si>
  <si>
    <t>M50JD</t>
  </si>
  <si>
    <t>FYT3737</t>
  </si>
  <si>
    <t>QPK3903</t>
  </si>
  <si>
    <t>M50ED</t>
  </si>
  <si>
    <t>CCP7405</t>
  </si>
  <si>
    <t>=CONT.SES(Tabela4[FABIANO};</t>
  </si>
  <si>
    <t>RVJ6D90</t>
  </si>
  <si>
    <t>CVB0749</t>
  </si>
  <si>
    <t>FNL1B46</t>
  </si>
  <si>
    <t>GFG2886</t>
  </si>
  <si>
    <t>EQF3398</t>
  </si>
  <si>
    <t>GFZ8422</t>
  </si>
  <si>
    <t>GIE9286</t>
  </si>
  <si>
    <t>DGN8G31</t>
  </si>
  <si>
    <t>FOY0031</t>
  </si>
  <si>
    <t>GBQ7748</t>
  </si>
  <si>
    <t>EUA3425</t>
  </si>
  <si>
    <t>DSL3415</t>
  </si>
  <si>
    <t>SHI4F13</t>
  </si>
  <si>
    <t>FVV0283</t>
  </si>
  <si>
    <t>DWO2C67</t>
  </si>
  <si>
    <t>GDU5G85</t>
  </si>
  <si>
    <t>FAK3273</t>
  </si>
  <si>
    <t>H60HD</t>
  </si>
  <si>
    <t>FUU1362</t>
  </si>
  <si>
    <t>DBW0827</t>
  </si>
  <si>
    <t>FUL0840</t>
  </si>
  <si>
    <t>FGC6579</t>
  </si>
  <si>
    <t>FSP5771</t>
  </si>
  <si>
    <t>BRY2758</t>
  </si>
  <si>
    <t>FVW3E84</t>
  </si>
  <si>
    <t>RTP4F90</t>
  </si>
  <si>
    <t>SHR9H77</t>
  </si>
  <si>
    <t>GHU5103</t>
  </si>
  <si>
    <t>CLS1530</t>
  </si>
  <si>
    <t>EMD2483</t>
  </si>
  <si>
    <t>SDW2I19</t>
  </si>
  <si>
    <t>GJR7778</t>
  </si>
  <si>
    <t>GGV6F38</t>
  </si>
  <si>
    <t>M75LD</t>
  </si>
  <si>
    <t>BSY3494</t>
  </si>
  <si>
    <t>FAK5108</t>
  </si>
  <si>
    <t>EEY5601</t>
  </si>
  <si>
    <t>GJX6696</t>
  </si>
  <si>
    <t>FFB2F44</t>
  </si>
  <si>
    <t>DPL3086</t>
  </si>
  <si>
    <t>M60GD</t>
  </si>
  <si>
    <t>EJI4086</t>
  </si>
  <si>
    <t>EKZ4637</t>
  </si>
  <si>
    <t>AEW3555</t>
  </si>
  <si>
    <t>M40SD</t>
  </si>
  <si>
    <t>EBE0G01</t>
  </si>
  <si>
    <t>DVN5840</t>
  </si>
  <si>
    <t>EUJ1996</t>
  </si>
  <si>
    <t>EXS2F21</t>
  </si>
  <si>
    <t>HDK8I62</t>
  </si>
  <si>
    <t>RTV2I52</t>
  </si>
  <si>
    <t>GEB5110</t>
  </si>
  <si>
    <t>FPN9621</t>
  </si>
  <si>
    <t>ENI3396</t>
  </si>
  <si>
    <t>FWT8024</t>
  </si>
  <si>
    <t>M80RD</t>
  </si>
  <si>
    <t>QWX1H03</t>
  </si>
  <si>
    <t>ELV0262</t>
  </si>
  <si>
    <t>GEO9H88</t>
  </si>
  <si>
    <t>EQL8782</t>
  </si>
  <si>
    <t>FIX4284</t>
  </si>
  <si>
    <t>FEF8157</t>
  </si>
  <si>
    <t>DWT0075</t>
  </si>
  <si>
    <t>FQS5894</t>
  </si>
  <si>
    <t>FWN9663</t>
  </si>
  <si>
    <t>FKE1698</t>
  </si>
  <si>
    <t>FZW1171</t>
  </si>
  <si>
    <t>GCE2845</t>
  </si>
  <si>
    <t>FRX9037</t>
  </si>
  <si>
    <t>PXB8309</t>
  </si>
  <si>
    <t>FHK6177</t>
  </si>
  <si>
    <t>SHH7C07</t>
  </si>
  <si>
    <t>EWW2760</t>
  </si>
  <si>
    <t>QXG1031</t>
  </si>
  <si>
    <t>FZG6852</t>
  </si>
  <si>
    <t>RMI8E32</t>
  </si>
  <si>
    <t>EPY3482</t>
  </si>
  <si>
    <t>OUS0E08</t>
  </si>
  <si>
    <t>PXU7C97</t>
  </si>
  <si>
    <t>EGT0H68</t>
  </si>
  <si>
    <t>BZK3498</t>
  </si>
  <si>
    <t>AYE7042</t>
  </si>
  <si>
    <t>GHT8F12</t>
  </si>
  <si>
    <t>FWR2355</t>
  </si>
  <si>
    <t>FGE1179</t>
  </si>
  <si>
    <t>FZA7C08</t>
  </si>
  <si>
    <t>MOTOCRAFT FORD</t>
  </si>
  <si>
    <t>FJH9387</t>
  </si>
  <si>
    <t>DUC5497</t>
  </si>
  <si>
    <t>DZA9B78</t>
  </si>
  <si>
    <t>FRS1217</t>
  </si>
  <si>
    <t>FQG2575</t>
  </si>
  <si>
    <t>FQE4F02</t>
  </si>
  <si>
    <t>FUP7B58</t>
  </si>
  <si>
    <t>EMV6785</t>
  </si>
  <si>
    <t>DZI2362</t>
  </si>
  <si>
    <t>EUY2B32</t>
  </si>
  <si>
    <t>EJR1605</t>
  </si>
  <si>
    <t>EBT1D28</t>
  </si>
  <si>
    <t>EBF4935</t>
  </si>
  <si>
    <t>DUG4015</t>
  </si>
  <si>
    <t>DOL8517</t>
  </si>
  <si>
    <t>DPJ0639</t>
  </si>
  <si>
    <t>EUR2881</t>
  </si>
  <si>
    <t>FJY2415</t>
  </si>
  <si>
    <t>FIN2135</t>
  </si>
  <si>
    <t>FMI6I51</t>
  </si>
  <si>
    <t>RVJ6D85</t>
  </si>
  <si>
    <t>EZF3E33</t>
  </si>
  <si>
    <t>FRS9221</t>
  </si>
  <si>
    <t>EEC0879</t>
  </si>
  <si>
    <t>EUO0727</t>
  </si>
  <si>
    <t>BWC5233</t>
  </si>
  <si>
    <t>FIA5F04</t>
  </si>
  <si>
    <t>RML3H27</t>
  </si>
  <si>
    <t>GGH2929</t>
  </si>
  <si>
    <t>FLG5465</t>
  </si>
  <si>
    <t>FTF7462</t>
  </si>
  <si>
    <t>FUX0093</t>
  </si>
  <si>
    <t>FLM1676</t>
  </si>
  <si>
    <t>GGZ1348</t>
  </si>
  <si>
    <t>FPP2005</t>
  </si>
  <si>
    <t>FQO3558</t>
  </si>
  <si>
    <t>RTR5I99</t>
  </si>
  <si>
    <t>EST1I34</t>
  </si>
  <si>
    <t>GAG0372</t>
  </si>
  <si>
    <t>FAJ3544</t>
  </si>
  <si>
    <t>DRT4310</t>
  </si>
  <si>
    <t>FQR2108</t>
  </si>
  <si>
    <t>FRS9E79</t>
  </si>
  <si>
    <t>FGW0225</t>
  </si>
  <si>
    <t>FRG4D94</t>
  </si>
  <si>
    <t>QUH2I81</t>
  </si>
  <si>
    <t>GJD4174</t>
  </si>
  <si>
    <t>ENE6684</t>
  </si>
  <si>
    <t>QOD1696</t>
  </si>
  <si>
    <t>DTW6C79</t>
  </si>
  <si>
    <t>MOTORCRAFT FORD</t>
  </si>
  <si>
    <t>MAXOIL</t>
  </si>
  <si>
    <t>HPN50PG</t>
  </si>
  <si>
    <t xml:space="preserve">TOTAL </t>
  </si>
  <si>
    <t>MF60AD</t>
  </si>
  <si>
    <t>PNEUSTORE -SERVIÇO</t>
  </si>
  <si>
    <t>H75PD</t>
  </si>
  <si>
    <t>BYY7974</t>
  </si>
  <si>
    <t>GDN3236</t>
  </si>
  <si>
    <t>Z60D</t>
  </si>
  <si>
    <t>EZG6490</t>
  </si>
  <si>
    <t>EUZ4204</t>
  </si>
  <si>
    <t>FLK9048</t>
  </si>
  <si>
    <t>M50</t>
  </si>
  <si>
    <t>FGC7309</t>
  </si>
  <si>
    <t>EZM4415</t>
  </si>
  <si>
    <t>EMN6J28</t>
  </si>
  <si>
    <t>GGD1E87</t>
  </si>
  <si>
    <t>10761-10788</t>
  </si>
  <si>
    <t>EWV8708</t>
  </si>
  <si>
    <t>FFM8A61</t>
  </si>
  <si>
    <t>FWI8978</t>
  </si>
  <si>
    <t>DWH4265</t>
  </si>
  <si>
    <t>EDE8683</t>
  </si>
  <si>
    <t>FRO5543</t>
  </si>
  <si>
    <t>FWO2234</t>
  </si>
  <si>
    <t>FAI7818</t>
  </si>
  <si>
    <t>GCP4F66</t>
  </si>
  <si>
    <t>GCY7025</t>
  </si>
  <si>
    <t>GFG4342</t>
  </si>
  <si>
    <t>OYR2F76</t>
  </si>
  <si>
    <t>EIO2703</t>
  </si>
  <si>
    <t>FRH2G37</t>
  </si>
  <si>
    <t>ELG3839</t>
  </si>
  <si>
    <t>DOE1286</t>
  </si>
  <si>
    <t>10846 - 10900</t>
  </si>
  <si>
    <t>FCG9683</t>
  </si>
  <si>
    <t>10851 -10899</t>
  </si>
  <si>
    <t>EJA7963</t>
  </si>
  <si>
    <t>VOLKSWAGEN/FOX/PLUS 1.6 MI TOTAL FLEX</t>
  </si>
  <si>
    <t>HYUNDAI/HB20/PREMIUM 1.6 16V FLEX AUT.</t>
  </si>
  <si>
    <t>CITROEN/NOVO C3 HATCH/ATTRACTION 1.5 8V FLEX</t>
  </si>
  <si>
    <t>VOLKSWAGEN/NOVO FOX/1.6 8V TOTAL FLEX</t>
  </si>
  <si>
    <t>VOLKSWAGEN/POLO HATCH/1.6 MI(N LINHA)</t>
  </si>
  <si>
    <t>DZJ4688</t>
  </si>
  <si>
    <t>HONDA/FIT/LX-AT 1.4 8V</t>
  </si>
  <si>
    <t>VOLKSWAGEN/NOVO FOX/IMOTION 1.6 TOTAL FLEX</t>
  </si>
  <si>
    <t>AUDI/A3 SEDAN/1.4 TFSI 150CV FLEX TIP.</t>
  </si>
  <si>
    <t>VOLKSWAGEN/NOVA SPACEFOX/TREND 1.6 TOTAL FLEX</t>
  </si>
  <si>
    <t>RML8H75</t>
  </si>
  <si>
    <t>FIAT/NOVA FIORINO/ENDURANCE 1.4 EVO FLEX</t>
  </si>
  <si>
    <t>VOLKSWAGEN/GOL/1.6 MI</t>
  </si>
  <si>
    <t>FYC3J48</t>
  </si>
  <si>
    <t>AUDI/A3 SEDAN/1.4 TFSI STRONIC</t>
  </si>
  <si>
    <t>FIAT/NOVO PALIO/ATTRACTIVE 1.4 EVO FLEX</t>
  </si>
  <si>
    <t>AUDI/Q3/PRESTIGE PLUS 1.4 TFSI STRON.</t>
  </si>
  <si>
    <t>HEFB72PD</t>
  </si>
  <si>
    <t>FHJ3993</t>
  </si>
  <si>
    <t>HYUNDAI/HB20/SPICY 1.6 16V FLEX AUT.</t>
  </si>
  <si>
    <t>FIA9254</t>
  </si>
  <si>
    <t>TOYOTA/COROLLA SEDAN/GLI 1.8 16V FLEX AUT.</t>
  </si>
  <si>
    <t>GJW7J17</t>
  </si>
  <si>
    <t>CAOA CHERY/TIGGO/3X PLUS 1.0 TURBO FLEX AUT.</t>
  </si>
  <si>
    <t>EJB6550</t>
  </si>
  <si>
    <t>RENAULT/KWID/ZEN 1.0 12V FLEX</t>
  </si>
  <si>
    <t>CHEVROLET/PRISMA/MAXX 1.4 8V ECONOFLEX</t>
  </si>
  <si>
    <t>FVG1H81</t>
  </si>
  <si>
    <t>VOLKSWAGEN/T-CROSS/HIGHLINE 1.4 16V TSI FLEX AUT.</t>
  </si>
  <si>
    <t>GBF5048</t>
  </si>
  <si>
    <t>FIAT/MOBI/LIKE 1.0 8V FLEX</t>
  </si>
  <si>
    <t>FIAT/PALIO/CELEBRATION 1.0 FLEX ECONOMY</t>
  </si>
  <si>
    <t>TOYOTA/COROLLA SEDAN/XEI 2.0 16V FLEX AUT.</t>
  </si>
  <si>
    <t>CHEVROLET/AGILE/LTZ 1.4 8V ECONOFLEX</t>
  </si>
  <si>
    <t>EXT2225</t>
  </si>
  <si>
    <t>RENAULT/DUSTER/DYNAMIQUE 1.6 16V 4X2 FLEX</t>
  </si>
  <si>
    <t>PXZ4951</t>
  </si>
  <si>
    <t>RENAULT/DUSTER/DYNAMIQUE 2.0 16V 4X2 FLEX AUT</t>
  </si>
  <si>
    <t>FIAT/MOBI/DRIVE 1.0 6V FLEX</t>
  </si>
  <si>
    <t>FCG6982</t>
  </si>
  <si>
    <t>FIAT/IDEA/ADVENTURE 1.8 16V FLEX</t>
  </si>
  <si>
    <t>H60DD</t>
  </si>
  <si>
    <t>RENAULT/SANDERO/EXPRESSION 1.6 8V HI-FLEX</t>
  </si>
  <si>
    <t>HONDA/CIVIC SEDAN/LXS-MT 1.8 16V FLEX</t>
  </si>
  <si>
    <t>HONDA/NOVO CIVIC SEDAN (G10)/EXL-AT 2.0 16V FLEX</t>
  </si>
  <si>
    <t>RENAULT/LOGAN SEDAN/LIFE 1.0 12V SCE FLEX</t>
  </si>
  <si>
    <t>HONDA/NOVO FIT/EX-AT 1.5 I-VTEC FLEXONE</t>
  </si>
  <si>
    <t>EQK3028</t>
  </si>
  <si>
    <t>HONDA/CITY SEDAN/EX-AT 1.5 16V FLEX</t>
  </si>
  <si>
    <t>QQU6A42</t>
  </si>
  <si>
    <t xml:space="preserve">FORD/NOVO KA/SE 1.0 12V FLEX	</t>
  </si>
  <si>
    <t>FORD/NOVO FIESTA HATCH/1.6 16V 125CV FLEX AUT.</t>
  </si>
  <si>
    <t>FIAT/NOVO PALIO/ATTRACTIVE 1.0 EVO FLEX</t>
  </si>
  <si>
    <t>CHEVROLET/NOVA S10 CAB DUPLA/LTZ 2.5 ECOTEC 4X2 AUT.</t>
  </si>
  <si>
    <t>TOYOTA/ETIOS HATCH/X PLUS 1.5 16V FLEX AUT.</t>
  </si>
  <si>
    <t>HONDA/NOVO FIT/LX-AT 1.5 I-VTEC FLEXONE</t>
  </si>
  <si>
    <t>FMD7F48</t>
  </si>
  <si>
    <t>HYUNDAI/HB20/COMFORT PLUS 1.6 16V FLEX AUT.</t>
  </si>
  <si>
    <t>CHERY/TIGGO/5X T 1.5 16V TURBO FLEX AUT.</t>
  </si>
  <si>
    <t>EEV6696</t>
  </si>
  <si>
    <t>FORD/FIESTA HATCH/1.6 MPI FLEX</t>
  </si>
  <si>
    <t>FORD/NOVO KA/FREESTYLE 1.5 12V FLEX AUT.</t>
  </si>
  <si>
    <t>HYUNDAI/TUCSON/2.0 16V 4X2 AUT.</t>
  </si>
  <si>
    <t>FORD/RANGER/STX 4.0 V6 4X2</t>
  </si>
  <si>
    <t>RENAULT/SANDERO/STEPWAY 1.6 16V SCE FLEX</t>
  </si>
  <si>
    <t>EXW1G14</t>
  </si>
  <si>
    <t>CHEVROLET/NOVO ONIX/1.0 12V TURBO FLEX AUT.</t>
  </si>
  <si>
    <t>HYUNDAI/NOVO ELANTRA/GLS 1.8 16V AUT.</t>
  </si>
  <si>
    <t>TOYOTA/ETIOS HATCH/X 1.3 16V FLEX</t>
  </si>
  <si>
    <t>VOLKSWAGEN/FOX/CITY 1.0 MI TOTAL FLEX</t>
  </si>
  <si>
    <t>HONDA/NOVO FIT/PERSONAL-AT 1.5 IVTEC FLEX</t>
  </si>
  <si>
    <t>FORD/NOVO KA/SE/SE PLUS 1.0 TICVT FLEX</t>
  </si>
  <si>
    <t>HONDA/CITY SEDAN/LX-AT 1.5 16V FLEX</t>
  </si>
  <si>
    <t>JEEP/RENEGADE/PCD 1.8 16V FLEX 4X2 AUT.</t>
  </si>
  <si>
    <t>VOLKSWAGEN/PARATI/1.8 MI GIII</t>
  </si>
  <si>
    <t>GEF9A94</t>
  </si>
  <si>
    <t>HYUNDAI/CRETA/CRETA 16A SMT PL</t>
  </si>
  <si>
    <t>EQX5H17</t>
  </si>
  <si>
    <t>HONDA/FIT/LX-AT 1.4 FLEX</t>
  </si>
  <si>
    <t>EJJ8330</t>
  </si>
  <si>
    <t>CHEVROLET/VECTRA SEDAN/ELEGANCE 2.0 8V FLEX</t>
  </si>
  <si>
    <t>EFC2478</t>
  </si>
  <si>
    <t>FORD/FIESTA SEDAN/1.0 8V FLEX</t>
  </si>
  <si>
    <t>FAZ6443</t>
  </si>
  <si>
    <t>NISSAN/MARCH/S 1.6 16V FLEX</t>
  </si>
  <si>
    <t>ELK0394</t>
  </si>
  <si>
    <t>HONDA/CIVIC SEDAN/LXS-AT 1.8 16V FLEX</t>
  </si>
  <si>
    <t>CHEVROLET/TRACKER/CHEVROLET TRACKER PREMIER 1.4</t>
  </si>
  <si>
    <t>FXI0015</t>
  </si>
  <si>
    <t>VOLKSWAGEN/NOVO POLO/HIGHLINE 200 TSI 1.0 FLEX AUT.</t>
  </si>
  <si>
    <t>BBZ0165</t>
  </si>
  <si>
    <t>VOLKSWAGEN/NOVO GOLF/HIGHLINE 1.4 TSI TOTALFLEX AUT</t>
  </si>
  <si>
    <t>EMF2181</t>
  </si>
  <si>
    <t>CHEVROLET/MERIVA/JOY 1.4 8V ECONOFLEX</t>
  </si>
  <si>
    <t>DCU2J61</t>
  </si>
  <si>
    <t>TOYOTA/COROLLA SEDAN/ALTIS 2.0 16V FLEX AUT.</t>
  </si>
  <si>
    <t>HONDA/FIT/LX-MT 1.4 FLEX</t>
  </si>
  <si>
    <t>GVF5057</t>
  </si>
  <si>
    <t>CHEVROLET/ASTRA HATCH/GLS 2.0 8V MPFI</t>
  </si>
  <si>
    <t>FMA9653</t>
  </si>
  <si>
    <t>FIAT/ARGO/DRIVE 1.0 6V FLEX</t>
  </si>
  <si>
    <t>VOLKSWAGEN/T-CROSS/1.0 12V TSI FLEX AUT.</t>
  </si>
  <si>
    <t>BPH3H52</t>
  </si>
  <si>
    <t>JEEP/RENEGADE/LIMITED 1.8 16V FLEX AUT.</t>
  </si>
  <si>
    <t>PEUGEOT/207 HATCH/XR 1.4 8V FLEX</t>
  </si>
  <si>
    <t>CHEVROLET/CORSA/HATCH MAXX 1.4 8V ECONOFLEX</t>
  </si>
  <si>
    <t>FIAT/PALIO/CELEBRATION 1.0 8V FLEX</t>
  </si>
  <si>
    <t>HONDA/NOVO CIVIC SEDAN/LXR-AT 2.0 16V FLEX</t>
  </si>
  <si>
    <t>CHEVROLET/NOVO PRISMA SEDAN/LT 1.4 8V FLEXPOWER</t>
  </si>
  <si>
    <t>CHEVROLET/NOVO ONIX SEDAN/PLUS LTZ 1.0 12V TB FLEX AUT.</t>
  </si>
  <si>
    <t>VOLKSWAGEN/NOVO CROSSFOX/IMOTION 1.6 8V TOTAL FLEX</t>
  </si>
  <si>
    <t>HYUNDAI/HB20/X PREMIUM 1.6 16V FLEX AUT.</t>
  </si>
  <si>
    <t>VOLKSWAGEN/NOVO VOYAGE/1.6 16V MSI FLEX AUT.</t>
  </si>
  <si>
    <t>HONDA/NOVO CIVIC SEDAN (G10)/EX-AT 2.0 16V FLEX</t>
  </si>
  <si>
    <t>CITROEN/NOVO C4 LOUNGE/EXCLUSIVE 1.6 TURBO FLEX AUT.</t>
  </si>
  <si>
    <t>CHEVROLET/CRUZE SEDAN/LT 1.8 16V FLEX AUT.</t>
  </si>
  <si>
    <t>ELD5I89</t>
  </si>
  <si>
    <t>FIAT/FIORINO/1.4 EVO</t>
  </si>
  <si>
    <t>CHEVROLET/NOVA TRACKER/1.0 12V TURBO FLEX AUT.</t>
  </si>
  <si>
    <t>VOLKSWAGEN/T-CROSS/SENSE PCD 1.0 12V TSI FLEX</t>
  </si>
  <si>
    <t>FIAT/TORO CABINE DUPLA/ENDURANCE 1.8 16V FLEX AUT.</t>
  </si>
  <si>
    <t>HYUNDAI/SANTA FE/GLS 3.3 V6 4X4 TIP.</t>
  </si>
  <si>
    <t>TOYOTA/ETIOS SEDAN/XS 1.5 16V FLEX AUT.</t>
  </si>
  <si>
    <t>FVZ7C86</t>
  </si>
  <si>
    <t>HONDA/NOVO CIVIC SEDAN/LXL-AT 1.8 16V FLEX</t>
  </si>
  <si>
    <t>HONDA/HR-V/EX-AT 1.8 16V I-VTEC FLEX</t>
  </si>
  <si>
    <t>JEEP/RENEGADE/STD 1.8 16V FLEX 4X2 AUT.</t>
  </si>
  <si>
    <t>RMR0026</t>
  </si>
  <si>
    <t>FIAT/IDEA/ESSENCE 1.6 16V FLEX</t>
  </si>
  <si>
    <t>RENAULT/NOVO LOGAN/DYNAMIQUE 1.6 16V SCE FLEX</t>
  </si>
  <si>
    <t>CHEVROLET/NOVO CLASSIC SEDAN/LS 1.0 VHCE FLEX</t>
  </si>
  <si>
    <t>VOLKSWAGEN/VIRTUS/1.6 MSI FLEX AUT.</t>
  </si>
  <si>
    <t>VOLKSWAGEN/NOVO VOYAGE/COMFORT.IMOTION 1.6 FLEX GV</t>
  </si>
  <si>
    <t>FAJ1045</t>
  </si>
  <si>
    <t>HONDA/NOVO CIVIC SEDAN/EXS-AT 1.8 16V FLEX</t>
  </si>
  <si>
    <t>FGB3706</t>
  </si>
  <si>
    <t>VOLKSWAGEN/NOVO FOX/1.0 8V TOTAL FLEX</t>
  </si>
  <si>
    <t>QOO2354</t>
  </si>
  <si>
    <t>FORD/NOVO KA/SE/SE PLUS 1.5 16V FLEX</t>
  </si>
  <si>
    <t>GJO5J17</t>
  </si>
  <si>
    <t>FTK3714</t>
  </si>
  <si>
    <t>CHEVROLET/ONIX HATCH/JOY 1.0 8V FLEX</t>
  </si>
  <si>
    <t>EFK1314</t>
  </si>
  <si>
    <t>FORD/NOVO ECOSPORT/FREESTYLE 1.5 FLEX</t>
  </si>
  <si>
    <t>ERA9A46</t>
  </si>
  <si>
    <t>HONDA/NOVO FIT/EXL-AT 1.5 I-VTEC FLEXONE</t>
  </si>
  <si>
    <t>VOLKSWAGEN/NOVO VOYAGE/1.0 12V FLEX</t>
  </si>
  <si>
    <t>CHEVROLET/NOVO ONIX/LT 1.0 12V TURBO FLEX AUT.</t>
  </si>
  <si>
    <t>JEEP/RENEGADE/SPORT 1.8 16V FLEX AUT.</t>
  </si>
  <si>
    <t>FORD/FIESTA HATCH/GL CLASS 1.0 MPI</t>
  </si>
  <si>
    <t>FIAT/MOBI/WAY 1.0 8V FLEX</t>
  </si>
  <si>
    <t>TOYOTA/COROLLA SEDAN/GLI UPPER 1.8 16V FLEX AUT.</t>
  </si>
  <si>
    <t>FSB5593</t>
  </si>
  <si>
    <t>CHEVROLET/ONIX HATCH/LT 1.0 8V FLEX</t>
  </si>
  <si>
    <t>HNP50GD</t>
  </si>
  <si>
    <t>GJC6928</t>
  </si>
  <si>
    <t>TOYOTA/YARIS HATCH/XS 1.5 16V FLEX AUT.</t>
  </si>
  <si>
    <t>FWQ1A76</t>
  </si>
  <si>
    <t>CHEVROLET/NOVA TRACKER/LT 1.0 12V TURBO FLEX AUT.</t>
  </si>
  <si>
    <t>HONDA/WR-V/LX-AT 1.5 16V FLEX</t>
  </si>
  <si>
    <t>EXX7G45</t>
  </si>
  <si>
    <t>VOLKSWAGEN/NOVO POLO/COMFORTL.200 TSI 1.0 FLEX AUT.</t>
  </si>
  <si>
    <t>EUT6003</t>
  </si>
  <si>
    <t>MITSUBISHI/PAJERO TR4/2.0 4X4 FLEX AUT.</t>
  </si>
  <si>
    <t>EVQ4H52</t>
  </si>
  <si>
    <t>FORD/NOVO KA+ SEDAN/TITANIUM 1.5 12V FLEX AUT.</t>
  </si>
  <si>
    <t>DSS1574</t>
  </si>
  <si>
    <t>TOYOTA/COROLLA SW/FIELDER XEI 1.8 16V AUT.</t>
  </si>
  <si>
    <t>FUA4833</t>
  </si>
  <si>
    <t>FORD/NOVO ECOSPORT/FREESTYLE 1.6 16V FLEX</t>
  </si>
  <si>
    <t>FIAT/PUNTO HATCH/ESSENCE 1.6 16V FLEX</t>
  </si>
  <si>
    <t>EVQ8484</t>
  </si>
  <si>
    <t>CHEVROLET/NOVA TRACKER/PREMIER 1.4 16V TB FLEX AUT.</t>
  </si>
  <si>
    <t>CHEVROLET/CELTA/LIFE 1.0 8V FLEXPOWER</t>
  </si>
  <si>
    <t>FIAT/NOVA FIORINO/1.4 8V EVO FLEX</t>
  </si>
  <si>
    <t>RENAULT/CLIO HATCH/AUTHENTIQUE 1.0 16V HI-FLEX</t>
  </si>
  <si>
    <t>HYUNDAI/IX35/GLS 2.0 16V FLEX 4X2 AUT.</t>
  </si>
  <si>
    <t>HONDA/WR-V/EXL-AT 1.5 16V FLEX</t>
  </si>
  <si>
    <t>CHEVROLET/NOVO ONIX SEDAN/PLUS LT 1.0 12V FLEX</t>
  </si>
  <si>
    <t>HYUNDAI/HB20S/PREMIUM 1.6 16V FLEX AUT.</t>
  </si>
  <si>
    <t>VOLKSWAGEN/CROSSFOX/1.6 MI TOTAL FLEX</t>
  </si>
  <si>
    <t>VOLKSWAGEN/VIRTUS/1.6 MSI FLEX</t>
  </si>
  <si>
    <t>ESL4974</t>
  </si>
  <si>
    <t>HYUNDAI/CRETA/ATTITUDE PCD 1.6 16V FLEX AUT.</t>
  </si>
  <si>
    <t>FWJ6688</t>
  </si>
  <si>
    <t>RENAULT/MEGANE GRAND TOUR/DYNAMIQUE 1.6 16V FLEX</t>
  </si>
  <si>
    <t>HYUNDAI/HB20/COMFORT 1.6 16V FLEX</t>
  </si>
  <si>
    <t>JEEP/COMPASS/LONGITUDE 2.0 16V 4X2 FLEX AUT</t>
  </si>
  <si>
    <t>CHEVROLET/SPIN/LT 1.8 8V ECONOFLEX AUT.</t>
  </si>
  <si>
    <t>DOT6720</t>
  </si>
  <si>
    <t>HONDA</t>
  </si>
  <si>
    <t>BPV5B18</t>
  </si>
  <si>
    <t>VOLKSWAGEN/SEDAN/FUSCA 1500</t>
  </si>
  <si>
    <t>JEEP/RENEGADE/1.8 16V FLEX 4X2 AUT.</t>
  </si>
  <si>
    <t>RENAULT/SANDERO/TECHRUN 1.0 16V FLEX</t>
  </si>
  <si>
    <t>GGZ2A34</t>
  </si>
  <si>
    <t>HYUNDAI/HB20/UNIQUE 1.0 12V FLEX</t>
  </si>
  <si>
    <t>VOLVO/XC60/T-5 KINETIC 2.0 245CV FWD</t>
  </si>
  <si>
    <t>FORD/NOVO KA+ SEDAN/NOVO KA + SEDAN 1.5 TIT 12V</t>
  </si>
  <si>
    <t>PEUGEOT/2008/ALLURE 1.6 16V FLEX AUT.</t>
  </si>
  <si>
    <t>RENAULT/SANDERO/PRIVILEGE 1.6 16V HI-FLEX AUT.</t>
  </si>
  <si>
    <t>DGE9B79</t>
  </si>
  <si>
    <t>FORD/NOVO KA+ SEDAN/SE PCD 1.5 12V FLEX AUT.</t>
  </si>
  <si>
    <t>VOLKSWAGEN/NOVO FOX GIII/CONNECT 1.6 8V FLEX</t>
  </si>
  <si>
    <t>HYUNDAI/HB20/COMFORT PLUS 1.6 16V FLEX</t>
  </si>
  <si>
    <t>HONDA/FIT/LX-MT 1.4 8V</t>
  </si>
  <si>
    <t>CHEVROLET/ASTRA SEDAN/CD 2.0 8V MPFI</t>
  </si>
  <si>
    <t>VOLKSWAGEN/NOVO GOL/1.0 8V TOTAL FLEX GV</t>
  </si>
  <si>
    <t>FZA9974</t>
  </si>
  <si>
    <t>VOLKSWAGEN/JETTA SEDAN/2.5 20V TIPTRONIC</t>
  </si>
  <si>
    <t>VOLKSWAGEN/PARATI/1.6 MI TOTALFLEX GIV</t>
  </si>
  <si>
    <t>TOYOTA/COROLLA SEDAN/XEI 1.8 16V AUT.</t>
  </si>
  <si>
    <t>PROLUB</t>
  </si>
  <si>
    <t>CHEVROLET/CELTA/1.0 8V MPFI</t>
  </si>
  <si>
    <t>VOLKSWAGEN/NOVA SAVEIRO CAB DUPLA/TRENDILINE 1.6 8V FLEX</t>
  </si>
  <si>
    <t>HYUNDAI/I30 HATCH/2.0 16V AUT.</t>
  </si>
  <si>
    <t>RENAULT/NOVO LOGAN/AUTHENTIQUE 1.0 16V FLEX</t>
  </si>
  <si>
    <t>E</t>
  </si>
  <si>
    <t>FAL0767</t>
  </si>
  <si>
    <t>SUBARU/FORESTER/2.0 16V 4X4 AUT.</t>
  </si>
  <si>
    <t>VOLKSWAGEN/FOX/1.6 MI TOTAL FLEX</t>
  </si>
  <si>
    <t>CHEVROLET/EQUINOX/LT 2.0 16 TURBO AUT.</t>
  </si>
  <si>
    <t>CHEVROLET/CELTA/LS 1.0 8V FLEX</t>
  </si>
  <si>
    <t>FMA1634</t>
  </si>
  <si>
    <t>VOLKSWAGEN/NOVO VOYAGE/1.6 8V TOTAL FLEX GV</t>
  </si>
  <si>
    <t>CHEVROLET/CELTA/SUPER 1.0 8V MPFI</t>
  </si>
  <si>
    <t>EZK8917</t>
  </si>
  <si>
    <t>CHEVROLET/CELTA/LT 1.0 8V FLEX</t>
  </si>
  <si>
    <t>FET7F74</t>
  </si>
  <si>
    <t>FIAT/NOVO UNO/WAY 1.0 8V EVO FLEX</t>
  </si>
  <si>
    <t>BYP2187</t>
  </si>
  <si>
    <t>RENAULT/SANDERO/EXPRESSION 1.0 12V FLEX</t>
  </si>
  <si>
    <t>BBS0945</t>
  </si>
  <si>
    <t>VOLKSWAGEN/NOVO JETTA/HIGHLINE 2.0 16V TSI TIP.</t>
  </si>
  <si>
    <t>FYU7788</t>
  </si>
  <si>
    <t>GDJ8345</t>
  </si>
  <si>
    <t>NISSAN/KICKS/S DIRECT PCD 16V FLEX AUT.</t>
  </si>
  <si>
    <t>CHEVROLET/ONIX HATCH/LTZ 1.4 8V FLEX</t>
  </si>
  <si>
    <t>EVD6181</t>
  </si>
  <si>
    <t>TOYOTA/YARIS SEDAN/XL LIVE 1.5 16V FLEX AUT.</t>
  </si>
  <si>
    <t>FFF5746</t>
  </si>
  <si>
    <t>RENAULT/SANDERO/STEPWAY 1.6 8V HI-POWER FLEX</t>
  </si>
  <si>
    <t>HYUNDAI/TUCSON/2.0 16V FLEX AUT.</t>
  </si>
  <si>
    <t>NISSAN/VERSA SEDAN/SL 1.6 16V FLEX</t>
  </si>
  <si>
    <t>H50JD</t>
  </si>
  <si>
    <t>GAG2959</t>
  </si>
  <si>
    <t>HGF7827</t>
  </si>
  <si>
    <t>FTR6852</t>
  </si>
  <si>
    <t>CHEVROLET/ONIX HATCH/LT 1.4 8V FLEX</t>
  </si>
  <si>
    <t>GJC3I57</t>
  </si>
  <si>
    <t>FTJ8566</t>
  </si>
  <si>
    <t>BMW/X1/SDRIVE 20I 2.0 TB FLEX AUT.</t>
  </si>
  <si>
    <t>EJE9796</t>
  </si>
  <si>
    <t>HYUNDAI/SANTA FE/GLS 2.7 V6 4X4 TIP.</t>
  </si>
  <si>
    <t>VOLKSWAGEN/UP!/MOVE 1.0 12V TSI FLEX</t>
  </si>
  <si>
    <t>CITROEN/C3 HATCH/GLX 1.4 8V FLEX</t>
  </si>
  <si>
    <t>FORD/NOVO ECOSPORT/FREESTYLE 2.0 16V FLEX AUT.</t>
  </si>
  <si>
    <t>FTZ0G43</t>
  </si>
  <si>
    <t>MITSUBISHI/PAJERO TR4/2.0 4X2 FLEX AUT.</t>
  </si>
  <si>
    <t>HYUNDAI/HB20/COMFORT 1.0 12V FLEX</t>
  </si>
  <si>
    <t>FORD/NOVO KA+ SEDAN/SE PLUS 1.5 12V FLEX</t>
  </si>
  <si>
    <t>EEL4903</t>
  </si>
  <si>
    <t>CHEVROLET/CORSA SEDAN/CLASSIC SPIRIT 1.0 FLEXPOWER</t>
  </si>
  <si>
    <t>EEJ6849</t>
  </si>
  <si>
    <t>FIAT/PALIO/FIRE 1.0 FLEX ECONOMY</t>
  </si>
  <si>
    <t>HYUNDAI/CRETA/ATTITUDE 1.6 16V FLEX</t>
  </si>
  <si>
    <t>MITSUBISHI/ASX/2.0 16V 4X4 AUT.</t>
  </si>
  <si>
    <t>CHEVROLET/PRISMA/MAXX 1.0 8V FLEXPOWER</t>
  </si>
  <si>
    <t>JEEP/RENEGADE/LONGIT.1.3 T270 4X2 FLEX AUT</t>
  </si>
  <si>
    <t>VOLKSWAGEN/VIRTUS/VIRTUS 1.4</t>
  </si>
  <si>
    <t>FEN3296</t>
  </si>
  <si>
    <t>TOYOTA/ETIOS HATCH/X 1.3 16V FLEX AUT.</t>
  </si>
  <si>
    <t>MERCEDES BENZ/C280 SEDAN/AVANTGARDE 3.0 V6 AUT.</t>
  </si>
  <si>
    <t>HYUNDAI/CRETA/ACTION 1.6 16V FLEX AUT.</t>
  </si>
  <si>
    <t>RBF4I20</t>
  </si>
  <si>
    <t>HYUNDAI/NOVO HB20S SEDAN/DIAMOND 1.0 TGDI 12V FLEX AUT</t>
  </si>
  <si>
    <t>HONDA/HR-V/LX-AT 1.8 16V I-VTEC FLEX</t>
  </si>
  <si>
    <t>HONDA/NOVO CIVIC SEDAN (G10)/LX-AT 2.0 16V FLEX</t>
  </si>
  <si>
    <t>VOLKSWAGEN/NOVO GOL/1.6 8V MSI FLEX</t>
  </si>
  <si>
    <t>FORD/NOVO FIESTA HATCH/SE 1.6 16V 125CV FLEX</t>
  </si>
  <si>
    <t>EEY6F89</t>
  </si>
  <si>
    <t>TOYOTA/COROLLA SW/FIELDER XEI 1.8 16V</t>
  </si>
  <si>
    <t>PEUGEOT/208 HATCH/ALLURE 1.6 16V FLEX AUT.</t>
  </si>
  <si>
    <t>GAF3167</t>
  </si>
  <si>
    <t>FORD/NOVO ECOSPORT/FREESTYLE 1.6 16V FLEX AUT.</t>
  </si>
  <si>
    <t>VOLKSWAGEN/SAVEIRO/SPORTLINE 1.6 TOTAL FLEX GIV</t>
  </si>
  <si>
    <t>VOLKSWAGEN/VIRTUS/HIGHLINE 200 1.0 TSI FLEX AUT.</t>
  </si>
  <si>
    <t>CHEVROLET/NOVO ONIX SEDAN/PLUS LT 1.0 12V TB FLEX AUT.</t>
  </si>
  <si>
    <t>CHEVROLET/NOVO ONIX/LTZ 1.0 12V TURBO FLEX</t>
  </si>
  <si>
    <t>GHQ3F54</t>
  </si>
  <si>
    <t>CHEVROLET/NOVO ONIX SEDAN/PLUS LTZ 1.0 12V TB FLEX</t>
  </si>
  <si>
    <t>E50ED</t>
  </si>
  <si>
    <t>VOLKSWAGEN/VIRTUS/COMFORTLINE 1.0 TSI FLEX AUT.</t>
  </si>
  <si>
    <t>HYUNDAI/CRETA/PRESTIGE 2.0 16V FLEX AUT.</t>
  </si>
  <si>
    <t>HYUNDAI/IX35/2.0 16V FLEX 4X2 AUT.</t>
  </si>
  <si>
    <t>NISSAN/KICKS/EXCLUSIVE 1.6 16V FLEX AUT.</t>
  </si>
  <si>
    <t>CHEVROLET/ZAFIRA/COMFORT 2.0 8V FLEXPOWER</t>
  </si>
  <si>
    <t>FORD/FIESTA HATCH/SE 1.0 8V FLEX</t>
  </si>
  <si>
    <t>FTX4281</t>
  </si>
  <si>
    <t>TOYOTA/ETIOS HATCH/XLS 1.5 16V FLEX</t>
  </si>
  <si>
    <t>GDP7216</t>
  </si>
  <si>
    <t>JEEP/RENEGADE/LONGITUDE 1.8 16V FLEX AUT.</t>
  </si>
  <si>
    <t>VOLKSWAGEN/UP!/HIGH 1.0 12V FLEX</t>
  </si>
  <si>
    <t>FORD/NOVO ECOSPORT/FREESTYLE 1.5 FLEX AUT.</t>
  </si>
  <si>
    <t>RENAULT/SCENIC/AUTHENTIQUE 1.6 16V HI-FLEX</t>
  </si>
  <si>
    <t>FIAT/PALIO WEEK/ADVENT.DUALOGIC 1.8 16V FLEX</t>
  </si>
  <si>
    <t>CHEVROLET/CORSA/HATCH WIND 1.0 MPFI</t>
  </si>
  <si>
    <t>RENAULT/NOVO LOGAN/ZEN 1.0 12V FLEX</t>
  </si>
  <si>
    <t>AXT5227</t>
  </si>
  <si>
    <t>FIAT/SIENA/EL 1.4 8V FLEX</t>
  </si>
  <si>
    <t>FKC4730</t>
  </si>
  <si>
    <t>FEV5248</t>
  </si>
  <si>
    <t>FIAT/GRAND SIENA/ATTRACTIVE 1.4 FLEX</t>
  </si>
  <si>
    <t>DAN0H15</t>
  </si>
  <si>
    <t>CHEVROLET/CORSA SEDAN/WIND MILENIUM 1.0 MPFI</t>
  </si>
  <si>
    <t>GEJ8657</t>
  </si>
  <si>
    <t>TOYOTA/YARIS SEDAN/XLS 1.5 16V FLEX AUT.</t>
  </si>
  <si>
    <t>RJQ5F99</t>
  </si>
  <si>
    <t>VOLKSWAGEM/T-CROSS/SENSE PCD 1.0 12V TSI FLEX</t>
  </si>
  <si>
    <t>DOM9B52</t>
  </si>
  <si>
    <t>FORD/EDGE/SEL 3.5 V6 24V FWD AUT.</t>
  </si>
  <si>
    <t>QOP0065</t>
  </si>
  <si>
    <t>RENAULT/SANDERO/EXPRESSION 1.6 16V SCE FLEX</t>
  </si>
  <si>
    <t>GDS5B93</t>
  </si>
  <si>
    <t>FGE2955</t>
  </si>
  <si>
    <t>EEH0219</t>
  </si>
  <si>
    <t>GDN4C68</t>
  </si>
  <si>
    <t>HONDA/HR-V 1.8 16V I-VTEC FLEX</t>
  </si>
  <si>
    <t>CHEVROLET/ NOVO ONIX SEDAN PLUS LTZ 1.0 12V TB FLEX AUT.</t>
  </si>
  <si>
    <t>OHU9E31</t>
  </si>
  <si>
    <t>VOLKSWAGEN/TIGUAN/ALLSPACE R-LINE 350 TSI 2.0</t>
  </si>
  <si>
    <t>M72LD</t>
  </si>
  <si>
    <t>FYZ4248</t>
  </si>
  <si>
    <t>CHEVROLET/ ONIX HATCH /LT 1.0 8V FLEX</t>
  </si>
  <si>
    <t>GBU8744</t>
  </si>
  <si>
    <t>FZY4086</t>
  </si>
  <si>
    <t>HYUNDAY/NOVO HB20/VISION 1.0 12V FLEX</t>
  </si>
  <si>
    <t>GAS2J95</t>
  </si>
  <si>
    <t>FIAT/STRADA/FIRE 1.4 8V FLEX</t>
  </si>
  <si>
    <t>CHEVROLET/CELTA/ADVANTAGE 1.0 8V FLEX</t>
  </si>
  <si>
    <t>GFG3H44</t>
  </si>
  <si>
    <t>TOYOTA/COROLLA CROSS/ALTIS PREM.HYBRID 1.8 16V AUT.</t>
  </si>
  <si>
    <t>EVK6135</t>
  </si>
  <si>
    <t>NISSAN/LIVINA/SL 1.8 16V FLEX AUT.</t>
  </si>
  <si>
    <t>GIG1347</t>
  </si>
  <si>
    <t>CHEVROLET/ONIX HATCH/LS 1.0 8V FLEX</t>
  </si>
  <si>
    <t>EIX8B99</t>
  </si>
  <si>
    <t>SUBARU/FORESTER/2.0 16V 4X4</t>
  </si>
  <si>
    <t>OTI4E67</t>
  </si>
  <si>
    <t>HONDA/NOVO FIT/DX-AT 1.5 I-VTEC FLEXONE</t>
  </si>
  <si>
    <t>MINI/COOPER/ONE 1.6 AUT.</t>
  </si>
  <si>
    <t>EJL1151</t>
  </si>
  <si>
    <t>FORD/NOVO ECOSPORT/TITANIUM 2.0 16V FLEX AUT.</t>
  </si>
  <si>
    <t>FMO8F55</t>
  </si>
  <si>
    <t>FHX8D02</t>
  </si>
  <si>
    <t>HONDA/HR-V/EXL-AT 1.8 16V I-VTEC FLEX</t>
  </si>
  <si>
    <t>FRN1F53</t>
  </si>
  <si>
    <t>CLG8185</t>
  </si>
  <si>
    <t>CITROEN/C4 CACTUS/FEEL BUS.PCD 1.6 16V FLEX AUT.</t>
  </si>
  <si>
    <t>EEE9795</t>
  </si>
  <si>
    <t>CHEVROLET/NOVO CRUZE SEDAN/LTZ 1.4 TURBO FLEX AUT.</t>
  </si>
  <si>
    <t>FJN0953</t>
  </si>
  <si>
    <t>SUZUKI/GRAND VITARA/2.0 16V 4X2 AUT.</t>
  </si>
  <si>
    <t>GIZ4348</t>
  </si>
  <si>
    <t>FOT2156</t>
  </si>
  <si>
    <t>GDF2048</t>
  </si>
  <si>
    <t>HONDA/NOVO CIVIC SEDAN/EXR-AT 2.0 16V FLEX</t>
  </si>
  <si>
    <t>RNU6B67</t>
  </si>
  <si>
    <t>CHEVROLET/CAPTIVA/SPORT FWD 2.4 16V 4X2 ECOTEC</t>
  </si>
  <si>
    <t>QOJ5152</t>
  </si>
  <si>
    <t>RENAULT/SANDERO/AUTHENTIQUE 1.6 8V HI-FLEX</t>
  </si>
  <si>
    <t>OQT0222</t>
  </si>
  <si>
    <t>TOYOTA/RAV 4/2.5 16V 4X4 AUT.</t>
  </si>
  <si>
    <t>EBC0G33</t>
  </si>
  <si>
    <t>FVK9F05</t>
  </si>
  <si>
    <t>CHEVROLET/ONIX HATCH/LTZ 1.4 8V FLEX AUT.</t>
  </si>
  <si>
    <t>SIY1A01</t>
  </si>
  <si>
    <t>VOLKSWAGEN/VIRTUS/COMFORTILINE 1.0 TSI FLEX AUT.</t>
  </si>
  <si>
    <t>PCL8C35</t>
  </si>
  <si>
    <t>GAH8F61</t>
  </si>
  <si>
    <t>VOLKSWAGEN/GOL/1.0</t>
  </si>
  <si>
    <t>EUO9973</t>
  </si>
  <si>
    <t>RENAULT/SANDERO/STEPWAY 1.6 16V HI-FLEX</t>
  </si>
  <si>
    <t>FGE2F86</t>
  </si>
  <si>
    <t>VOLKSWAGEN/NOVO POLO/HIGHLINE 200 TSI1.0 FLEX AUT.</t>
  </si>
  <si>
    <t>FYN5713</t>
  </si>
  <si>
    <t>TOYOTA/YARIS SEDAN/PLATINUM 1.5 16V FLEX AUT.</t>
  </si>
  <si>
    <t>FFI7B13</t>
  </si>
  <si>
    <t>FWQ8A43</t>
  </si>
  <si>
    <t>EMR6897</t>
  </si>
  <si>
    <t>EYD8F25</t>
  </si>
  <si>
    <t>SHR9H00</t>
  </si>
  <si>
    <t>ERZ4C25</t>
  </si>
  <si>
    <t>DYG5A33</t>
  </si>
  <si>
    <t>H38</t>
  </si>
  <si>
    <t>FBI6D83</t>
  </si>
  <si>
    <t>BZR4887</t>
  </si>
  <si>
    <t>SHV5G46</t>
  </si>
  <si>
    <t>CHEVROLET/CORSA/HATCH SUPER 1.0 MPFI</t>
  </si>
  <si>
    <t>FVD8H63</t>
  </si>
  <si>
    <t>GHI0C58</t>
  </si>
  <si>
    <t>VOLKSWAGEN/NOVO JETTA/HIGHLINE 2.0 16V TSI</t>
  </si>
  <si>
    <t>FOA5225</t>
  </si>
  <si>
    <t>SID7I54</t>
  </si>
  <si>
    <t>GII8F64</t>
  </si>
  <si>
    <t>FIAT/TORO CABINE DUPLA/ VOLCANO 1.3 T270 4X2 FLEX AUT.</t>
  </si>
  <si>
    <t>FPC7E37</t>
  </si>
  <si>
    <t>FJS0814</t>
  </si>
  <si>
    <t>VOLKSWAGEN</t>
  </si>
  <si>
    <t>SHT2B54</t>
  </si>
  <si>
    <t>RENAULT/DUSTER OROCH CAB DUPLA/INTENSE 1.6 16V 4X2 HI-FLEX</t>
  </si>
  <si>
    <t>NYR5006</t>
  </si>
  <si>
    <t>FIAT/STRADA CD/ADVENTURE 1.8 16V FLEX</t>
  </si>
  <si>
    <t>DGJ6E29</t>
  </si>
  <si>
    <t>GIL9742</t>
  </si>
  <si>
    <t>GBH1682</t>
  </si>
  <si>
    <t>FRP1871</t>
  </si>
  <si>
    <t>RENAULT/SANDERO/EXPRESSION 1.6 8V HI-POWER</t>
  </si>
  <si>
    <t>END2365</t>
  </si>
  <si>
    <t>VOLKSWAGEN/NOVA SAVEIRO/ROBUST 1.6 8V TOTAL FLEX</t>
  </si>
  <si>
    <t>FCY5423</t>
  </si>
  <si>
    <t>GER9D83</t>
  </si>
  <si>
    <t>RENAULT/DUSTER/ICONIC 1.6 16V FLEX AUT</t>
  </si>
  <si>
    <t>DWQ0A82</t>
  </si>
  <si>
    <t>HYUNDAI/NOVO HB20S SEDAN/ PLATINUM 1.0 12V TB FLEX AUT.</t>
  </si>
  <si>
    <t>GED2314</t>
  </si>
  <si>
    <t>HYUNDAI/CRETA/PULSE PLUS 1.6 16V FLEX AUT.</t>
  </si>
  <si>
    <t>FVZ2C86</t>
  </si>
  <si>
    <t>RANAULT/SANDERO/EXPRESSION 1.6 16V SCE FLEX</t>
  </si>
  <si>
    <t>KON5745</t>
  </si>
  <si>
    <t>VOLKSWAGEN/NOVO CROSSFOX/1.6 TOTAL FLEX</t>
  </si>
  <si>
    <t>FUG3129</t>
  </si>
  <si>
    <t xml:space="preserve">FORD/NOVO KA/SE/SE PLUS 1.0 TICVT </t>
  </si>
  <si>
    <t>VOLKSWAGEN/NOVO POLO/COMFORTILINE 200 TSI 1.0 FLEX AUT.</t>
  </si>
  <si>
    <t>FDX3506</t>
  </si>
  <si>
    <t>FWE9A54</t>
  </si>
  <si>
    <t>HYUNDAI/CRETA/LIMITED 1.0 12V TB FLEX AUT</t>
  </si>
  <si>
    <t>EGX3J16</t>
  </si>
  <si>
    <t>CHERRY/ARRIZO 6/GSX 1.5 TURBO FLEX AUT.</t>
  </si>
  <si>
    <t>RUP7E27</t>
  </si>
  <si>
    <t>CHEVROLET/NOVO ONIX SEDAN/PLUS LT1.0 12V TB FLEX AUT.</t>
  </si>
  <si>
    <t>HTN70</t>
  </si>
  <si>
    <t>EUI2770</t>
  </si>
  <si>
    <t>GJT1145</t>
  </si>
  <si>
    <t>HPN50GD</t>
  </si>
  <si>
    <t>FUN1845</t>
  </si>
  <si>
    <t>SIG9J36</t>
  </si>
  <si>
    <t>KKT6525</t>
  </si>
  <si>
    <t>HONDA/FIT/LXL-AT 1.4 8V</t>
  </si>
  <si>
    <t>MAXON</t>
  </si>
  <si>
    <t>KLI6177</t>
  </si>
  <si>
    <t>GDA8F41</t>
  </si>
  <si>
    <t>RENAULT/KWID/INTENSE 1.0 12V FLEX</t>
  </si>
  <si>
    <t>GDM9C63</t>
  </si>
  <si>
    <t>NISSAN/KICKS/SENSE 1.6 16V FLEX AUT.</t>
  </si>
  <si>
    <t>CUI5948</t>
  </si>
  <si>
    <t>QUK2J53</t>
  </si>
  <si>
    <t>QOW6586</t>
  </si>
  <si>
    <t>GGF9724</t>
  </si>
  <si>
    <t>RENAULT/DUSTER/AUTHENTIQUE PCD 1.6 FLEX AUT.</t>
  </si>
  <si>
    <t>PYS0488</t>
  </si>
  <si>
    <t>IMPERIUM</t>
  </si>
  <si>
    <t>DSI8B42</t>
  </si>
  <si>
    <t>HONDA/WR-V/EX-AT 1.5 16V FLEX</t>
  </si>
  <si>
    <t>EOY0H47</t>
  </si>
  <si>
    <t>HYUNDAI/NOVO HB20S SEDAN/COMFORT 1.0 12V FLEX</t>
  </si>
  <si>
    <t>EGL7G29</t>
  </si>
  <si>
    <t>CHEVROLET/PRISMA/JOY 1.0 8V FLEXPOWER</t>
  </si>
  <si>
    <t>EUR8367</t>
  </si>
  <si>
    <t>NISSAN/NOVO SENTRA/S 2.0 16V FLEXSTART</t>
  </si>
  <si>
    <t>QWT2833</t>
  </si>
  <si>
    <t>RENAULT/DUSTER OROCH CAB DUPLA/EXPRESSION 1.6 16V 4X2 HI-FLEX</t>
  </si>
  <si>
    <t>EZF5437</t>
  </si>
  <si>
    <t>FORD/NOVO ECOSPORT/FREESTYLE 1.6 FLEX</t>
  </si>
  <si>
    <t>EUB4D84</t>
  </si>
  <si>
    <t>11643-11644</t>
  </si>
  <si>
    <t>MKU0703</t>
  </si>
  <si>
    <t>MINI/COOPER/COUNTRYMAN S 1.6 AUT.</t>
  </si>
  <si>
    <t>GCW9067</t>
  </si>
  <si>
    <t>CHEVROLET/COBALT SEDAN/LTZ 1.8 ECONOFLEX AUT.</t>
  </si>
  <si>
    <t>FDS1793</t>
  </si>
  <si>
    <t>CHEVROLET/ONIX HATCH/LT 1.4 8V FLEX AUT.</t>
  </si>
  <si>
    <t>FCW1868</t>
  </si>
  <si>
    <t>NISSAN/MARCH/ACTIVE 1.0 16V FLEX</t>
  </si>
  <si>
    <t>FPX0366</t>
  </si>
  <si>
    <t>FGS4808</t>
  </si>
  <si>
    <t>RENAULT/DUSTER/DYNAMIQUE 2.0 16V 4X4 FLEX</t>
  </si>
  <si>
    <t>GBY3J95</t>
  </si>
  <si>
    <t>FTQ9121</t>
  </si>
  <si>
    <t>TOYOTA/ETIOS SEDAN/XLS 1.5 16V FLEX</t>
  </si>
  <si>
    <t>GFB6347</t>
  </si>
  <si>
    <t>FQS0D82</t>
  </si>
  <si>
    <t>RENAULT/NOVO LOGAN/ZEN 1.0 12V FFLEX</t>
  </si>
  <si>
    <t>RVC1A21</t>
  </si>
  <si>
    <t>VOLKSWAGEN/NOVO GOL/1.0 12V FLEX</t>
  </si>
  <si>
    <t>GJC0164</t>
  </si>
  <si>
    <t>CHEVROLET/NOVO COBALT/ELITE 1.8 8V ECONOFLEX AUT.</t>
  </si>
  <si>
    <t>EZE5437</t>
  </si>
  <si>
    <t>MITSUBISHI/ASX/2.0 16V 4X4 FLEX AUT.</t>
  </si>
  <si>
    <t>EHE9494</t>
  </si>
  <si>
    <t>NISSAN/KICKS/SL 1.6 16V FLEX AUT.</t>
  </si>
  <si>
    <t>TOTAL</t>
  </si>
  <si>
    <t>FEY9594</t>
  </si>
  <si>
    <t>RENAULT/DUSTER/TECH ROAD 2.0 16V 4X2 FLEX AUT.</t>
  </si>
  <si>
    <t>EZA2664</t>
  </si>
  <si>
    <t>BSX5213</t>
  </si>
  <si>
    <t>FGV1133</t>
  </si>
  <si>
    <t>GHG9B68</t>
  </si>
  <si>
    <t>GDJ9350</t>
  </si>
  <si>
    <t>CITROEN/AIRCROSS/START 1.5 8V FLEX</t>
  </si>
  <si>
    <t>QSA9J09</t>
  </si>
  <si>
    <t>GAM9163</t>
  </si>
  <si>
    <t>HYUNDAI/NOVO HB20/VISION 1.0 12V FLEX</t>
  </si>
  <si>
    <t>EWW0070</t>
  </si>
  <si>
    <t>JEEP/COMPASS/LONGITUDE 2.0 16V 4X2 FLEX AUT.</t>
  </si>
  <si>
    <t>FXW5D95</t>
  </si>
  <si>
    <t>EUU1427</t>
  </si>
  <si>
    <t>GHB4B84</t>
  </si>
  <si>
    <t>CHEVROLET/NOVA TRACKER/LT 1.0 12V TURBO FLEX</t>
  </si>
  <si>
    <t>DRS0967</t>
  </si>
  <si>
    <t>VOLKSWAGEM/CROSSFOX/1.6 TOTAL FLEX</t>
  </si>
  <si>
    <t>EZK9458</t>
  </si>
  <si>
    <t>FORD/FIESTA SEDAN /1.6 FLEX</t>
  </si>
  <si>
    <t>MOTORCRAFT</t>
  </si>
  <si>
    <t>VOLKSWAGEN/NOVO FOX/PRIME IMOTION 1.6 TOTAL FLEX</t>
  </si>
  <si>
    <t>EXU3233</t>
  </si>
  <si>
    <t>MITSUBISHI/OUTLANDER/2.0 16V AUT</t>
  </si>
  <si>
    <t>EXW5944</t>
  </si>
  <si>
    <t>FLI1598</t>
  </si>
  <si>
    <t>EUU5J70</t>
  </si>
  <si>
    <t>FIAT/IDEIA/ESSENCE DUALOGIC 1.6 16V FLEX</t>
  </si>
  <si>
    <t>GEB9360</t>
  </si>
  <si>
    <t>OSS3F81</t>
  </si>
  <si>
    <t>CHEVROLET/SONIC HATCH/ LTZ 1.6 16V FLEX AUT.</t>
  </si>
  <si>
    <t>FHC2F04</t>
  </si>
  <si>
    <t>VOLKSWAGEN/NOVO JETTA/COMFORTLINE 2.0 TOTAL FLEX TIP</t>
  </si>
  <si>
    <t>DZU2E17</t>
  </si>
  <si>
    <t>CHEVROLET/NOVO ONIX/LT 1.0 12V TURBO FLEX</t>
  </si>
  <si>
    <t>EBL8589</t>
  </si>
  <si>
    <t>VOLKSWAGEN/BORA SEDAN/2.0 MI</t>
  </si>
  <si>
    <t>FXA4269</t>
  </si>
  <si>
    <t>NISSAN/KICKS/S DIRECT PCD 16V FLEX AUT</t>
  </si>
  <si>
    <t>EBO9113</t>
  </si>
  <si>
    <t>VOLKSWAGEN/NOVO VOYAGE/TREND 1.6 8V FLEX GV</t>
  </si>
  <si>
    <t>FUX5B33</t>
  </si>
  <si>
    <t>RFY8I94</t>
  </si>
  <si>
    <t>CHEVROLET/SPIN/PREMIER 1.8 8V ECONOFLEX AUT.</t>
  </si>
  <si>
    <t>DUI7163</t>
  </si>
  <si>
    <t>CHEVROLET/CELTA/SPIRIT 1.0 8V FLEXPOWER</t>
  </si>
  <si>
    <t>DZJ3223</t>
  </si>
  <si>
    <t>GEF6895</t>
  </si>
  <si>
    <t>CHERY/QQ/LOOK 1.0 12V FLEX</t>
  </si>
  <si>
    <t>GFB3D76</t>
  </si>
  <si>
    <t>BBL5032</t>
  </si>
  <si>
    <t>PEUGEOT/208 HATCH/ ALLURE 1.6 16V FLEX AUT.</t>
  </si>
  <si>
    <t>EBS0472</t>
  </si>
  <si>
    <t>CHEVROLET/VECTRA SEDAN/EXPRESSION 2.0 8V FLEXPOWER</t>
  </si>
  <si>
    <t>FUQ5I77</t>
  </si>
  <si>
    <t>EZG5763</t>
  </si>
  <si>
    <t>VOLKSWAGEM/NOVO GOL/1.0 8V TOTAL FLEX GVI</t>
  </si>
  <si>
    <t>DGG2743</t>
  </si>
  <si>
    <t>CHEVROLET/CORSA/HATCH WIND 1.6 MPFI</t>
  </si>
  <si>
    <t>FLE3477</t>
  </si>
  <si>
    <t>MITSUBISHI/OUTLANDER/GT 3.0 V6 24V AUT</t>
  </si>
  <si>
    <t>FGD6498</t>
  </si>
  <si>
    <t>NISSAN/LIVINA/S 1.8 16V FLEX AUT.</t>
  </si>
  <si>
    <t>AVJ2E85</t>
  </si>
  <si>
    <t>HONDA/NOVO CIVIC/ LXS-MT 1.8 16V FLEX</t>
  </si>
  <si>
    <t>FPN0C11</t>
  </si>
  <si>
    <t>FIAT/TORO CABINE DUPLA/FREEDOM 1.3 T270 4X2 FLEX AUT</t>
  </si>
  <si>
    <t>DTT9H58</t>
  </si>
  <si>
    <t>FTZ9541</t>
  </si>
  <si>
    <t>LIFAN/X60/1.8 16V</t>
  </si>
  <si>
    <t>EXN1H83</t>
  </si>
  <si>
    <t>GGQ8J70</t>
  </si>
  <si>
    <t>CHEVROLET/SPIN/LT 1.8 8V ECONOFLEX</t>
  </si>
  <si>
    <t>RNQ3D78</t>
  </si>
  <si>
    <t>FAZ0A41</t>
  </si>
  <si>
    <t>FIAT/500/CULT 1.4 EVO FIRE FLEX</t>
  </si>
  <si>
    <t>FAO3969</t>
  </si>
  <si>
    <t>HONDA/FIT/EX-AT 1.5 16V FLEX</t>
  </si>
  <si>
    <t>PUB2296</t>
  </si>
  <si>
    <t>FBZ5223</t>
  </si>
  <si>
    <t>FIAT/NOVO PALIO/ESSENCE 1.6 16V FLEX</t>
  </si>
  <si>
    <t>VOLKSWAGEN/NOVO GOL/1.0 8V TOTAL FLEX GVI</t>
  </si>
  <si>
    <t>DLC7449</t>
  </si>
  <si>
    <t>CHEVROLET/NOVO COBALT/LT 1.4 8V ECONOFLEX</t>
  </si>
  <si>
    <t>FPC0226</t>
  </si>
  <si>
    <t>FORD/ECOSPORT/ECO SE 1.5</t>
  </si>
  <si>
    <t>CUB9433</t>
  </si>
  <si>
    <t>BSZ3586</t>
  </si>
  <si>
    <t>QND3C64</t>
  </si>
  <si>
    <t>FCG3967</t>
  </si>
  <si>
    <t>FKN8355</t>
  </si>
  <si>
    <t>HYUNDAI/HB20S/COMFORT STYLE 1.6 16V FLEX AUT</t>
  </si>
  <si>
    <t>IZH9A23</t>
  </si>
  <si>
    <t>EWT5511</t>
  </si>
  <si>
    <t>CHERY/QQ/1.0 12V</t>
  </si>
  <si>
    <t>GFQ5567</t>
  </si>
  <si>
    <t>VOLKSWAGEN/PASSAT SEDAN/HIGHLINE 2.0 TSI 220CV TIP.</t>
  </si>
  <si>
    <t>GJN2F62</t>
  </si>
  <si>
    <t>BMW/X4/XDRIVE 28I 2.0 TURBO 4X4 AUT.</t>
  </si>
  <si>
    <t>FVA1581</t>
  </si>
  <si>
    <t>FDE9A57</t>
  </si>
  <si>
    <t>NISSAN/VERSA SEDAN/S 1.6 16V FLEX</t>
  </si>
  <si>
    <t>EQL9410</t>
  </si>
  <si>
    <t>FIAT/NOVO UNO/ATTRACTIVE 1.0 8V EVO FLEX</t>
  </si>
  <si>
    <t>DST9841</t>
  </si>
  <si>
    <t>FORD/ECOSPORT/XLS 1.6 8V FLEX</t>
  </si>
  <si>
    <t>FUR8F65</t>
  </si>
  <si>
    <t>FIH8541</t>
  </si>
  <si>
    <t>VOLKSWAGEN/POLO SEDAN/COMFORTLINE 1.6 MI TOTAL FLEX</t>
  </si>
  <si>
    <t>SDG0I55</t>
  </si>
  <si>
    <t>FKR2I24</t>
  </si>
  <si>
    <t>TOYOTA/HILUX SW4/SRX-AT 2.8 16V 4X4</t>
  </si>
  <si>
    <t>FWT3785</t>
  </si>
  <si>
    <t>VOLKSWAGEN/UP!/TAKE 1.0 12V FLEX</t>
  </si>
  <si>
    <t>EEW8173</t>
  </si>
  <si>
    <t>TOYOTA/COROLLA SEDAN/XEI 1.8 16V FLEX AUT.</t>
  </si>
  <si>
    <t>FCU5225</t>
  </si>
  <si>
    <t>EZP5437</t>
  </si>
  <si>
    <t>EZB3675</t>
  </si>
  <si>
    <t>FUF4969</t>
  </si>
  <si>
    <t>EJD9780</t>
  </si>
  <si>
    <t>VOLKSWAGEN/NOVO VOYAGE/1.0 8V TOTAL FLEX GV</t>
  </si>
  <si>
    <t>FQX3429</t>
  </si>
  <si>
    <t>HONDA/HR-V/TOURING-AT 1.8 16V FLEXONE</t>
  </si>
  <si>
    <t>EUG7453</t>
  </si>
  <si>
    <t>NISSAN/TIIDA/SL 1.8 16V FLEX</t>
  </si>
  <si>
    <t>EWK0075</t>
  </si>
  <si>
    <t>FGH5627</t>
  </si>
  <si>
    <t>HONDA/NOVO CIVIC SEDAN/LXS-AT 1.8 16V FLEX</t>
  </si>
  <si>
    <t>FIAT/PUNTO HATCH/ELX 1.4 8V FLEX</t>
  </si>
  <si>
    <t>EIK7153</t>
  </si>
  <si>
    <t>FTT8897</t>
  </si>
  <si>
    <t>QUB2I58</t>
  </si>
  <si>
    <t>FIAT/NOVO UNO/WAY 1.0 6V FLEX</t>
  </si>
  <si>
    <t>MITSUBISHI/OUTLANDER/GT 3.0 V6 24V AUT.</t>
  </si>
  <si>
    <t>STQ0A55</t>
  </si>
  <si>
    <t>NISSAN/KICKS/NISSAN KICKS 1.6 ADVANCE CVT</t>
  </si>
  <si>
    <t>DUE9083</t>
  </si>
  <si>
    <t>EXT9218</t>
  </si>
  <si>
    <t>CHEVROLET/PRISMA/LT 1.4 8V ECONOFLEX</t>
  </si>
  <si>
    <t>DKU0B05</t>
  </si>
  <si>
    <t>FOG0417</t>
  </si>
  <si>
    <t>EZP0924</t>
  </si>
  <si>
    <t>CRB9E98</t>
  </si>
  <si>
    <t>EWU5234</t>
  </si>
  <si>
    <t>EXW8283</t>
  </si>
  <si>
    <t>GIC2F38</t>
  </si>
  <si>
    <t>FYR3C76</t>
  </si>
  <si>
    <t>GEB2015</t>
  </si>
  <si>
    <t>KWT9922</t>
  </si>
  <si>
    <t>EZC7322</t>
  </si>
  <si>
    <t>CITROEN/C3 PICASSO/EXCLUSIVE 1.6 16V FLEX AUT.</t>
  </si>
  <si>
    <t>GCW4240</t>
  </si>
  <si>
    <t>PQF7987</t>
  </si>
  <si>
    <t>DKI9031</t>
  </si>
  <si>
    <t>FUQ9F79</t>
  </si>
  <si>
    <t>SIJ9G53</t>
  </si>
  <si>
    <t>VOLKSWAGEN/NOVO POLO/MPI 1.0 12V FLEX</t>
  </si>
  <si>
    <t>FUG1823</t>
  </si>
  <si>
    <t>EJV8F44</t>
  </si>
  <si>
    <t>GCQ0H26</t>
  </si>
  <si>
    <t>SJG1F65</t>
  </si>
  <si>
    <t>FVZ7J05</t>
  </si>
  <si>
    <t>ST70HD</t>
  </si>
  <si>
    <t>FXG7232</t>
  </si>
  <si>
    <t>FORD/NEW FIESTA/NEW FIESTA 1.5 16V FLEX</t>
  </si>
  <si>
    <t>EHN6D29</t>
  </si>
  <si>
    <t>TOYOTA/PRIUS/HYBRID 1.8 16V AUT.</t>
  </si>
  <si>
    <t>FOV7757</t>
  </si>
  <si>
    <t>VOLKSWAGEN/NOVO FOX GIII/COMFORTLINE 1.6 8V FLEX</t>
  </si>
  <si>
    <t>FSX4623</t>
  </si>
  <si>
    <t>QQJ9975</t>
  </si>
  <si>
    <t>FORD/NOVO ECOSPORT/SE 1.5 12V FLEX AUT.</t>
  </si>
  <si>
    <t>GBK7993</t>
  </si>
  <si>
    <t>TOYOTA/ETIOS HATCH/XS 1.5 16V FLEX</t>
  </si>
  <si>
    <t>HMZ5194</t>
  </si>
  <si>
    <t>RENAULT/CLIO HATCH/HI FLEX 1.0 16V</t>
  </si>
  <si>
    <t>GGV9752</t>
  </si>
  <si>
    <t>GGB7F93</t>
  </si>
  <si>
    <t>CHEVROLET/NOVA TRACKER/PREMIER 1.2 TURBO 4X2 FLEX AUT</t>
  </si>
  <si>
    <t>QXD3A52</t>
  </si>
  <si>
    <t>GIY3662</t>
  </si>
  <si>
    <t>PEUGEOT/208 HATCH/SPORT 1.6 16V FLEX</t>
  </si>
  <si>
    <t>GCJ3803</t>
  </si>
  <si>
    <t>GGR3105</t>
  </si>
  <si>
    <t>FSX7945</t>
  </si>
  <si>
    <t>EMM4989</t>
  </si>
  <si>
    <t>FIAT/LINEA/HLX DUALOGIC 1.8 16V FLEX</t>
  </si>
  <si>
    <t>GBH2229</t>
  </si>
  <si>
    <t>BSX9183</t>
  </si>
  <si>
    <t>VOLKSWAGEN/NOVO FOX GIII/XTREME 1.6 8V FLEX</t>
  </si>
  <si>
    <t>EJE4073</t>
  </si>
  <si>
    <t>FRF0286</t>
  </si>
  <si>
    <t>FWU8C64</t>
  </si>
  <si>
    <t>VOLKSWAGEN/T-CROSS/1.0 12V TSI FLEX</t>
  </si>
  <si>
    <t>FMB4321</t>
  </si>
  <si>
    <t>NISSAN/MARCH/SL 1.6 16V FLEX</t>
  </si>
  <si>
    <t>CHEVROLET/AGILE/LT 1.4 8V ECONOFLEX</t>
  </si>
  <si>
    <t>QHW1J12</t>
  </si>
  <si>
    <t>FIAT/500/SPORT 1.4 16V</t>
  </si>
  <si>
    <t>CREDITAS</t>
  </si>
  <si>
    <t>ENK6628</t>
  </si>
  <si>
    <t>BYJ0295</t>
  </si>
  <si>
    <t>FORD/NOVO KA/SE 1.5 12V FLEX</t>
  </si>
  <si>
    <t>MOTOCRAFT</t>
  </si>
  <si>
    <t>QQF5595</t>
  </si>
  <si>
    <t>FJU3C24</t>
  </si>
  <si>
    <t>HONDA/NOVO CITY HATCH/EXL-AT 1.5 16V FLEX</t>
  </si>
  <si>
    <t>FWT4618</t>
  </si>
  <si>
    <t>SIB9D41</t>
  </si>
  <si>
    <t>FXU1449</t>
  </si>
  <si>
    <t>CITROEN/AIRCROSS/LIVE 1.6 16V FLEX AUT.</t>
  </si>
  <si>
    <t>FJX2F22</t>
  </si>
  <si>
    <t>HONDA/NOVO CIVIC SEDAN (G10)/TOURING-AT 1.5 TURBO</t>
  </si>
  <si>
    <t>QXA7C16</t>
  </si>
  <si>
    <t>TOYOTA/ETIOS SEDAN/X 1.5 16V FLEX AUT.</t>
  </si>
  <si>
    <t>EXV8A57</t>
  </si>
  <si>
    <t>FORD/NOVO KA+ SEDAN/SE/SE PLUS 1.0 TICVT FLEX</t>
  </si>
  <si>
    <t>E60HD</t>
  </si>
  <si>
    <t>FTL8724</t>
  </si>
  <si>
    <t>LSY9J38</t>
  </si>
  <si>
    <t>DATA</t>
  </si>
  <si>
    <t>PAINEL</t>
  </si>
  <si>
    <t>SISTEMA</t>
  </si>
  <si>
    <t>OK</t>
  </si>
  <si>
    <t>PNEUSTORE FEV-MAR</t>
  </si>
  <si>
    <t>TICKET LOG FEV - MAR</t>
  </si>
  <si>
    <t>PJK6971</t>
  </si>
  <si>
    <t xml:space="preserve">AYL3128 </t>
  </si>
  <si>
    <t xml:space="preserve">ENQ0H22 </t>
  </si>
  <si>
    <t xml:space="preserve">DZA9B78 </t>
  </si>
  <si>
    <t xml:space="preserve">CTH9953 </t>
  </si>
  <si>
    <t xml:space="preserve">FUJ5752 </t>
  </si>
  <si>
    <t>FXL3A57</t>
  </si>
  <si>
    <t xml:space="preserve">GFS3944 </t>
  </si>
  <si>
    <t xml:space="preserve">GAR4J13 </t>
  </si>
  <si>
    <t>OUR6B94</t>
  </si>
  <si>
    <t>EZB5613</t>
  </si>
  <si>
    <t>FLK2273</t>
  </si>
  <si>
    <t>FIT7800</t>
  </si>
  <si>
    <t>FZD6700</t>
  </si>
  <si>
    <t>GKI9954</t>
  </si>
  <si>
    <t>FWB0498</t>
  </si>
  <si>
    <t>GERAL</t>
  </si>
  <si>
    <t>META</t>
  </si>
  <si>
    <t>Rótulos de Linha</t>
  </si>
  <si>
    <t>Soma de JANEIRO</t>
  </si>
  <si>
    <t>Soma de FEVEREIRO</t>
  </si>
  <si>
    <t>Soma de MARÇO</t>
  </si>
  <si>
    <t>Soma de ABRIL</t>
  </si>
  <si>
    <t>Soma de MAIO</t>
  </si>
  <si>
    <t>Soma de JUNHO</t>
  </si>
  <si>
    <t>Soma de JULHO</t>
  </si>
  <si>
    <t>Soma de AGOSTO</t>
  </si>
  <si>
    <t>Soma de SETEMBRO</t>
  </si>
  <si>
    <t>Soma de OUTUBRO</t>
  </si>
  <si>
    <t>Soma de NOVEMBRO</t>
  </si>
  <si>
    <t>Soma de DEZEMBRO</t>
  </si>
  <si>
    <t>Total Geral</t>
  </si>
  <si>
    <t>DESCRIÇÃO</t>
  </si>
  <si>
    <t>SERVIÇOS FEITOS P/ CLIENTES PORTO</t>
  </si>
  <si>
    <t>BENEFICIOS</t>
  </si>
  <si>
    <t>NÃO FEITOS</t>
  </si>
  <si>
    <t>*</t>
  </si>
  <si>
    <t>GIE9268</t>
  </si>
  <si>
    <t>TOTAL DE GASTOS DO ANO</t>
  </si>
  <si>
    <t>PROLABORE</t>
  </si>
  <si>
    <t>GARANTIA</t>
  </si>
  <si>
    <t>IMPRESSORA</t>
  </si>
  <si>
    <t>PANOS</t>
  </si>
  <si>
    <t>COMPRESSOR</t>
  </si>
  <si>
    <t>ENCARGOS SOCIAIS</t>
  </si>
  <si>
    <t>CONTABILIDADE</t>
  </si>
  <si>
    <t>FERRAMENTAS</t>
  </si>
  <si>
    <t>MANGUEIRA</t>
  </si>
  <si>
    <t>RETIFICA</t>
  </si>
  <si>
    <t>MERCADO</t>
  </si>
  <si>
    <t>PILHAS</t>
  </si>
  <si>
    <t>CHAVE PARA MOTO</t>
  </si>
  <si>
    <t>COMBUSTIVEL</t>
  </si>
  <si>
    <t>PASTA GEL</t>
  </si>
  <si>
    <t>ABRAÇADEIRA</t>
  </si>
  <si>
    <t>TEL / INTERNET</t>
  </si>
  <si>
    <t>PADARIA</t>
  </si>
  <si>
    <t>MOTO</t>
  </si>
  <si>
    <t>LAVA RAPIDO</t>
  </si>
  <si>
    <t>ELEVADOR</t>
  </si>
  <si>
    <t>COBISTIVEL MOTO</t>
  </si>
  <si>
    <t>CARGA DE GAS</t>
  </si>
  <si>
    <t>EPI</t>
  </si>
  <si>
    <t>SERVIÇO</t>
  </si>
  <si>
    <t>TINTAS</t>
  </si>
  <si>
    <t>ANTENA</t>
  </si>
  <si>
    <t>CHEIRINHO</t>
  </si>
  <si>
    <t>EQUIPAMENTOS</t>
  </si>
  <si>
    <t>TAPETES DE BORRACHA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</si>
</sst>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00"/>
    <numFmt numFmtId="165" formatCode="[$-F800]dddd\,\ mmmm\ dd\,\ yyyy"/>
    <numFmt numFmtId="167" formatCode="_-[$R$-416]\ * #,##0.00_-;\-[$R$-416]\ * #,##0.00_-;_-[$R$-416]\ * &quot;-&quot;??_-;_-@_-"/>
    <numFmt numFmtId="169" formatCode="yyyy\-mm\-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Segoe UI"/>
      <family val="2"/>
    </font>
    <font>
      <b/>
      <i/>
      <sz val="20"/>
      <color theme="1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4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/>
  </cellStyleXfs>
  <cellXfs count="163">
    <xf numFmtId="0" fontId="0" fillId="0" borderId="0" xfId="0"/>
    <xf numFmtId="44" fontId="0" fillId="0" borderId="0" xfId="1" applyFont="1"/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44" fontId="0" fillId="0" borderId="0" xfId="1" applyFont="1" applyAlignment="1">
      <alignment horizontal="left" indent="1"/>
    </xf>
    <xf numFmtId="44" fontId="0" fillId="0" borderId="0" xfId="1" applyFont="1" applyAlignment="1">
      <alignment horizontal="left" wrapText="1" indent="1"/>
    </xf>
    <xf numFmtId="0" fontId="8" fillId="6" borderId="7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44" fontId="8" fillId="6" borderId="0" xfId="1" applyFont="1" applyFill="1" applyBorder="1" applyAlignment="1">
      <alignment horizontal="center" vertical="center"/>
    </xf>
    <xf numFmtId="0" fontId="8" fillId="6" borderId="0" xfId="1" applyNumberFormat="1" applyFont="1" applyFill="1" applyBorder="1" applyAlignment="1">
      <alignment horizontal="center" vertical="center"/>
    </xf>
    <xf numFmtId="44" fontId="8" fillId="6" borderId="8" xfId="1" applyFont="1" applyFill="1" applyBorder="1" applyAlignment="1">
      <alignment horizontal="center" vertical="center"/>
    </xf>
    <xf numFmtId="0" fontId="0" fillId="0" borderId="6" xfId="0" applyBorder="1"/>
    <xf numFmtId="0" fontId="0" fillId="5" borderId="0" xfId="0" applyFill="1"/>
    <xf numFmtId="0" fontId="0" fillId="0" borderId="2" xfId="0" applyBorder="1"/>
    <xf numFmtId="16" fontId="0" fillId="0" borderId="2" xfId="0" applyNumberFormat="1" applyBorder="1"/>
    <xf numFmtId="0" fontId="0" fillId="2" borderId="2" xfId="0" applyFill="1" applyBorder="1"/>
    <xf numFmtId="44" fontId="0" fillId="0" borderId="2" xfId="1" applyFont="1" applyBorder="1"/>
    <xf numFmtId="44" fontId="0" fillId="0" borderId="2" xfId="1" applyFont="1" applyFill="1" applyBorder="1"/>
    <xf numFmtId="44" fontId="8" fillId="6" borderId="0" xfId="1" applyFont="1" applyFill="1" applyAlignment="1">
      <alignment horizontal="center" vertical="center"/>
    </xf>
    <xf numFmtId="0" fontId="0" fillId="0" borderId="5" xfId="0" applyBorder="1"/>
    <xf numFmtId="0" fontId="0" fillId="0" borderId="2" xfId="1" applyNumberFormat="1" applyFont="1" applyBorder="1"/>
    <xf numFmtId="0" fontId="0" fillId="0" borderId="9" xfId="0" applyBorder="1"/>
    <xf numFmtId="0" fontId="0" fillId="0" borderId="2" xfId="1" applyNumberFormat="1" applyFont="1" applyFill="1" applyBorder="1"/>
    <xf numFmtId="0" fontId="0" fillId="0" borderId="10" xfId="0" applyBorder="1"/>
    <xf numFmtId="16" fontId="0" fillId="0" borderId="10" xfId="0" applyNumberFormat="1" applyBorder="1"/>
    <xf numFmtId="44" fontId="0" fillId="0" borderId="10" xfId="1" applyFont="1" applyFill="1" applyBorder="1"/>
    <xf numFmtId="0" fontId="0" fillId="0" borderId="10" xfId="1" applyNumberFormat="1" applyFont="1" applyBorder="1"/>
    <xf numFmtId="14" fontId="0" fillId="0" borderId="2" xfId="0" applyNumberFormat="1" applyBorder="1"/>
    <xf numFmtId="44" fontId="0" fillId="0" borderId="3" xfId="1" applyFont="1" applyFill="1" applyBorder="1"/>
    <xf numFmtId="0" fontId="0" fillId="5" borderId="10" xfId="0" applyFill="1" applyBorder="1"/>
    <xf numFmtId="44" fontId="0" fillId="0" borderId="0" xfId="0" applyNumberFormat="1"/>
    <xf numFmtId="0" fontId="0" fillId="7" borderId="0" xfId="0" applyFill="1"/>
    <xf numFmtId="0" fontId="9" fillId="7" borderId="40" xfId="0" applyFont="1" applyFill="1" applyBorder="1"/>
    <xf numFmtId="0" fontId="0" fillId="0" borderId="39" xfId="0" applyBorder="1"/>
    <xf numFmtId="44" fontId="0" fillId="0" borderId="39" xfId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quotePrefix="1" applyBorder="1"/>
    <xf numFmtId="14" fontId="0" fillId="0" borderId="0" xfId="0" applyNumberFormat="1"/>
    <xf numFmtId="16" fontId="0" fillId="0" borderId="0" xfId="0" applyNumberFormat="1"/>
    <xf numFmtId="14" fontId="0" fillId="2" borderId="2" xfId="0" applyNumberFormat="1" applyFill="1" applyBorder="1"/>
    <xf numFmtId="14" fontId="0" fillId="7" borderId="0" xfId="0" applyNumberFormat="1" applyFill="1"/>
    <xf numFmtId="165" fontId="0" fillId="0" borderId="0" xfId="0" applyNumberFormat="1"/>
    <xf numFmtId="20" fontId="0" fillId="0" borderId="0" xfId="0" applyNumberFormat="1"/>
    <xf numFmtId="9" fontId="0" fillId="0" borderId="0" xfId="2" applyFont="1"/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16" fillId="0" borderId="42" xfId="0" applyFont="1" applyBorder="1" applyAlignment="1">
      <alignment horizontal="center"/>
    </xf>
    <xf numFmtId="44" fontId="0" fillId="0" borderId="3" xfId="1" applyFont="1" applyBorder="1"/>
    <xf numFmtId="0" fontId="0" fillId="0" borderId="10" xfId="0" applyBorder="1" applyAlignment="1">
      <alignment horizontal="right"/>
    </xf>
    <xf numFmtId="44" fontId="0" fillId="5" borderId="10" xfId="1" applyFont="1" applyFill="1" applyBorder="1"/>
    <xf numFmtId="0" fontId="1" fillId="0" borderId="0" xfId="3" applyFont="1"/>
    <xf numFmtId="0" fontId="0" fillId="0" borderId="43" xfId="0" applyBorder="1"/>
    <xf numFmtId="0" fontId="0" fillId="0" borderId="2" xfId="0" applyBorder="1" applyAlignment="1">
      <alignment horizontal="right"/>
    </xf>
    <xf numFmtId="0" fontId="0" fillId="0" borderId="2" xfId="0" quotePrefix="1" applyBorder="1"/>
    <xf numFmtId="0" fontId="0" fillId="0" borderId="3" xfId="0" applyBorder="1"/>
    <xf numFmtId="16" fontId="0" fillId="0" borderId="3" xfId="0" applyNumberFormat="1" applyBorder="1"/>
    <xf numFmtId="0" fontId="17" fillId="0" borderId="0" xfId="3"/>
    <xf numFmtId="0" fontId="20" fillId="0" borderId="2" xfId="0" applyFont="1" applyBorder="1"/>
    <xf numFmtId="44" fontId="20" fillId="0" borderId="2" xfId="1" applyFont="1" applyBorder="1"/>
    <xf numFmtId="0" fontId="20" fillId="0" borderId="0" xfId="0" applyFont="1"/>
    <xf numFmtId="44" fontId="20" fillId="0" borderId="0" xfId="0" applyNumberFormat="1" applyFont="1"/>
    <xf numFmtId="49" fontId="0" fillId="0" borderId="10" xfId="0" applyNumberFormat="1" applyBorder="1"/>
    <xf numFmtId="167" fontId="8" fillId="6" borderId="0" xfId="1" applyNumberFormat="1" applyFont="1" applyFill="1" applyBorder="1" applyAlignment="1">
      <alignment horizontal="center" vertical="center"/>
    </xf>
    <xf numFmtId="167" fontId="0" fillId="0" borderId="0" xfId="0" applyNumberFormat="1"/>
    <xf numFmtId="0" fontId="0" fillId="0" borderId="10" xfId="1" applyNumberFormat="1" applyFont="1" applyFill="1" applyBorder="1"/>
    <xf numFmtId="0" fontId="21" fillId="0" borderId="0" xfId="0" applyFont="1"/>
    <xf numFmtId="0" fontId="21" fillId="0" borderId="2" xfId="0" applyFont="1" applyBorder="1"/>
    <xf numFmtId="0" fontId="21" fillId="5" borderId="0" xfId="0" applyFont="1" applyFill="1"/>
    <xf numFmtId="0" fontId="0" fillId="5" borderId="2" xfId="0" applyFill="1" applyBorder="1"/>
    <xf numFmtId="0" fontId="21" fillId="0" borderId="10" xfId="0" applyFont="1" applyBorder="1"/>
    <xf numFmtId="0" fontId="14" fillId="3" borderId="25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/>
    </xf>
    <xf numFmtId="0" fontId="9" fillId="4" borderId="26" xfId="0" applyFont="1" applyFill="1" applyBorder="1" applyAlignment="1">
      <alignment horizontal="center"/>
    </xf>
    <xf numFmtId="0" fontId="9" fillId="4" borderId="27" xfId="0" applyFont="1" applyFill="1" applyBorder="1" applyAlignment="1">
      <alignment horizontal="center"/>
    </xf>
    <xf numFmtId="0" fontId="9" fillId="4" borderId="31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32" xfId="0" applyFont="1" applyFill="1" applyBorder="1" applyAlignment="1">
      <alignment horizontal="center"/>
    </xf>
    <xf numFmtId="0" fontId="9" fillId="4" borderId="28" xfId="0" applyFont="1" applyFill="1" applyBorder="1" applyAlignment="1">
      <alignment horizontal="center"/>
    </xf>
    <xf numFmtId="0" fontId="9" fillId="4" borderId="29" xfId="0" applyFont="1" applyFill="1" applyBorder="1" applyAlignment="1">
      <alignment horizontal="center"/>
    </xf>
    <xf numFmtId="0" fontId="9" fillId="4" borderId="30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14" fillId="3" borderId="36" xfId="0" applyFont="1" applyFill="1" applyBorder="1" applyAlignment="1">
      <alignment horizontal="center"/>
    </xf>
    <xf numFmtId="0" fontId="14" fillId="3" borderId="37" xfId="0" applyFont="1" applyFill="1" applyBorder="1" applyAlignment="1">
      <alignment horizontal="center"/>
    </xf>
    <xf numFmtId="0" fontId="14" fillId="3" borderId="38" xfId="0" applyFont="1" applyFill="1" applyBorder="1" applyAlignment="1">
      <alignment horizontal="center"/>
    </xf>
    <xf numFmtId="0" fontId="14" fillId="3" borderId="33" xfId="0" applyFont="1" applyFill="1" applyBorder="1" applyAlignment="1">
      <alignment horizontal="center"/>
    </xf>
    <xf numFmtId="0" fontId="14" fillId="3" borderId="34" xfId="0" applyFont="1" applyFill="1" applyBorder="1" applyAlignment="1">
      <alignment horizontal="center"/>
    </xf>
    <xf numFmtId="0" fontId="14" fillId="3" borderId="35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9" fontId="0" fillId="0" borderId="2" xfId="0" applyNumberFormat="1" applyBorder="1"/>
    <xf numFmtId="169" fontId="0" fillId="0" borderId="10" xfId="0" applyNumberFormat="1" applyBorder="1"/>
    <xf numFmtId="169" fontId="0" fillId="0" borderId="0" xfId="0" applyNumberFormat="1"/>
    <xf numFmtId="169" fontId="16" fillId="0" borderId="0" xfId="4" applyNumberFormat="1"/>
    <xf numFmtId="169" fontId="16" fillId="0" borderId="2" xfId="4" applyNumberFormat="1" applyBorder="1"/>
    <xf numFmtId="169" fontId="21" fillId="0" borderId="0" xfId="0" applyNumberFormat="1" applyFont="1"/>
    <xf numFmtId="169" fontId="22" fillId="0" borderId="0" xfId="0" applyNumberFormat="1" applyFont="1"/>
    <xf numFmtId="169" fontId="21" fillId="0" borderId="2" xfId="0" applyNumberFormat="1" applyFont="1" applyBorder="1"/>
    <xf numFmtId="2" fontId="0" fillId="0" borderId="2" xfId="1" applyNumberFormat="1" applyFont="1" applyBorder="1"/>
    <xf numFmtId="2" fontId="0" fillId="0" borderId="0" xfId="1" applyNumberFormat="1" applyFont="1"/>
    <xf numFmtId="2" fontId="0" fillId="0" borderId="2" xfId="1" applyNumberFormat="1" applyFont="1" applyFill="1" applyBorder="1"/>
    <xf numFmtId="2" fontId="0" fillId="0" borderId="2" xfId="0" applyNumberFormat="1" applyBorder="1"/>
    <xf numFmtId="2" fontId="0" fillId="0" borderId="0" xfId="1" applyNumberFormat="1" applyFont="1" applyBorder="1"/>
    <xf numFmtId="2" fontId="0" fillId="0" borderId="10" xfId="1" applyNumberFormat="1" applyFont="1" applyBorder="1"/>
    <xf numFmtId="2" fontId="0" fillId="0" borderId="10" xfId="1" applyNumberFormat="1" applyFont="1" applyFill="1" applyBorder="1"/>
    <xf numFmtId="2" fontId="7" fillId="0" borderId="2" xfId="3" applyNumberFormat="1" applyFont="1" applyFill="1" applyBorder="1"/>
    <xf numFmtId="2" fontId="0" fillId="0" borderId="0" xfId="0" applyNumberFormat="1"/>
    <xf numFmtId="2" fontId="21" fillId="0" borderId="0" xfId="0" applyNumberFormat="1" applyFont="1"/>
    <xf numFmtId="2" fontId="21" fillId="0" borderId="0" xfId="1" applyNumberFormat="1" applyFont="1" applyFill="1" applyBorder="1" applyAlignment="1"/>
    <xf numFmtId="2" fontId="0" fillId="0" borderId="4" xfId="1" applyNumberFormat="1" applyFont="1" applyBorder="1"/>
    <xf numFmtId="2" fontId="0" fillId="0" borderId="4" xfId="1" applyNumberFormat="1" applyFont="1" applyFill="1" applyBorder="1"/>
    <xf numFmtId="2" fontId="0" fillId="0" borderId="3" xfId="1" applyNumberFormat="1" applyFont="1" applyFill="1" applyBorder="1"/>
  </cellXfs>
  <cellStyles count="5">
    <cellStyle name="Hiperlink" xfId="3" builtinId="8"/>
    <cellStyle name="Moeda" xfId="1" builtinId="4"/>
    <cellStyle name="Normal" xfId="0" builtinId="0"/>
    <cellStyle name="Normal 2" xfId="4" xr:uid="{922E2DC1-CB6B-460E-B8F5-8C8551F791D1}"/>
    <cellStyle name="Porcentagem" xfId="2" builtinId="5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yyyy\-mm\-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9" formatCode="yyyy\-mm\-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</dxf>
    <dxf>
      <numFmt numFmtId="165" formatCode="[$-F800]dddd\,\ mmmm\ dd\,\ yyyy"/>
    </dxf>
    <dxf>
      <numFmt numFmtId="165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FATURAMENTO GERAL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'CONFIG FAT.ANUAL'!$B$2:$B$13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'CONFIG FAT.ANUAL'!$C$2:$C$13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7-44B2-A954-D2D22C7FD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783200"/>
        <c:axId val="2099816640"/>
      </c:barChart>
      <c:catAx>
        <c:axId val="177778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9816640"/>
        <c:crosses val="autoZero"/>
        <c:auto val="1"/>
        <c:lblAlgn val="ctr"/>
        <c:lblOffset val="100"/>
        <c:noMultiLvlLbl val="0"/>
      </c:catAx>
      <c:valAx>
        <c:axId val="209981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778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FATURAMENTO META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'CONFIG FAT.ANUAL'!$E$2:$E$13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'CONFIG FAT.ANUAL'!$F$2:$F$13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A-4A6D-90C5-FF61F4348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70048"/>
        <c:axId val="49664176"/>
      </c:barChart>
      <c:catAx>
        <c:axId val="1277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64176"/>
        <c:crosses val="autoZero"/>
        <c:auto val="1"/>
        <c:lblAlgn val="ctr"/>
        <c:lblOffset val="100"/>
        <c:noMultiLvlLbl val="0"/>
      </c:catAx>
      <c:valAx>
        <c:axId val="496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7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[CONTROLES.xlsx]COMPARATIVO MECANICO MÊS!Tabela dinâmica7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'COMPARATIVO MECANICO MÊS'!$B$10</c:f>
              <c:strCache>
                <c:ptCount val="1"/>
                <c:pt idx="0">
                  <c:v>Soma de JANEIRO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'COMPARATIVO MECANICO MÊS'!$A$11:$A$16</c:f>
              <c:strCache>
                <c:ptCount val="5"/>
                <c:pt idx="0">
                  <c:v>JUCIMAR</c:v>
                </c:pt>
                <c:pt idx="1">
                  <c:v>LEANDRO</c:v>
                </c:pt>
                <c:pt idx="2">
                  <c:v>NATANAEL</c:v>
                </c:pt>
                <c:pt idx="3">
                  <c:v>VAGNER</c:v>
                </c:pt>
                <c:pt idx="4">
                  <c:v>VANDO</c:v>
                </c:pt>
              </c:strCache>
            </c:strRef>
          </c:cat>
          <c:val>
            <c:numRef>
              <c:f>'COMPARATIVO MECANICO MÊS'!$B$11:$B$16</c:f>
              <c:numCache>
                <c:formatCode>_("R$"* #,##0.00_);_("R$"* \(#,##0.00\);_("R$"* "-"??_);_(@_)</c:formatCode>
                <c:ptCount val="5"/>
                <c:pt idx="0">
                  <c:v>17687.16</c:v>
                </c:pt>
                <c:pt idx="1">
                  <c:v>10798.710000000001</c:v>
                </c:pt>
                <c:pt idx="2">
                  <c:v>18928.219999999998</c:v>
                </c:pt>
                <c:pt idx="3">
                  <c:v>13824.16</c:v>
                </c:pt>
                <c:pt idx="4">
                  <c:v>12848.359999999999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1-47C4-81E0-148F5F363FA0}"/>
            </c:ext>
          </c:extLst>
        </c:ser>
        <c:ser>
          <c:idx val="1"/>
          <c:order val="1"/>
          <c:tx>
            <c:strRef>
              <c:f>'COMPARATIVO MECANICO MÊS'!$C$10</c:f>
              <c:strCache>
                <c:ptCount val="1"/>
                <c:pt idx="0">
                  <c:v>Soma de FEVEREIRO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'COMPARATIVO MECANICO MÊS'!$A$11:$A$16</c:f>
              <c:strCache>
                <c:ptCount val="5"/>
                <c:pt idx="0">
                  <c:v>JUCIMAR</c:v>
                </c:pt>
                <c:pt idx="1">
                  <c:v>LEANDRO</c:v>
                </c:pt>
                <c:pt idx="2">
                  <c:v>NATANAEL</c:v>
                </c:pt>
                <c:pt idx="3">
                  <c:v>VAGNER</c:v>
                </c:pt>
                <c:pt idx="4">
                  <c:v>VANDO</c:v>
                </c:pt>
              </c:strCache>
            </c:strRef>
          </c:cat>
          <c:val>
            <c:numRef>
              <c:f>'COMPARATIVO MECANICO MÊS'!$C$11:$C$16</c:f>
              <c:numCache>
                <c:formatCode>_("R$"* #,##0.00_);_("R$"* \(#,##0.00\);_("R$"* "-"??_);_(@_)</c:formatCode>
                <c:ptCount val="5"/>
                <c:pt idx="0">
                  <c:v>1623.56</c:v>
                </c:pt>
                <c:pt idx="1">
                  <c:v>14099.830000000002</c:v>
                </c:pt>
                <c:pt idx="2">
                  <c:v>13012.640000000001</c:v>
                </c:pt>
                <c:pt idx="3">
                  <c:v>11116.88</c:v>
                </c:pt>
                <c:pt idx="4">
                  <c:v>8622.7999999999993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1-47C4-81E0-148F5F363FA0}"/>
            </c:ext>
          </c:extLst>
        </c:ser>
        <c:ser>
          <c:idx val="2"/>
          <c:order val="2"/>
          <c:tx>
            <c:strRef>
              <c:f>'COMPARATIVO MECANICO MÊS'!$D$10</c:f>
              <c:strCache>
                <c:ptCount val="1"/>
                <c:pt idx="0">
                  <c:v>Soma de MARÇO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'COMPARATIVO MECANICO MÊS'!$A$11:$A$16</c:f>
              <c:strCache>
                <c:ptCount val="5"/>
                <c:pt idx="0">
                  <c:v>JUCIMAR</c:v>
                </c:pt>
                <c:pt idx="1">
                  <c:v>LEANDRO</c:v>
                </c:pt>
                <c:pt idx="2">
                  <c:v>NATANAEL</c:v>
                </c:pt>
                <c:pt idx="3">
                  <c:v>VAGNER</c:v>
                </c:pt>
                <c:pt idx="4">
                  <c:v>VANDO</c:v>
                </c:pt>
              </c:strCache>
            </c:strRef>
          </c:cat>
          <c:val>
            <c:numRef>
              <c:f>'COMPARATIVO MECANICO MÊS'!$D$11:$D$16</c:f>
              <c:numCache>
                <c:formatCode>_("R$"* #,##0.00_);_("R$"* \(#,##0.00\);_("R$"*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51-47C4-81E0-148F5F363FA0}"/>
            </c:ext>
          </c:extLst>
        </c:ser>
        <c:ser>
          <c:idx val="3"/>
          <c:order val="3"/>
          <c:tx>
            <c:strRef>
              <c:f>'COMPARATIVO MECANICO MÊS'!$E$10</c:f>
              <c:strCache>
                <c:ptCount val="1"/>
                <c:pt idx="0">
                  <c:v>Soma de ABRIL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'COMPARATIVO MECANICO MÊS'!$A$11:$A$16</c:f>
              <c:strCache>
                <c:ptCount val="5"/>
                <c:pt idx="0">
                  <c:v>JUCIMAR</c:v>
                </c:pt>
                <c:pt idx="1">
                  <c:v>LEANDRO</c:v>
                </c:pt>
                <c:pt idx="2">
                  <c:v>NATANAEL</c:v>
                </c:pt>
                <c:pt idx="3">
                  <c:v>VAGNER</c:v>
                </c:pt>
                <c:pt idx="4">
                  <c:v>VANDO</c:v>
                </c:pt>
              </c:strCache>
            </c:strRef>
          </c:cat>
          <c:val>
            <c:numRef>
              <c:f>'COMPARATIVO MECANICO MÊS'!$E$11:$E$16</c:f>
              <c:numCache>
                <c:formatCode>_("R$"* #,##0.00_);_("R$"* \(#,##0.00\);_("R$"*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51-47C4-81E0-148F5F363FA0}"/>
            </c:ext>
          </c:extLst>
        </c:ser>
        <c:ser>
          <c:idx val="4"/>
          <c:order val="4"/>
          <c:tx>
            <c:strRef>
              <c:f>'COMPARATIVO MECANICO MÊS'!$F$10</c:f>
              <c:strCache>
                <c:ptCount val="1"/>
                <c:pt idx="0">
                  <c:v>Soma de MAIO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'COMPARATIVO MECANICO MÊS'!$A$11:$A$16</c:f>
              <c:strCache>
                <c:ptCount val="5"/>
                <c:pt idx="0">
                  <c:v>JUCIMAR</c:v>
                </c:pt>
                <c:pt idx="1">
                  <c:v>LEANDRO</c:v>
                </c:pt>
                <c:pt idx="2">
                  <c:v>NATANAEL</c:v>
                </c:pt>
                <c:pt idx="3">
                  <c:v>VAGNER</c:v>
                </c:pt>
                <c:pt idx="4">
                  <c:v>VANDO</c:v>
                </c:pt>
              </c:strCache>
            </c:strRef>
          </c:cat>
          <c:val>
            <c:numRef>
              <c:f>'COMPARATIVO MECANICO MÊS'!$F$11:$F$16</c:f>
              <c:numCache>
                <c:formatCode>_("R$"* #,##0.00_);_("R$"* \(#,##0.00\);_("R$"*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51-47C4-81E0-148F5F363FA0}"/>
            </c:ext>
          </c:extLst>
        </c:ser>
        <c:ser>
          <c:idx val="5"/>
          <c:order val="5"/>
          <c:tx>
            <c:strRef>
              <c:f>'COMPARATIVO MECANICO MÊS'!$G$10</c:f>
              <c:strCache>
                <c:ptCount val="1"/>
                <c:pt idx="0">
                  <c:v>Soma de JUNHO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'COMPARATIVO MECANICO MÊS'!$A$11:$A$16</c:f>
              <c:strCache>
                <c:ptCount val="5"/>
                <c:pt idx="0">
                  <c:v>JUCIMAR</c:v>
                </c:pt>
                <c:pt idx="1">
                  <c:v>LEANDRO</c:v>
                </c:pt>
                <c:pt idx="2">
                  <c:v>NATANAEL</c:v>
                </c:pt>
                <c:pt idx="3">
                  <c:v>VAGNER</c:v>
                </c:pt>
                <c:pt idx="4">
                  <c:v>VANDO</c:v>
                </c:pt>
              </c:strCache>
            </c:strRef>
          </c:cat>
          <c:val>
            <c:numRef>
              <c:f>'COMPARATIVO MECANICO MÊS'!$G$11:$G$16</c:f>
              <c:numCache>
                <c:formatCode>_("R$"* #,##0.00_);_("R$"* \(#,##0.00\);_("R$"*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51-47C4-81E0-148F5F363FA0}"/>
            </c:ext>
          </c:extLst>
        </c:ser>
        <c:ser>
          <c:idx val="6"/>
          <c:order val="6"/>
          <c:tx>
            <c:strRef>
              <c:f>'COMPARATIVO MECANICO MÊS'!$H$10</c:f>
              <c:strCache>
                <c:ptCount val="1"/>
                <c:pt idx="0">
                  <c:v>Soma de JULHO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'COMPARATIVO MECANICO MÊS'!$A$11:$A$16</c:f>
              <c:strCache>
                <c:ptCount val="5"/>
                <c:pt idx="0">
                  <c:v>JUCIMAR</c:v>
                </c:pt>
                <c:pt idx="1">
                  <c:v>LEANDRO</c:v>
                </c:pt>
                <c:pt idx="2">
                  <c:v>NATANAEL</c:v>
                </c:pt>
                <c:pt idx="3">
                  <c:v>VAGNER</c:v>
                </c:pt>
                <c:pt idx="4">
                  <c:v>VANDO</c:v>
                </c:pt>
              </c:strCache>
            </c:strRef>
          </c:cat>
          <c:val>
            <c:numRef>
              <c:f>'COMPARATIVO MECANICO MÊS'!$H$11:$H$16</c:f>
              <c:numCache>
                <c:formatCode>_("R$"* #,##0.00_);_("R$"* \(#,##0.00\);_("R$"*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51-47C4-81E0-148F5F363FA0}"/>
            </c:ext>
          </c:extLst>
        </c:ser>
        <c:ser>
          <c:idx val="7"/>
          <c:order val="7"/>
          <c:tx>
            <c:strRef>
              <c:f>'COMPARATIVO MECANICO MÊS'!$I$10</c:f>
              <c:strCache>
                <c:ptCount val="1"/>
                <c:pt idx="0">
                  <c:v>Soma de AGOSTO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'COMPARATIVO MECANICO MÊS'!$A$11:$A$16</c:f>
              <c:strCache>
                <c:ptCount val="5"/>
                <c:pt idx="0">
                  <c:v>JUCIMAR</c:v>
                </c:pt>
                <c:pt idx="1">
                  <c:v>LEANDRO</c:v>
                </c:pt>
                <c:pt idx="2">
                  <c:v>NATANAEL</c:v>
                </c:pt>
                <c:pt idx="3">
                  <c:v>VAGNER</c:v>
                </c:pt>
                <c:pt idx="4">
                  <c:v>VANDO</c:v>
                </c:pt>
              </c:strCache>
            </c:strRef>
          </c:cat>
          <c:val>
            <c:numRef>
              <c:f>'COMPARATIVO MECANICO MÊS'!$I$11:$I$16</c:f>
              <c:numCache>
                <c:formatCode>_("R$"* #,##0.00_);_("R$"* \(#,##0.00\);_("R$"*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51-47C4-81E0-148F5F363FA0}"/>
            </c:ext>
          </c:extLst>
        </c:ser>
        <c:ser>
          <c:idx val="8"/>
          <c:order val="8"/>
          <c:tx>
            <c:strRef>
              <c:f>'COMPARATIVO MECANICO MÊS'!$J$10</c:f>
              <c:strCache>
                <c:ptCount val="1"/>
                <c:pt idx="0">
                  <c:v>Soma de SETEMBRO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'COMPARATIVO MECANICO MÊS'!$A$11:$A$16</c:f>
              <c:strCache>
                <c:ptCount val="5"/>
                <c:pt idx="0">
                  <c:v>JUCIMAR</c:v>
                </c:pt>
                <c:pt idx="1">
                  <c:v>LEANDRO</c:v>
                </c:pt>
                <c:pt idx="2">
                  <c:v>NATANAEL</c:v>
                </c:pt>
                <c:pt idx="3">
                  <c:v>VAGNER</c:v>
                </c:pt>
                <c:pt idx="4">
                  <c:v>VANDO</c:v>
                </c:pt>
              </c:strCache>
            </c:strRef>
          </c:cat>
          <c:val>
            <c:numRef>
              <c:f>'COMPARATIVO MECANICO MÊS'!$J$11:$J$16</c:f>
              <c:numCache>
                <c:formatCode>_("R$"* #,##0.00_);_("R$"* \(#,##0.00\);_("R$"*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51-47C4-81E0-148F5F363FA0}"/>
            </c:ext>
          </c:extLst>
        </c:ser>
        <c:ser>
          <c:idx val="9"/>
          <c:order val="9"/>
          <c:tx>
            <c:strRef>
              <c:f>'COMPARATIVO MECANICO MÊS'!$K$10</c:f>
              <c:strCache>
                <c:ptCount val="1"/>
                <c:pt idx="0">
                  <c:v>Soma de OUTUBRO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'COMPARATIVO MECANICO MÊS'!$A$11:$A$16</c:f>
              <c:strCache>
                <c:ptCount val="5"/>
                <c:pt idx="0">
                  <c:v>JUCIMAR</c:v>
                </c:pt>
                <c:pt idx="1">
                  <c:v>LEANDRO</c:v>
                </c:pt>
                <c:pt idx="2">
                  <c:v>NATANAEL</c:v>
                </c:pt>
                <c:pt idx="3">
                  <c:v>VAGNER</c:v>
                </c:pt>
                <c:pt idx="4">
                  <c:v>VANDO</c:v>
                </c:pt>
              </c:strCache>
            </c:strRef>
          </c:cat>
          <c:val>
            <c:numRef>
              <c:f>'COMPARATIVO MECANICO MÊS'!$K$11:$K$16</c:f>
              <c:numCache>
                <c:formatCode>_("R$"* #,##0.00_);_("R$"* \(#,##0.00\);_("R$"*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51-47C4-81E0-148F5F363FA0}"/>
            </c:ext>
          </c:extLst>
        </c:ser>
        <c:ser>
          <c:idx val="10"/>
          <c:order val="10"/>
          <c:tx>
            <c:strRef>
              <c:f>'COMPARATIVO MECANICO MÊS'!$L$10</c:f>
              <c:strCache>
                <c:ptCount val="1"/>
                <c:pt idx="0">
                  <c:v>Soma de NOVEMBRO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'COMPARATIVO MECANICO MÊS'!$A$11:$A$16</c:f>
              <c:strCache>
                <c:ptCount val="5"/>
                <c:pt idx="0">
                  <c:v>JUCIMAR</c:v>
                </c:pt>
                <c:pt idx="1">
                  <c:v>LEANDRO</c:v>
                </c:pt>
                <c:pt idx="2">
                  <c:v>NATANAEL</c:v>
                </c:pt>
                <c:pt idx="3">
                  <c:v>VAGNER</c:v>
                </c:pt>
                <c:pt idx="4">
                  <c:v>VANDO</c:v>
                </c:pt>
              </c:strCache>
            </c:strRef>
          </c:cat>
          <c:val>
            <c:numRef>
              <c:f>'COMPARATIVO MECANICO MÊS'!$L$11:$L$16</c:f>
              <c:numCache>
                <c:formatCode>_("R$"* #,##0.00_);_("R$"* \(#,##0.00\);_("R$"*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51-47C4-81E0-148F5F363FA0}"/>
            </c:ext>
          </c:extLst>
        </c:ser>
        <c:ser>
          <c:idx val="11"/>
          <c:order val="11"/>
          <c:tx>
            <c:strRef>
              <c:f>'COMPARATIVO MECANICO MÊS'!$M$10</c:f>
              <c:strCache>
                <c:ptCount val="1"/>
                <c:pt idx="0">
                  <c:v>Soma de DEZEMBRO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'COMPARATIVO MECANICO MÊS'!$A$11:$A$16</c:f>
              <c:strCache>
                <c:ptCount val="5"/>
                <c:pt idx="0">
                  <c:v>JUCIMAR</c:v>
                </c:pt>
                <c:pt idx="1">
                  <c:v>LEANDRO</c:v>
                </c:pt>
                <c:pt idx="2">
                  <c:v>NATANAEL</c:v>
                </c:pt>
                <c:pt idx="3">
                  <c:v>VAGNER</c:v>
                </c:pt>
                <c:pt idx="4">
                  <c:v>VANDO</c:v>
                </c:pt>
              </c:strCache>
            </c:strRef>
          </c:cat>
          <c:val>
            <c:numRef>
              <c:f>'COMPARATIVO MECANICO MÊS'!$M$11:$M$16</c:f>
              <c:numCache>
                <c:formatCode>_("R$"* #,##0.00_);_("R$"* \(#,##0.00\);_("R$"*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51-47C4-81E0-148F5F363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324032"/>
        <c:axId val="10896080"/>
      </c:barChart>
      <c:catAx>
        <c:axId val="176532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6080"/>
        <c:crosses val="autoZero"/>
        <c:auto val="1"/>
        <c:lblAlgn val="ctr"/>
        <c:lblOffset val="100"/>
        <c:noMultiLvlLbl val="0"/>
      </c:catAx>
      <c:valAx>
        <c:axId val="1089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5324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SERVIÇOS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Planilha1!#REF!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Planilha1!#REF!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5345-4F2D-A6F7-B6BFD5C151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64668592"/>
        <c:axId val="1590518752"/>
      </c:barChart>
      <c:catAx>
        <c:axId val="176466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0518752"/>
        <c:crosses val="autoZero"/>
        <c:auto val="1"/>
        <c:lblAlgn val="ctr"/>
        <c:lblOffset val="100"/>
        <c:noMultiLvlLbl val="0"/>
      </c:catAx>
      <c:valAx>
        <c:axId val="159051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66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'COMPARATIVO MECANICO MÊS'!$A$20</c:f>
              <c:strCache>
                <c:ptCount val="1"/>
                <c:pt idx="0">
                  <c:v>FATURAMENTO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'COMPARATIVO MECANICO MÊS'!$B$19:$M$19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'COMPARATIVO MECANICO MÊS'!$B$20:$M$20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3-4F96-A029-35730C966DE4}"/>
            </c:ext>
          </c:extLst>
        </c:ser>
        <c:ser>
          <c:idx val="1"/>
          <c:order val="1"/>
          <c:tx>
            <c:strRef>
              <c:f>'COMPARATIVO MECANICO MÊS'!$A$21</c:f>
              <c:strCache>
                <c:ptCount val="1"/>
                <c:pt idx="0">
                  <c:v>GASTOS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'COMPARATIVO MECANICO MÊS'!$B$19:$M$19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'COMPARATIVO MECANICO MÊS'!$B$21:$M$21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E3-4F96-A029-35730C966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8270400"/>
        <c:axId val="1092973008"/>
      </c:barChart>
      <c:catAx>
        <c:axId val="133827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2973008"/>
        <c:crosses val="autoZero"/>
        <c:auto val="1"/>
        <c:lblAlgn val="ctr"/>
        <c:lblOffset val="100"/>
        <c:noMultiLvlLbl val="0"/>
      </c:catAx>
      <c:valAx>
        <c:axId val="10929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827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porcentagem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969-4445-8077-777F9D6D9F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969-4445-8077-777F9D6D9F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Planilha2!$P$1:$Q$1</c:f>
              <c:strCache>
                <c:ptCount val="2"/>
                <c:pt idx="0">
                  <c:v>BENEFICIOS</c:v>
                </c:pt>
                <c:pt idx="1">
                  <c:v>NÃO FEITOS</c:v>
                </c:pt>
              </c:strCache>
            </c:strRef>
          </c:cat>
          <c:val>
            <c:numRef>
              <c:f>Planilha2!$P$2:$Q$2</c:f>
              <c:numCache>
                <c:formatCode>General</c:formatCode>
                <c:ptCount val="2"/>
                <c:pt idx="0">
                  <c:v>36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9-455E-9CDF-E7452EB2EEC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390525</xdr:colOff>
      <xdr:row>8</xdr:row>
      <xdr:rowOff>114300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9C91B65-5A02-2608-3D23-CFE8B737658D}"/>
            </a:ext>
          </a:extLst>
        </xdr:cNvPr>
        <xdr:cNvSpPr/>
      </xdr:nvSpPr>
      <xdr:spPr>
        <a:xfrm>
          <a:off x="0" y="0"/>
          <a:ext cx="13801725" cy="1638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>
              <a:solidFill>
                <a:sysClr val="windowText" lastClr="000000"/>
              </a:solidFill>
            </a:rPr>
            <a:t>GRAFICOS DE DESENPENHO FATURAMENTO</a:t>
          </a:r>
        </a:p>
      </xdr:txBody>
    </xdr:sp>
    <xdr:clientData/>
  </xdr:twoCellAnchor>
  <xdr:twoCellAnchor>
    <xdr:from>
      <xdr:col>0</xdr:col>
      <xdr:colOff>76200</xdr:colOff>
      <xdr:row>10</xdr:row>
      <xdr:rowOff>171450</xdr:rowOff>
    </xdr:from>
    <xdr:to>
      <xdr:col>10</xdr:col>
      <xdr:colOff>504825</xdr:colOff>
      <xdr:row>25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0FCCF5E-DE78-4D6D-8404-AED92784A1B9}"/>
            </a:ext>
            <a:ext uri="{147F2762-F138-4A5C-976F-8EAC2B608ADB}">
              <a16:predDERef xmlns:a16="http://schemas.microsoft.com/office/drawing/2014/main" pred="{79C91B65-5A02-2608-3D23-CFE8B7376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161924</xdr:colOff>
      <xdr:row>10</xdr:row>
      <xdr:rowOff>180975</xdr:rowOff>
    </xdr:from>
    <xdr:to>
      <xdr:col>21</xdr:col>
      <xdr:colOff>380999</xdr:colOff>
      <xdr:row>25</xdr:row>
      <xdr:rowOff>66675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5286B18-1C59-4A50-A7C7-4E9FF4465366}"/>
            </a:ext>
            <a:ext uri="{147F2762-F138-4A5C-976F-8EAC2B608ADB}">
              <a16:predDERef xmlns:a16="http://schemas.microsoft.com/office/drawing/2014/main" pred="{20FCCF5E-DE78-4D6D-8404-AED92784A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27</xdr:row>
      <xdr:rowOff>190499</xdr:rowOff>
    </xdr:from>
    <xdr:to>
      <xdr:col>19</xdr:col>
      <xdr:colOff>28574</xdr:colOff>
      <xdr:row>55</xdr:row>
      <xdr:rowOff>180975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BDE5D68-A9F5-4E18-986D-422F6B3C3259}"/>
            </a:ext>
            <a:ext uri="{147F2762-F138-4A5C-976F-8EAC2B608ADB}">
              <a16:predDERef xmlns:a16="http://schemas.microsoft.com/office/drawing/2014/main" pred="{F5286B18-1C59-4A50-A7C7-4E9FF44653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57</xdr:row>
      <xdr:rowOff>0</xdr:rowOff>
    </xdr:from>
    <xdr:to>
      <xdr:col>22</xdr:col>
      <xdr:colOff>390525</xdr:colOff>
      <xdr:row>65</xdr:row>
      <xdr:rowOff>114300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9CDDFA95-A1DB-48B3-86BB-F142A67F7A35}"/>
            </a:ext>
          </a:extLst>
        </xdr:cNvPr>
        <xdr:cNvSpPr/>
      </xdr:nvSpPr>
      <xdr:spPr>
        <a:xfrm>
          <a:off x="0" y="10858500"/>
          <a:ext cx="13801725" cy="1638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>
              <a:solidFill>
                <a:sysClr val="windowText" lastClr="000000"/>
              </a:solidFill>
            </a:rPr>
            <a:t>GRAFICOS DE DESENPENHO GASTOS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330994</xdr:colOff>
      <xdr:row>10</xdr:row>
      <xdr:rowOff>117473</xdr:rowOff>
    </xdr:from>
    <xdr:to>
      <xdr:col>4</xdr:col>
      <xdr:colOff>320200</xdr:colOff>
      <xdr:row>14</xdr:row>
      <xdr:rowOff>41273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F1DF6D6A-2963-95F5-BD19-AA9EC7EBDC4D}"/>
            </a:ext>
          </a:extLst>
        </xdr:cNvPr>
        <xdr:cNvGrpSpPr/>
      </xdr:nvGrpSpPr>
      <xdr:grpSpPr>
        <a:xfrm>
          <a:off x="3045619" y="2189161"/>
          <a:ext cx="3072925" cy="685800"/>
          <a:chOff x="361950" y="962025"/>
          <a:chExt cx="1714500" cy="685800"/>
        </a:xfrm>
      </xdr:grpSpPr>
      <xdr:sp macro="" textlink="">
        <xdr:nvSpPr>
          <xdr:cNvPr id="6" name="Retângulo: Cantos Superiores Recortados 5">
            <a:extLst>
              <a:ext uri="{FF2B5EF4-FFF2-40B4-BE49-F238E27FC236}">
                <a16:creationId xmlns:a16="http://schemas.microsoft.com/office/drawing/2014/main" id="{C9877BE1-0C44-91EB-E7EC-92CC64D3D055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>
                <a:solidFill>
                  <a:schemeClr val="bg1"/>
                </a:solidFill>
              </a:rPr>
              <a:t>VALOR</a:t>
            </a:r>
            <a:r>
              <a:rPr lang="pt-BR" sz="1600" b="1" i="1" baseline="0">
                <a:solidFill>
                  <a:schemeClr val="bg1"/>
                </a:solidFill>
              </a:rPr>
              <a:t> GASTO NO MÊS: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8" name="Retângulo 7">
            <a:extLst>
              <a:ext uri="{FF2B5EF4-FFF2-40B4-BE49-F238E27FC236}">
                <a16:creationId xmlns:a16="http://schemas.microsoft.com/office/drawing/2014/main" id="{5F96498F-4BF9-BFBC-727F-B6C3C224665D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6A67E487-197F-4097-BA2A-A6C60B1AF717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</a:t>
            </a:fld>
            <a:endParaRPr lang="pt-BR" sz="40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590550</xdr:colOff>
      <xdr:row>4</xdr:row>
      <xdr:rowOff>95250</xdr:rowOff>
    </xdr:from>
    <xdr:to>
      <xdr:col>4</xdr:col>
      <xdr:colOff>518583</xdr:colOff>
      <xdr:row>8</xdr:row>
      <xdr:rowOff>19050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692AC33E-5738-4C01-B2A3-7F2AB6030CCE}"/>
            </a:ext>
          </a:extLst>
        </xdr:cNvPr>
        <xdr:cNvGrpSpPr/>
      </xdr:nvGrpSpPr>
      <xdr:grpSpPr>
        <a:xfrm>
          <a:off x="3305175" y="1023938"/>
          <a:ext cx="3011752" cy="685800"/>
          <a:chOff x="361950" y="962025"/>
          <a:chExt cx="1714500" cy="685800"/>
        </a:xfrm>
      </xdr:grpSpPr>
      <xdr:sp macro="" textlink="">
        <xdr:nvSpPr>
          <xdr:cNvPr id="11" name="Retângulo: Cantos Superiores Recortados 10">
            <a:extLst>
              <a:ext uri="{FF2B5EF4-FFF2-40B4-BE49-F238E27FC236}">
                <a16:creationId xmlns:a16="http://schemas.microsoft.com/office/drawing/2014/main" id="{5FFC95FB-B221-330A-133D-F84E1A880184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>
                <a:solidFill>
                  <a:schemeClr val="bg1"/>
                </a:solidFill>
              </a:rPr>
              <a:t>VALOR</a:t>
            </a:r>
            <a:r>
              <a:rPr lang="pt-BR" sz="1600" b="1" i="1" baseline="0">
                <a:solidFill>
                  <a:schemeClr val="bg1"/>
                </a:solidFill>
              </a:rPr>
              <a:t> FATURAMENTO DO MÊS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2" name="Retângulo 11">
            <a:extLst>
              <a:ext uri="{FF2B5EF4-FFF2-40B4-BE49-F238E27FC236}">
                <a16:creationId xmlns:a16="http://schemas.microsoft.com/office/drawing/2014/main" id="{2333E390-2083-17BF-A13C-141762B357D8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03A94DDE-476C-4F68-8AFC-B06A3D8A19F7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R$ 136.049,59 </a:t>
            </a:fld>
            <a:endParaRPr lang="pt-BR" sz="20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74083</xdr:colOff>
      <xdr:row>4</xdr:row>
      <xdr:rowOff>84667</xdr:rowOff>
    </xdr:from>
    <xdr:to>
      <xdr:col>2</xdr:col>
      <xdr:colOff>444501</xdr:colOff>
      <xdr:row>8</xdr:row>
      <xdr:rowOff>105833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04837E1B-2A87-4D3E-A857-D41EB2915BCB}"/>
            </a:ext>
          </a:extLst>
        </xdr:cNvPr>
        <xdr:cNvGrpSpPr/>
      </xdr:nvGrpSpPr>
      <xdr:grpSpPr>
        <a:xfrm>
          <a:off x="74083" y="1013355"/>
          <a:ext cx="3085043" cy="783166"/>
          <a:chOff x="361950" y="962025"/>
          <a:chExt cx="1714500" cy="685800"/>
        </a:xfrm>
      </xdr:grpSpPr>
      <xdr:sp macro="" textlink="">
        <xdr:nvSpPr>
          <xdr:cNvPr id="14" name="Retângulo: Cantos Superiores Recortados 13">
            <a:extLst>
              <a:ext uri="{FF2B5EF4-FFF2-40B4-BE49-F238E27FC236}">
                <a16:creationId xmlns:a16="http://schemas.microsoft.com/office/drawing/2014/main" id="{B5F6757D-5A2C-84A9-AB37-345B4CA4522B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>
                <a:solidFill>
                  <a:schemeClr val="bg1"/>
                </a:solidFill>
              </a:rPr>
              <a:t>FATURAMENTO</a:t>
            </a:r>
            <a:r>
              <a:rPr lang="pt-BR" sz="1600" b="1" i="1" baseline="0">
                <a:solidFill>
                  <a:schemeClr val="bg1"/>
                </a:solidFill>
              </a:rPr>
              <a:t> META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5" name="Retângulo 14">
            <a:extLst>
              <a:ext uri="{FF2B5EF4-FFF2-40B4-BE49-F238E27FC236}">
                <a16:creationId xmlns:a16="http://schemas.microsoft.com/office/drawing/2014/main" id="{2262313E-AD1E-397C-7DCB-32BE0C24B630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927E455-B757-4700-AEBF-386507FAB1A1}" type="TxLink">
              <a:rPr lang="en-US" sz="24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R$ 120.321,54 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328083</xdr:colOff>
      <xdr:row>4</xdr:row>
      <xdr:rowOff>83609</xdr:rowOff>
    </xdr:from>
    <xdr:to>
      <xdr:col>14</xdr:col>
      <xdr:colOff>131159</xdr:colOff>
      <xdr:row>8</xdr:row>
      <xdr:rowOff>7409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02482962-82D0-48F9-BEB6-4237A6694543}"/>
            </a:ext>
          </a:extLst>
        </xdr:cNvPr>
        <xdr:cNvGrpSpPr/>
      </xdr:nvGrpSpPr>
      <xdr:grpSpPr>
        <a:xfrm>
          <a:off x="10162646" y="1012297"/>
          <a:ext cx="2303388" cy="685800"/>
          <a:chOff x="361950" y="962025"/>
          <a:chExt cx="1714500" cy="685800"/>
        </a:xfrm>
      </xdr:grpSpPr>
      <xdr:sp macro="" textlink="">
        <xdr:nvSpPr>
          <xdr:cNvPr id="17" name="Retângulo: Cantos Superiores Recortados 16">
            <a:extLst>
              <a:ext uri="{FF2B5EF4-FFF2-40B4-BE49-F238E27FC236}">
                <a16:creationId xmlns:a16="http://schemas.microsoft.com/office/drawing/2014/main" id="{E0ADB9BA-2864-44BE-C090-80CB54E62165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>
                <a:solidFill>
                  <a:schemeClr val="bg1"/>
                </a:solidFill>
              </a:rPr>
              <a:t>FATURAMENTO PEÇAS</a:t>
            </a:r>
          </a:p>
        </xdr:txBody>
      </xdr:sp>
      <xdr:sp macro="" textlink="#REF!">
        <xdr:nvSpPr>
          <xdr:cNvPr id="18" name="Retângulo 17">
            <a:extLst>
              <a:ext uri="{FF2B5EF4-FFF2-40B4-BE49-F238E27FC236}">
                <a16:creationId xmlns:a16="http://schemas.microsoft.com/office/drawing/2014/main" id="{3B40EFFC-AB59-7147-2B53-9CF758D5A82F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6317EE91-9A0E-4B07-AEC6-8066CCDA33DD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R$ 86.497,87 </a:t>
            </a:fld>
            <a:endParaRPr lang="pt-BR" sz="40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209549</xdr:colOff>
      <xdr:row>0</xdr:row>
      <xdr:rowOff>76200</xdr:rowOff>
    </xdr:from>
    <xdr:to>
      <xdr:col>8</xdr:col>
      <xdr:colOff>31749</xdr:colOff>
      <xdr:row>3</xdr:row>
      <xdr:rowOff>19050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3FEA7F9C-4E54-49B5-B617-CF9796CF3BC5}"/>
            </a:ext>
          </a:extLst>
        </xdr:cNvPr>
        <xdr:cNvGrpSpPr/>
      </xdr:nvGrpSpPr>
      <xdr:grpSpPr>
        <a:xfrm>
          <a:off x="6007893" y="76200"/>
          <a:ext cx="2643981" cy="681038"/>
          <a:chOff x="361950" y="962025"/>
          <a:chExt cx="1714500" cy="685800"/>
        </a:xfrm>
      </xdr:grpSpPr>
      <xdr:sp macro="" textlink="">
        <xdr:nvSpPr>
          <xdr:cNvPr id="20" name="Retângulo: Cantos Superiores Recortados 19">
            <a:extLst>
              <a:ext uri="{FF2B5EF4-FFF2-40B4-BE49-F238E27FC236}">
                <a16:creationId xmlns:a16="http://schemas.microsoft.com/office/drawing/2014/main" id="{0A7D2AA7-9F16-EDB5-94BC-96B7E9AA02BE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600" b="1">
                <a:solidFill>
                  <a:schemeClr val="bg1"/>
                </a:solidFill>
              </a:rPr>
              <a:t>VALOR</a:t>
            </a:r>
            <a:r>
              <a:rPr lang="pt-BR" sz="1600" b="1" baseline="0">
                <a:solidFill>
                  <a:schemeClr val="bg1"/>
                </a:solidFill>
              </a:rPr>
              <a:t> GASTO NO ANO:</a:t>
            </a:r>
            <a:endParaRPr lang="pt-BR" sz="1600" b="1">
              <a:solidFill>
                <a:schemeClr val="bg1"/>
              </a:solidFill>
            </a:endParaRPr>
          </a:p>
        </xdr:txBody>
      </xdr:sp>
      <xdr:sp macro="" textlink="#REF!">
        <xdr:nvSpPr>
          <xdr:cNvPr id="21" name="Retângulo 20">
            <a:extLst>
              <a:ext uri="{FF2B5EF4-FFF2-40B4-BE49-F238E27FC236}">
                <a16:creationId xmlns:a16="http://schemas.microsoft.com/office/drawing/2014/main" id="{B1A3ABC7-6F69-3AA4-35BC-4388853E12C9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23604DB-D518-4278-BD67-7032F0EEA41E}" type="TxLink">
              <a:rPr lang="en-US" sz="1800" b="0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</a:t>
            </a:fld>
            <a:endParaRPr lang="pt-BR" sz="36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503502</xdr:colOff>
      <xdr:row>10</xdr:row>
      <xdr:rowOff>117742</xdr:rowOff>
    </xdr:from>
    <xdr:to>
      <xdr:col>10</xdr:col>
      <xdr:colOff>182559</xdr:colOff>
      <xdr:row>14</xdr:row>
      <xdr:rowOff>43343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CBCEB3D5-17A1-4289-B4ED-72862C90C9B4}"/>
            </a:ext>
          </a:extLst>
        </xdr:cNvPr>
        <xdr:cNvGrpSpPr/>
      </xdr:nvGrpSpPr>
      <xdr:grpSpPr>
        <a:xfrm>
          <a:off x="6301846" y="2189430"/>
          <a:ext cx="3715276" cy="687601"/>
          <a:chOff x="371475" y="962024"/>
          <a:chExt cx="1710000" cy="763478"/>
        </a:xfrm>
      </xdr:grpSpPr>
      <xdr:sp macro="" textlink="">
        <xdr:nvSpPr>
          <xdr:cNvPr id="23" name="Retângulo: Cantos Superiores Recortados 22">
            <a:extLst>
              <a:ext uri="{FF2B5EF4-FFF2-40B4-BE49-F238E27FC236}">
                <a16:creationId xmlns:a16="http://schemas.microsoft.com/office/drawing/2014/main" id="{1E74A504-EC01-5301-E942-D7B5F77AF313}"/>
              </a:ext>
            </a:extLst>
          </xdr:cNvPr>
          <xdr:cNvSpPr/>
        </xdr:nvSpPr>
        <xdr:spPr>
          <a:xfrm>
            <a:off x="371475" y="962024"/>
            <a:ext cx="1704975" cy="399539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600" b="1" i="1">
                <a:solidFill>
                  <a:schemeClr val="bg1"/>
                </a:solidFill>
              </a:rPr>
              <a:t>VALOR</a:t>
            </a:r>
            <a:r>
              <a:rPr lang="pt-BR" sz="1600" b="1" i="1" baseline="0">
                <a:solidFill>
                  <a:schemeClr val="bg1"/>
                </a:solidFill>
              </a:rPr>
              <a:t> GASTO EM PEÇAS NO MÊS: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24" name="Retângulo 23">
            <a:extLst>
              <a:ext uri="{FF2B5EF4-FFF2-40B4-BE49-F238E27FC236}">
                <a16:creationId xmlns:a16="http://schemas.microsoft.com/office/drawing/2014/main" id="{A60AF4F5-F551-0F97-F9B7-0FB2974DEFAD}"/>
              </a:ext>
            </a:extLst>
          </xdr:cNvPr>
          <xdr:cNvSpPr/>
        </xdr:nvSpPr>
        <xdr:spPr>
          <a:xfrm>
            <a:off x="371475" y="1338061"/>
            <a:ext cx="1710000" cy="387441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10384A3-0B74-4AB8-9F29-9FA1D5DC87EE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-   </a:t>
            </a:fld>
            <a:endParaRPr lang="pt-BR" sz="40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</xdr:col>
      <xdr:colOff>17992</xdr:colOff>
      <xdr:row>8</xdr:row>
      <xdr:rowOff>63505</xdr:rowOff>
    </xdr:from>
    <xdr:to>
      <xdr:col>12</xdr:col>
      <xdr:colOff>402166</xdr:colOff>
      <xdr:row>10</xdr:row>
      <xdr:rowOff>63503</xdr:rowOff>
    </xdr:to>
    <xdr:sp macro="" textlink="">
      <xdr:nvSpPr>
        <xdr:cNvPr id="25" name="Seta: para a Direita 24">
          <a:extLst>
            <a:ext uri="{FF2B5EF4-FFF2-40B4-BE49-F238E27FC236}">
              <a16:creationId xmlns:a16="http://schemas.microsoft.com/office/drawing/2014/main" id="{FA13B6A5-DCB3-909B-1671-015FA136BC23}"/>
            </a:ext>
          </a:extLst>
        </xdr:cNvPr>
        <xdr:cNvSpPr/>
      </xdr:nvSpPr>
      <xdr:spPr>
        <a:xfrm rot="5400000">
          <a:off x="10740497" y="1755250"/>
          <a:ext cx="380998" cy="38417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97894</xdr:colOff>
      <xdr:row>10</xdr:row>
      <xdr:rowOff>153723</xdr:rowOff>
    </xdr:from>
    <xdr:to>
      <xdr:col>16</xdr:col>
      <xdr:colOff>535780</xdr:colOff>
      <xdr:row>14</xdr:row>
      <xdr:rowOff>77523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C4363193-DAC8-4B42-A242-8EE8BF0DAEAF}"/>
            </a:ext>
          </a:extLst>
        </xdr:cNvPr>
        <xdr:cNvGrpSpPr/>
      </xdr:nvGrpSpPr>
      <xdr:grpSpPr>
        <a:xfrm>
          <a:off x="10539675" y="2225411"/>
          <a:ext cx="3545418" cy="685800"/>
          <a:chOff x="361950" y="962025"/>
          <a:chExt cx="1714500" cy="685800"/>
        </a:xfrm>
      </xdr:grpSpPr>
      <xdr:sp macro="" textlink="">
        <xdr:nvSpPr>
          <xdr:cNvPr id="27" name="Retângulo: Cantos Superiores Recortados 26">
            <a:extLst>
              <a:ext uri="{FF2B5EF4-FFF2-40B4-BE49-F238E27FC236}">
                <a16:creationId xmlns:a16="http://schemas.microsoft.com/office/drawing/2014/main" id="{0B61816B-09B6-A7FA-93DF-A330D6AE0046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%  DE GASTOS SOBRE FATURAMENTO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28" name="Retângulo 27">
            <a:extLst>
              <a:ext uri="{FF2B5EF4-FFF2-40B4-BE49-F238E27FC236}">
                <a16:creationId xmlns:a16="http://schemas.microsoft.com/office/drawing/2014/main" id="{380879E0-6A81-34A0-8BB8-D5E71A964C5D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1C6FB077-E8F7-495A-B71B-F98A7CFBBD5F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0</a:t>
            </a:fld>
            <a:endParaRPr lang="pt-BR" sz="40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</xdr:col>
      <xdr:colOff>94192</xdr:colOff>
      <xdr:row>0</xdr:row>
      <xdr:rowOff>86783</xdr:rowOff>
    </xdr:from>
    <xdr:to>
      <xdr:col>11</xdr:col>
      <xdr:colOff>264584</xdr:colOff>
      <xdr:row>3</xdr:row>
      <xdr:rowOff>29633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78A65C4B-CD2B-4C4B-8DDD-238EC384B9D8}"/>
            </a:ext>
          </a:extLst>
        </xdr:cNvPr>
        <xdr:cNvGrpSpPr/>
      </xdr:nvGrpSpPr>
      <xdr:grpSpPr>
        <a:xfrm>
          <a:off x="8714317" y="86783"/>
          <a:ext cx="1992048" cy="681038"/>
          <a:chOff x="361950" y="962025"/>
          <a:chExt cx="1714500" cy="685800"/>
        </a:xfrm>
      </xdr:grpSpPr>
      <xdr:sp macro="" textlink="">
        <xdr:nvSpPr>
          <xdr:cNvPr id="30" name="Retângulo: Cantos Superiores Recortados 29">
            <a:extLst>
              <a:ext uri="{FF2B5EF4-FFF2-40B4-BE49-F238E27FC236}">
                <a16:creationId xmlns:a16="http://schemas.microsoft.com/office/drawing/2014/main" id="{2B6E14C3-325B-0CCA-9E1F-78FB9B9BE937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600" b="1">
                <a:solidFill>
                  <a:schemeClr val="bg1"/>
                </a:solidFill>
              </a:rPr>
              <a:t>VALOR</a:t>
            </a:r>
            <a:r>
              <a:rPr lang="pt-BR" sz="1600" b="1" baseline="0">
                <a:solidFill>
                  <a:schemeClr val="bg1"/>
                </a:solidFill>
              </a:rPr>
              <a:t> FATURADO NO ANO:</a:t>
            </a:r>
            <a:endParaRPr lang="pt-BR" sz="1600" b="1">
              <a:solidFill>
                <a:schemeClr val="bg1"/>
              </a:solidFill>
            </a:endParaRPr>
          </a:p>
        </xdr:txBody>
      </xdr:sp>
      <xdr:sp macro="" textlink="#REF!">
        <xdr:nvSpPr>
          <xdr:cNvPr id="31" name="Retângulo 30">
            <a:extLst>
              <a:ext uri="{FF2B5EF4-FFF2-40B4-BE49-F238E27FC236}">
                <a16:creationId xmlns:a16="http://schemas.microsoft.com/office/drawing/2014/main" id="{D80845C8-83FD-F4B8-BA23-9DD6650DEB09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2E6E903-CE2D-4023-AC87-EB45B7B4D80C}" type="TxLink">
              <a:rPr lang="en-US" sz="18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R$ 377.280,44 </a:t>
            </a:fld>
            <a:endParaRPr lang="pt-BR" sz="3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428626</xdr:colOff>
      <xdr:row>4</xdr:row>
      <xdr:rowOff>99484</xdr:rowOff>
    </xdr:from>
    <xdr:to>
      <xdr:col>9</xdr:col>
      <xdr:colOff>486833</xdr:colOff>
      <xdr:row>8</xdr:row>
      <xdr:rowOff>23284</xdr:rowOff>
    </xdr:to>
    <xdr:grpSp>
      <xdr:nvGrpSpPr>
        <xdr:cNvPr id="32" name="Agrupar 31">
          <a:extLst>
            <a:ext uri="{FF2B5EF4-FFF2-40B4-BE49-F238E27FC236}">
              <a16:creationId xmlns:a16="http://schemas.microsoft.com/office/drawing/2014/main" id="{ECF5DD4B-F4A8-4E79-B21A-80B7BFB8A3BB}"/>
            </a:ext>
          </a:extLst>
        </xdr:cNvPr>
        <xdr:cNvGrpSpPr/>
      </xdr:nvGrpSpPr>
      <xdr:grpSpPr>
        <a:xfrm>
          <a:off x="6834189" y="1028172"/>
          <a:ext cx="2879988" cy="685800"/>
          <a:chOff x="361950" y="962025"/>
          <a:chExt cx="1714500" cy="685800"/>
        </a:xfrm>
      </xdr:grpSpPr>
      <xdr:sp macro="" textlink="">
        <xdr:nvSpPr>
          <xdr:cNvPr id="33" name="Retângulo: Cantos Superiores Recortados 32">
            <a:extLst>
              <a:ext uri="{FF2B5EF4-FFF2-40B4-BE49-F238E27FC236}">
                <a16:creationId xmlns:a16="http://schemas.microsoft.com/office/drawing/2014/main" id="{7B5C4268-DC1E-CFBE-B952-A8CD1E8F931B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>
                <a:solidFill>
                  <a:schemeClr val="bg1"/>
                </a:solidFill>
              </a:rPr>
              <a:t>FATURAMENTO</a:t>
            </a:r>
            <a:r>
              <a:rPr lang="pt-BR" sz="1600" b="1" i="1" baseline="0">
                <a:solidFill>
                  <a:schemeClr val="bg1"/>
                </a:solidFill>
              </a:rPr>
              <a:t> </a:t>
            </a:r>
            <a:r>
              <a:rPr lang="pt-BR" sz="1600" b="1" i="1">
                <a:solidFill>
                  <a:schemeClr val="bg1"/>
                </a:solidFill>
              </a:rPr>
              <a:t>SERVIÇOS:</a:t>
            </a:r>
          </a:p>
        </xdr:txBody>
      </xdr:sp>
      <xdr:sp macro="" textlink="#REF!">
        <xdr:nvSpPr>
          <xdr:cNvPr id="34" name="Retângulo 33">
            <a:extLst>
              <a:ext uri="{FF2B5EF4-FFF2-40B4-BE49-F238E27FC236}">
                <a16:creationId xmlns:a16="http://schemas.microsoft.com/office/drawing/2014/main" id="{BAB8119E-5D67-E86D-F442-C476BFF3B3D9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3024D5C-6758-474B-8579-67BDD85486C6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R$ 49.551,72 </a:t>
            </a:fld>
            <a:endParaRPr lang="pt-BR" sz="40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228600</xdr:colOff>
      <xdr:row>16</xdr:row>
      <xdr:rowOff>152400</xdr:rowOff>
    </xdr:from>
    <xdr:to>
      <xdr:col>1</xdr:col>
      <xdr:colOff>591300</xdr:colOff>
      <xdr:row>20</xdr:row>
      <xdr:rowOff>76200</xdr:rowOff>
    </xdr:to>
    <xdr:grpSp>
      <xdr:nvGrpSpPr>
        <xdr:cNvPr id="35" name="Agrupar 34">
          <a:extLst>
            <a:ext uri="{FF2B5EF4-FFF2-40B4-BE49-F238E27FC236}">
              <a16:creationId xmlns:a16="http://schemas.microsoft.com/office/drawing/2014/main" id="{BC2FDEF8-DAF6-4ECA-B67E-74AF60FE0898}"/>
            </a:ext>
          </a:extLst>
        </xdr:cNvPr>
        <xdr:cNvGrpSpPr/>
      </xdr:nvGrpSpPr>
      <xdr:grpSpPr>
        <a:xfrm>
          <a:off x="228600" y="3593306"/>
          <a:ext cx="1624763" cy="685800"/>
          <a:chOff x="361950" y="962025"/>
          <a:chExt cx="1714500" cy="685800"/>
        </a:xfrm>
      </xdr:grpSpPr>
      <xdr:sp macro="" textlink="">
        <xdr:nvSpPr>
          <xdr:cNvPr id="36" name="Retângulo: Cantos Superiores Recortados 35">
            <a:extLst>
              <a:ext uri="{FF2B5EF4-FFF2-40B4-BE49-F238E27FC236}">
                <a16:creationId xmlns:a16="http://schemas.microsoft.com/office/drawing/2014/main" id="{756218BD-A249-E509-3C44-F9A3AE58B163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JUCIMAR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37" name="Retângulo 36">
            <a:extLst>
              <a:ext uri="{FF2B5EF4-FFF2-40B4-BE49-F238E27FC236}">
                <a16:creationId xmlns:a16="http://schemas.microsoft.com/office/drawing/2014/main" id="{86436BA4-77BE-4E57-BBA5-8E613904A647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0CFD6BA7-28F0-4947-B3EF-B49F95279C9A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R$ 1.623,56 </a:t>
            </a:fld>
            <a:endParaRPr lang="pt-BR" sz="40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885825</xdr:colOff>
      <xdr:row>16</xdr:row>
      <xdr:rowOff>142875</xdr:rowOff>
    </xdr:from>
    <xdr:to>
      <xdr:col>2</xdr:col>
      <xdr:colOff>1048500</xdr:colOff>
      <xdr:row>20</xdr:row>
      <xdr:rowOff>66675</xdr:rowOff>
    </xdr:to>
    <xdr:grpSp>
      <xdr:nvGrpSpPr>
        <xdr:cNvPr id="47" name="Agrupar 46">
          <a:extLst>
            <a:ext uri="{FF2B5EF4-FFF2-40B4-BE49-F238E27FC236}">
              <a16:creationId xmlns:a16="http://schemas.microsoft.com/office/drawing/2014/main" id="{D09FB1FE-FA1E-44B0-9D22-10DB6176DD52}"/>
            </a:ext>
          </a:extLst>
        </xdr:cNvPr>
        <xdr:cNvGrpSpPr/>
      </xdr:nvGrpSpPr>
      <xdr:grpSpPr>
        <a:xfrm>
          <a:off x="2147888" y="3583781"/>
          <a:ext cx="1615237" cy="685800"/>
          <a:chOff x="361950" y="962025"/>
          <a:chExt cx="1714500" cy="685800"/>
        </a:xfrm>
      </xdr:grpSpPr>
      <xdr:sp macro="" textlink="">
        <xdr:nvSpPr>
          <xdr:cNvPr id="48" name="Retângulo: Cantos Superiores Recortados 47">
            <a:extLst>
              <a:ext uri="{FF2B5EF4-FFF2-40B4-BE49-F238E27FC236}">
                <a16:creationId xmlns:a16="http://schemas.microsoft.com/office/drawing/2014/main" id="{52D80B95-10EC-F44E-026B-0AF1A86BC834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LEANDRO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49" name="Retângulo 48">
            <a:extLst>
              <a:ext uri="{FF2B5EF4-FFF2-40B4-BE49-F238E27FC236}">
                <a16:creationId xmlns:a16="http://schemas.microsoft.com/office/drawing/2014/main" id="{94D5330A-5E59-4225-7AF2-66A70EB774B2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1F0BA94C-E8D9-4D49-A8E5-847C1AF86C55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R$ 14.099,83 </a:t>
            </a:fld>
            <a:endParaRPr lang="pt-BR" sz="40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152400</xdr:colOff>
      <xdr:row>16</xdr:row>
      <xdr:rowOff>142875</xdr:rowOff>
    </xdr:from>
    <xdr:to>
      <xdr:col>6</xdr:col>
      <xdr:colOff>553200</xdr:colOff>
      <xdr:row>20</xdr:row>
      <xdr:rowOff>66675</xdr:rowOff>
    </xdr:to>
    <xdr:grpSp>
      <xdr:nvGrpSpPr>
        <xdr:cNvPr id="50" name="Agrupar 49">
          <a:extLst>
            <a:ext uri="{FF2B5EF4-FFF2-40B4-BE49-F238E27FC236}">
              <a16:creationId xmlns:a16="http://schemas.microsoft.com/office/drawing/2014/main" id="{6FA70FBA-1832-4965-A90C-7FF1AC86D867}"/>
            </a:ext>
          </a:extLst>
        </xdr:cNvPr>
        <xdr:cNvGrpSpPr/>
      </xdr:nvGrpSpPr>
      <xdr:grpSpPr>
        <a:xfrm>
          <a:off x="5950744" y="3583781"/>
          <a:ext cx="2008144" cy="685800"/>
          <a:chOff x="361950" y="962025"/>
          <a:chExt cx="1714500" cy="685800"/>
        </a:xfrm>
      </xdr:grpSpPr>
      <xdr:sp macro="" textlink="">
        <xdr:nvSpPr>
          <xdr:cNvPr id="51" name="Retângulo: Cantos Superiores Recortados 50">
            <a:extLst>
              <a:ext uri="{FF2B5EF4-FFF2-40B4-BE49-F238E27FC236}">
                <a16:creationId xmlns:a16="http://schemas.microsoft.com/office/drawing/2014/main" id="{40E991DE-01E6-4653-21FE-636C097169A7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VAGNER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52" name="Retângulo 51">
            <a:extLst>
              <a:ext uri="{FF2B5EF4-FFF2-40B4-BE49-F238E27FC236}">
                <a16:creationId xmlns:a16="http://schemas.microsoft.com/office/drawing/2014/main" id="{894C9581-0B06-5446-2F69-6BDDF13AD86F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CFA0A28-75D8-4EF6-AB1D-AF966DA20C14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R$ 11.116,88 </a:t>
            </a:fld>
            <a:endParaRPr lang="pt-BR" sz="40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206375</xdr:colOff>
      <xdr:row>16</xdr:row>
      <xdr:rowOff>135467</xdr:rowOff>
    </xdr:from>
    <xdr:to>
      <xdr:col>9</xdr:col>
      <xdr:colOff>611408</xdr:colOff>
      <xdr:row>20</xdr:row>
      <xdr:rowOff>59267</xdr:rowOff>
    </xdr:to>
    <xdr:grpSp>
      <xdr:nvGrpSpPr>
        <xdr:cNvPr id="53" name="Agrupar 52">
          <a:extLst>
            <a:ext uri="{FF2B5EF4-FFF2-40B4-BE49-F238E27FC236}">
              <a16:creationId xmlns:a16="http://schemas.microsoft.com/office/drawing/2014/main" id="{016EBFB8-1E0C-4545-92B1-9DEF25450C53}"/>
            </a:ext>
          </a:extLst>
        </xdr:cNvPr>
        <xdr:cNvGrpSpPr/>
      </xdr:nvGrpSpPr>
      <xdr:grpSpPr>
        <a:xfrm>
          <a:off x="8219281" y="3576373"/>
          <a:ext cx="1619471" cy="685800"/>
          <a:chOff x="361950" y="962025"/>
          <a:chExt cx="1714500" cy="685800"/>
        </a:xfrm>
      </xdr:grpSpPr>
      <xdr:sp macro="" textlink="">
        <xdr:nvSpPr>
          <xdr:cNvPr id="54" name="Retângulo: Cantos Superiores Recortados 53">
            <a:extLst>
              <a:ext uri="{FF2B5EF4-FFF2-40B4-BE49-F238E27FC236}">
                <a16:creationId xmlns:a16="http://schemas.microsoft.com/office/drawing/2014/main" id="{8107A4E4-7F8E-7F1F-5388-4744846333EF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VANDO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55" name="Retângulo 54">
            <a:extLst>
              <a:ext uri="{FF2B5EF4-FFF2-40B4-BE49-F238E27FC236}">
                <a16:creationId xmlns:a16="http://schemas.microsoft.com/office/drawing/2014/main" id="{FDD0E445-5EE6-0B11-5E5F-D9BFFF887386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EB2C0DE3-B8BF-4484-902E-975E978E86B6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R$ 8.622,80 </a:t>
            </a:fld>
            <a:endParaRPr lang="pt-BR" sz="40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1323975</xdr:colOff>
      <xdr:row>16</xdr:row>
      <xdr:rowOff>142875</xdr:rowOff>
    </xdr:from>
    <xdr:to>
      <xdr:col>3</xdr:col>
      <xdr:colOff>1296150</xdr:colOff>
      <xdr:row>20</xdr:row>
      <xdr:rowOff>66675</xdr:rowOff>
    </xdr:to>
    <xdr:grpSp>
      <xdr:nvGrpSpPr>
        <xdr:cNvPr id="56" name="Agrupar 55">
          <a:extLst>
            <a:ext uri="{FF2B5EF4-FFF2-40B4-BE49-F238E27FC236}">
              <a16:creationId xmlns:a16="http://schemas.microsoft.com/office/drawing/2014/main" id="{B2EA635C-7525-4818-B128-7D99AA077476}"/>
            </a:ext>
          </a:extLst>
        </xdr:cNvPr>
        <xdr:cNvGrpSpPr/>
      </xdr:nvGrpSpPr>
      <xdr:grpSpPr>
        <a:xfrm>
          <a:off x="4038600" y="3583781"/>
          <a:ext cx="1615238" cy="685800"/>
          <a:chOff x="361950" y="962025"/>
          <a:chExt cx="1714500" cy="685800"/>
        </a:xfrm>
      </xdr:grpSpPr>
      <xdr:sp macro="" textlink="">
        <xdr:nvSpPr>
          <xdr:cNvPr id="57" name="Retângulo: Cantos Superiores Recortados 56">
            <a:extLst>
              <a:ext uri="{FF2B5EF4-FFF2-40B4-BE49-F238E27FC236}">
                <a16:creationId xmlns:a16="http://schemas.microsoft.com/office/drawing/2014/main" id="{CB5CA8F1-B8F2-7A24-17BD-87374A3C09F6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NATANAEL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58" name="Retângulo 57">
            <a:extLst>
              <a:ext uri="{FF2B5EF4-FFF2-40B4-BE49-F238E27FC236}">
                <a16:creationId xmlns:a16="http://schemas.microsoft.com/office/drawing/2014/main" id="{5B1A09F5-398C-C7CC-F828-FA548E41BC19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5A90AC8-C58D-4E8A-A32F-76EF0F305AEC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R$ 13.012,64 </a:t>
            </a:fld>
            <a:endParaRPr lang="pt-BR" sz="40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</xdr:col>
      <xdr:colOff>358775</xdr:colOff>
      <xdr:row>0</xdr:row>
      <xdr:rowOff>97368</xdr:rowOff>
    </xdr:from>
    <xdr:to>
      <xdr:col>14</xdr:col>
      <xdr:colOff>560917</xdr:colOff>
      <xdr:row>3</xdr:row>
      <xdr:rowOff>42335</xdr:rowOff>
    </xdr:to>
    <xdr:grpSp>
      <xdr:nvGrpSpPr>
        <xdr:cNvPr id="59" name="Agrupar 58">
          <a:extLst>
            <a:ext uri="{FF2B5EF4-FFF2-40B4-BE49-F238E27FC236}">
              <a16:creationId xmlns:a16="http://schemas.microsoft.com/office/drawing/2014/main" id="{65B785C3-871A-46EF-88D8-A76E8E1C0808}"/>
            </a:ext>
          </a:extLst>
        </xdr:cNvPr>
        <xdr:cNvGrpSpPr/>
      </xdr:nvGrpSpPr>
      <xdr:grpSpPr>
        <a:xfrm>
          <a:off x="10800556" y="97368"/>
          <a:ext cx="2095236" cy="683155"/>
          <a:chOff x="361950" y="962025"/>
          <a:chExt cx="1714500" cy="685800"/>
        </a:xfrm>
      </xdr:grpSpPr>
      <xdr:sp macro="" textlink="">
        <xdr:nvSpPr>
          <xdr:cNvPr id="60" name="Retângulo: Cantos Superiores Recortados 59">
            <a:extLst>
              <a:ext uri="{FF2B5EF4-FFF2-40B4-BE49-F238E27FC236}">
                <a16:creationId xmlns:a16="http://schemas.microsoft.com/office/drawing/2014/main" id="{9FED83B5-D5F3-05B0-80BB-73FDB85FB3B5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baseline="0">
                <a:solidFill>
                  <a:schemeClr val="bg1"/>
                </a:solidFill>
              </a:rPr>
              <a:t>MECANICO DO MÊS</a:t>
            </a:r>
            <a:endParaRPr lang="pt-BR" sz="1600" b="1">
              <a:solidFill>
                <a:schemeClr val="bg1"/>
              </a:solidFill>
            </a:endParaRPr>
          </a:p>
        </xdr:txBody>
      </xdr:sp>
      <xdr:sp macro="" textlink="#REF!">
        <xdr:nvSpPr>
          <xdr:cNvPr id="61" name="Retângulo 60">
            <a:extLst>
              <a:ext uri="{FF2B5EF4-FFF2-40B4-BE49-F238E27FC236}">
                <a16:creationId xmlns:a16="http://schemas.microsoft.com/office/drawing/2014/main" id="{D868EBAA-1CF6-1BE4-18C7-D3714648E0A5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F2729F31-33BD-47E0-9BDE-5174054777E3}" type="TxLink">
              <a:rPr lang="en-US" sz="18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LEANDRO</a:t>
            </a:fld>
            <a:endParaRPr lang="pt-BR" sz="3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</xdr:col>
      <xdr:colOff>188384</xdr:colOff>
      <xdr:row>16</xdr:row>
      <xdr:rowOff>115359</xdr:rowOff>
    </xdr:from>
    <xdr:to>
      <xdr:col>14</xdr:col>
      <xdr:colOff>525685</xdr:colOff>
      <xdr:row>20</xdr:row>
      <xdr:rowOff>39159</xdr:rowOff>
    </xdr:to>
    <xdr:grpSp>
      <xdr:nvGrpSpPr>
        <xdr:cNvPr id="62" name="Agrupar 61">
          <a:extLst>
            <a:ext uri="{FF2B5EF4-FFF2-40B4-BE49-F238E27FC236}">
              <a16:creationId xmlns:a16="http://schemas.microsoft.com/office/drawing/2014/main" id="{99F2AEC6-65DB-4068-83AB-C855E7B03F1D}"/>
            </a:ext>
          </a:extLst>
        </xdr:cNvPr>
        <xdr:cNvGrpSpPr/>
      </xdr:nvGrpSpPr>
      <xdr:grpSpPr>
        <a:xfrm>
          <a:off x="11237384" y="3556265"/>
          <a:ext cx="1623176" cy="685800"/>
          <a:chOff x="361950" y="962025"/>
          <a:chExt cx="1714500" cy="685800"/>
        </a:xfrm>
      </xdr:grpSpPr>
      <xdr:sp macro="" textlink="">
        <xdr:nvSpPr>
          <xdr:cNvPr id="63" name="Retângulo: Cantos Superiores Recortados 62">
            <a:extLst>
              <a:ext uri="{FF2B5EF4-FFF2-40B4-BE49-F238E27FC236}">
                <a16:creationId xmlns:a16="http://schemas.microsoft.com/office/drawing/2014/main" id="{B25E66D1-B566-F3B5-F24A-9A518D5FEBAA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ABNER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64" name="Retângulo 63">
            <a:extLst>
              <a:ext uri="{FF2B5EF4-FFF2-40B4-BE49-F238E27FC236}">
                <a16:creationId xmlns:a16="http://schemas.microsoft.com/office/drawing/2014/main" id="{4391AC42-51C2-C570-8E58-0D252CFC8255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A245E80-8C07-49A5-8EEB-1730FF11C7B5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R$ 2.578,98 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16</xdr:col>
      <xdr:colOff>182034</xdr:colOff>
      <xdr:row>16</xdr:row>
      <xdr:rowOff>87843</xdr:rowOff>
    </xdr:from>
    <xdr:to>
      <xdr:col>18</xdr:col>
      <xdr:colOff>582834</xdr:colOff>
      <xdr:row>20</xdr:row>
      <xdr:rowOff>11643</xdr:rowOff>
    </xdr:to>
    <xdr:grpSp>
      <xdr:nvGrpSpPr>
        <xdr:cNvPr id="65" name="Agrupar 64">
          <a:extLst>
            <a:ext uri="{FF2B5EF4-FFF2-40B4-BE49-F238E27FC236}">
              <a16:creationId xmlns:a16="http://schemas.microsoft.com/office/drawing/2014/main" id="{751502E8-3D69-4D69-B6E4-202287E55404}"/>
            </a:ext>
          </a:extLst>
        </xdr:cNvPr>
        <xdr:cNvGrpSpPr/>
      </xdr:nvGrpSpPr>
      <xdr:grpSpPr>
        <a:xfrm>
          <a:off x="13731347" y="3528749"/>
          <a:ext cx="1615237" cy="685800"/>
          <a:chOff x="361950" y="962025"/>
          <a:chExt cx="1714500" cy="685800"/>
        </a:xfrm>
      </xdr:grpSpPr>
      <xdr:sp macro="" textlink="">
        <xdr:nvSpPr>
          <xdr:cNvPr id="66" name="Retângulo: Cantos Superiores Recortados 65">
            <a:extLst>
              <a:ext uri="{FF2B5EF4-FFF2-40B4-BE49-F238E27FC236}">
                <a16:creationId xmlns:a16="http://schemas.microsoft.com/office/drawing/2014/main" id="{B4C5DFA7-9872-E42B-7F2D-5B8A975621BF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FABIANO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67" name="Retângulo 66">
            <a:extLst>
              <a:ext uri="{FF2B5EF4-FFF2-40B4-BE49-F238E27FC236}">
                <a16:creationId xmlns:a16="http://schemas.microsoft.com/office/drawing/2014/main" id="{22936AE0-4120-8B7E-23F0-30450D57AC85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4EF7526D-BEE0-4918-9364-0427F52D12AF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R$ 1.580,41 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15</xdr:col>
      <xdr:colOff>66674</xdr:colOff>
      <xdr:row>0</xdr:row>
      <xdr:rowOff>91017</xdr:rowOff>
    </xdr:from>
    <xdr:to>
      <xdr:col>19</xdr:col>
      <xdr:colOff>127000</xdr:colOff>
      <xdr:row>3</xdr:row>
      <xdr:rowOff>35984</xdr:rowOff>
    </xdr:to>
    <xdr:grpSp>
      <xdr:nvGrpSpPr>
        <xdr:cNvPr id="68" name="Agrupar 67">
          <a:extLst>
            <a:ext uri="{FF2B5EF4-FFF2-40B4-BE49-F238E27FC236}">
              <a16:creationId xmlns:a16="http://schemas.microsoft.com/office/drawing/2014/main" id="{49C95D1B-EF1D-46EF-BE59-19544563C4C5}"/>
            </a:ext>
          </a:extLst>
        </xdr:cNvPr>
        <xdr:cNvGrpSpPr/>
      </xdr:nvGrpSpPr>
      <xdr:grpSpPr>
        <a:xfrm>
          <a:off x="13008768" y="91017"/>
          <a:ext cx="2489201" cy="683155"/>
          <a:chOff x="361950" y="962025"/>
          <a:chExt cx="1714500" cy="685800"/>
        </a:xfrm>
      </xdr:grpSpPr>
      <xdr:sp macro="" textlink="">
        <xdr:nvSpPr>
          <xdr:cNvPr id="69" name="Retângulo: Cantos Superiores Recortados 68">
            <a:extLst>
              <a:ext uri="{FF2B5EF4-FFF2-40B4-BE49-F238E27FC236}">
                <a16:creationId xmlns:a16="http://schemas.microsoft.com/office/drawing/2014/main" id="{BA5F1282-75A3-469A-8E82-9B8E9CBA9590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>
                <a:solidFill>
                  <a:schemeClr val="bg1"/>
                </a:solidFill>
              </a:rPr>
              <a:t>CIA COM MAIS SERVIÇOS</a:t>
            </a:r>
          </a:p>
        </xdr:txBody>
      </xdr:sp>
      <xdr:sp macro="" textlink="#REF!">
        <xdr:nvSpPr>
          <xdr:cNvPr id="70" name="Retângulo 69">
            <a:extLst>
              <a:ext uri="{FF2B5EF4-FFF2-40B4-BE49-F238E27FC236}">
                <a16:creationId xmlns:a16="http://schemas.microsoft.com/office/drawing/2014/main" id="{7507DD0F-243C-AFF2-3EA2-E453A095DCFB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1B889670-0585-40A6-AA14-ABE685A57E95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PORTO</a:t>
            </a:fld>
            <a:endParaRPr lang="pt-BR" sz="115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158750</xdr:colOff>
      <xdr:row>44</xdr:row>
      <xdr:rowOff>84667</xdr:rowOff>
    </xdr:from>
    <xdr:to>
      <xdr:col>1</xdr:col>
      <xdr:colOff>521450</xdr:colOff>
      <xdr:row>48</xdr:row>
      <xdr:rowOff>8467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60127A64-BD53-403D-BA03-366F118222C6}"/>
            </a:ext>
          </a:extLst>
        </xdr:cNvPr>
        <xdr:cNvGrpSpPr/>
      </xdr:nvGrpSpPr>
      <xdr:grpSpPr>
        <a:xfrm>
          <a:off x="158750" y="9550136"/>
          <a:ext cx="1624763" cy="685800"/>
          <a:chOff x="361950" y="962025"/>
          <a:chExt cx="1714500" cy="685800"/>
        </a:xfrm>
      </xdr:grpSpPr>
      <xdr:sp macro="" textlink="">
        <xdr:nvSpPr>
          <xdr:cNvPr id="3" name="Retângulo: Cantos Superiores Recortados 2">
            <a:extLst>
              <a:ext uri="{FF2B5EF4-FFF2-40B4-BE49-F238E27FC236}">
                <a16:creationId xmlns:a16="http://schemas.microsoft.com/office/drawing/2014/main" id="{BEEC0E39-EACF-23F3-901F-8325AC7F51D4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PEÇAS</a:t>
            </a:r>
          </a:p>
        </xdr:txBody>
      </xdr:sp>
      <xdr:sp macro="" textlink="#REF!">
        <xdr:nvSpPr>
          <xdr:cNvPr id="4" name="Retângulo 3">
            <a:extLst>
              <a:ext uri="{FF2B5EF4-FFF2-40B4-BE49-F238E27FC236}">
                <a16:creationId xmlns:a16="http://schemas.microsoft.com/office/drawing/2014/main" id="{41D6B2BB-FAD3-CCFA-5528-697CB784E5DA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1230F34D-6AA4-477F-B374-618BCE871B80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808567</xdr:colOff>
      <xdr:row>44</xdr:row>
      <xdr:rowOff>67733</xdr:rowOff>
    </xdr:from>
    <xdr:to>
      <xdr:col>2</xdr:col>
      <xdr:colOff>970184</xdr:colOff>
      <xdr:row>47</xdr:row>
      <xdr:rowOff>182033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BF0D4A39-397D-42B4-8701-33201F4657FA}"/>
            </a:ext>
          </a:extLst>
        </xdr:cNvPr>
        <xdr:cNvGrpSpPr/>
      </xdr:nvGrpSpPr>
      <xdr:grpSpPr>
        <a:xfrm>
          <a:off x="2070630" y="9533202"/>
          <a:ext cx="1614179" cy="685800"/>
          <a:chOff x="361950" y="962025"/>
          <a:chExt cx="1714500" cy="685800"/>
        </a:xfrm>
      </xdr:grpSpPr>
      <xdr:sp macro="" textlink="#REF!">
        <xdr:nvSpPr>
          <xdr:cNvPr id="7" name="Retângulo: Cantos Superiores Recortados 6">
            <a:extLst>
              <a:ext uri="{FF2B5EF4-FFF2-40B4-BE49-F238E27FC236}">
                <a16:creationId xmlns:a16="http://schemas.microsoft.com/office/drawing/2014/main" id="{61C2E19A-71CC-11A9-7802-8B88926FD707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2101888F-4F12-43AD-A89D-F582914D98B9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OLEO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38" name="Retângulo 37">
            <a:extLst>
              <a:ext uri="{FF2B5EF4-FFF2-40B4-BE49-F238E27FC236}">
                <a16:creationId xmlns:a16="http://schemas.microsoft.com/office/drawing/2014/main" id="{AC326C8C-6200-6503-6CFC-22731C754957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8669ADAD-69EC-484E-943C-FF801BF9DDF9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1183217</xdr:colOff>
      <xdr:row>44</xdr:row>
      <xdr:rowOff>40217</xdr:rowOff>
    </xdr:from>
    <xdr:to>
      <xdr:col>3</xdr:col>
      <xdr:colOff>1154334</xdr:colOff>
      <xdr:row>47</xdr:row>
      <xdr:rowOff>154517</xdr:rowOff>
    </xdr:to>
    <xdr:grpSp>
      <xdr:nvGrpSpPr>
        <xdr:cNvPr id="39" name="Agrupar 38">
          <a:extLst>
            <a:ext uri="{FF2B5EF4-FFF2-40B4-BE49-F238E27FC236}">
              <a16:creationId xmlns:a16="http://schemas.microsoft.com/office/drawing/2014/main" id="{A5EE91AF-E9BB-4C5D-A2E8-115803AA5548}"/>
            </a:ext>
          </a:extLst>
        </xdr:cNvPr>
        <xdr:cNvGrpSpPr/>
      </xdr:nvGrpSpPr>
      <xdr:grpSpPr>
        <a:xfrm>
          <a:off x="3897842" y="9505686"/>
          <a:ext cx="1614180" cy="685800"/>
          <a:chOff x="361950" y="962025"/>
          <a:chExt cx="1714500" cy="685800"/>
        </a:xfrm>
      </xdr:grpSpPr>
      <xdr:sp macro="" textlink="#REF!">
        <xdr:nvSpPr>
          <xdr:cNvPr id="40" name="Retângulo: Cantos Superiores Recortados 39">
            <a:extLst>
              <a:ext uri="{FF2B5EF4-FFF2-40B4-BE49-F238E27FC236}">
                <a16:creationId xmlns:a16="http://schemas.microsoft.com/office/drawing/2014/main" id="{83F26A0F-AF33-4DE2-5DAA-FC3E3EBC669E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7F7A5C6-040C-4485-B8F6-069D5F948F30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PROLABORE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41" name="Retângulo 40">
            <a:extLst>
              <a:ext uri="{FF2B5EF4-FFF2-40B4-BE49-F238E27FC236}">
                <a16:creationId xmlns:a16="http://schemas.microsoft.com/office/drawing/2014/main" id="{DBA5C413-E9A1-4847-E260-B0F7A53A5358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E0E10E62-6A97-4157-AC56-ABBCD65804C6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1420283</xdr:colOff>
      <xdr:row>44</xdr:row>
      <xdr:rowOff>44450</xdr:rowOff>
    </xdr:from>
    <xdr:to>
      <xdr:col>6</xdr:col>
      <xdr:colOff>375400</xdr:colOff>
      <xdr:row>47</xdr:row>
      <xdr:rowOff>158750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FECB0033-B087-455B-88DD-A984E0B59C34}"/>
            </a:ext>
          </a:extLst>
        </xdr:cNvPr>
        <xdr:cNvGrpSpPr/>
      </xdr:nvGrpSpPr>
      <xdr:grpSpPr>
        <a:xfrm>
          <a:off x="5777971" y="9509919"/>
          <a:ext cx="2003117" cy="685800"/>
          <a:chOff x="361950" y="962025"/>
          <a:chExt cx="1714500" cy="685800"/>
        </a:xfrm>
      </xdr:grpSpPr>
      <xdr:sp macro="" textlink="#REF!">
        <xdr:nvSpPr>
          <xdr:cNvPr id="43" name="Retângulo: Cantos Superiores Recortados 42">
            <a:extLst>
              <a:ext uri="{FF2B5EF4-FFF2-40B4-BE49-F238E27FC236}">
                <a16:creationId xmlns:a16="http://schemas.microsoft.com/office/drawing/2014/main" id="{AB6BDF00-8CB4-2B4F-C2B3-FC36702C5315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03430B24-C73C-4286-AC24-54D3EC868D2F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SERVIÇOS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44" name="Retângulo 43">
            <a:extLst>
              <a:ext uri="{FF2B5EF4-FFF2-40B4-BE49-F238E27FC236}">
                <a16:creationId xmlns:a16="http://schemas.microsoft.com/office/drawing/2014/main" id="{707E5B42-FC67-C75A-D9B9-BB2CDEABF690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6E317226-E969-4420-92CE-9E6B2C9FF872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6351</xdr:colOff>
      <xdr:row>44</xdr:row>
      <xdr:rowOff>59266</xdr:rowOff>
    </xdr:from>
    <xdr:to>
      <xdr:col>9</xdr:col>
      <xdr:colOff>400801</xdr:colOff>
      <xdr:row>47</xdr:row>
      <xdr:rowOff>173566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id="{4B35187B-9A2D-4946-AA10-60C9C9038F5E}"/>
            </a:ext>
          </a:extLst>
        </xdr:cNvPr>
        <xdr:cNvGrpSpPr/>
      </xdr:nvGrpSpPr>
      <xdr:grpSpPr>
        <a:xfrm>
          <a:off x="8019257" y="9524735"/>
          <a:ext cx="1608888" cy="685800"/>
          <a:chOff x="361950" y="962025"/>
          <a:chExt cx="1714500" cy="685800"/>
        </a:xfrm>
      </xdr:grpSpPr>
      <xdr:sp macro="" textlink="#REF!">
        <xdr:nvSpPr>
          <xdr:cNvPr id="46" name="Retângulo: Cantos Superiores Recortados 45">
            <a:extLst>
              <a:ext uri="{FF2B5EF4-FFF2-40B4-BE49-F238E27FC236}">
                <a16:creationId xmlns:a16="http://schemas.microsoft.com/office/drawing/2014/main" id="{A6F858BA-0C56-E79E-D5B0-1BD5F1E8AF33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F9DD08C-3D3A-40A7-AAED-8467ED76E9B0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PANOS</a:t>
            </a:fld>
            <a:endParaRPr lang="pt-BR" sz="1600" b="1" i="1" u="none">
              <a:solidFill>
                <a:schemeClr val="bg1"/>
              </a:solidFill>
            </a:endParaRPr>
          </a:p>
        </xdr:txBody>
      </xdr:sp>
      <xdr:sp macro="" textlink="#REF!">
        <xdr:nvSpPr>
          <xdr:cNvPr id="71" name="Retângulo 70">
            <a:extLst>
              <a:ext uri="{FF2B5EF4-FFF2-40B4-BE49-F238E27FC236}">
                <a16:creationId xmlns:a16="http://schemas.microsoft.com/office/drawing/2014/main" id="{F4C3651F-7501-358A-120B-946ED58E3FDE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FEBEB39-D25A-4446-8002-459E801719AC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 u="none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31753</xdr:colOff>
      <xdr:row>44</xdr:row>
      <xdr:rowOff>52917</xdr:rowOff>
    </xdr:from>
    <xdr:to>
      <xdr:col>12</xdr:col>
      <xdr:colOff>426203</xdr:colOff>
      <xdr:row>47</xdr:row>
      <xdr:rowOff>167217</xdr:rowOff>
    </xdr:to>
    <xdr:grpSp>
      <xdr:nvGrpSpPr>
        <xdr:cNvPr id="72" name="Agrupar 71">
          <a:extLst>
            <a:ext uri="{FF2B5EF4-FFF2-40B4-BE49-F238E27FC236}">
              <a16:creationId xmlns:a16="http://schemas.microsoft.com/office/drawing/2014/main" id="{2F27178B-6B83-45A5-B223-FE110D5F2B24}"/>
            </a:ext>
          </a:extLst>
        </xdr:cNvPr>
        <xdr:cNvGrpSpPr/>
      </xdr:nvGrpSpPr>
      <xdr:grpSpPr>
        <a:xfrm>
          <a:off x="9866316" y="9518386"/>
          <a:ext cx="1608887" cy="685800"/>
          <a:chOff x="361950" y="962025"/>
          <a:chExt cx="1714500" cy="685800"/>
        </a:xfrm>
      </xdr:grpSpPr>
      <xdr:sp macro="" textlink="#REF!">
        <xdr:nvSpPr>
          <xdr:cNvPr id="73" name="Retângulo: Cantos Superiores Recortados 72">
            <a:extLst>
              <a:ext uri="{FF2B5EF4-FFF2-40B4-BE49-F238E27FC236}">
                <a16:creationId xmlns:a16="http://schemas.microsoft.com/office/drawing/2014/main" id="{037C446F-16C7-7943-28D2-605966EA37C3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00C05FB-3597-49C7-999A-BD0565ED459F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AGUA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74" name="Retângulo 73">
            <a:extLst>
              <a:ext uri="{FF2B5EF4-FFF2-40B4-BE49-F238E27FC236}">
                <a16:creationId xmlns:a16="http://schemas.microsoft.com/office/drawing/2014/main" id="{3DB71DE5-41D9-DB54-4502-7B16DF019948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E3EBAA4-4020-43E8-B156-023940B97C8F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13</xdr:col>
      <xdr:colOff>67735</xdr:colOff>
      <xdr:row>44</xdr:row>
      <xdr:rowOff>57150</xdr:rowOff>
    </xdr:from>
    <xdr:to>
      <xdr:col>15</xdr:col>
      <xdr:colOff>398685</xdr:colOff>
      <xdr:row>47</xdr:row>
      <xdr:rowOff>171450</xdr:rowOff>
    </xdr:to>
    <xdr:grpSp>
      <xdr:nvGrpSpPr>
        <xdr:cNvPr id="75" name="Agrupar 74">
          <a:extLst>
            <a:ext uri="{FF2B5EF4-FFF2-40B4-BE49-F238E27FC236}">
              <a16:creationId xmlns:a16="http://schemas.microsoft.com/office/drawing/2014/main" id="{48CCF443-AB21-4B69-9CFF-263F832A6F0D}"/>
            </a:ext>
          </a:extLst>
        </xdr:cNvPr>
        <xdr:cNvGrpSpPr/>
      </xdr:nvGrpSpPr>
      <xdr:grpSpPr>
        <a:xfrm>
          <a:off x="11723954" y="9522619"/>
          <a:ext cx="1616825" cy="685800"/>
          <a:chOff x="361950" y="962025"/>
          <a:chExt cx="1714500" cy="685800"/>
        </a:xfrm>
      </xdr:grpSpPr>
      <xdr:sp macro="" textlink="#REF!">
        <xdr:nvSpPr>
          <xdr:cNvPr id="76" name="Retângulo: Cantos Superiores Recortados 75">
            <a:extLst>
              <a:ext uri="{FF2B5EF4-FFF2-40B4-BE49-F238E27FC236}">
                <a16:creationId xmlns:a16="http://schemas.microsoft.com/office/drawing/2014/main" id="{50CD9C3D-C800-A145-ADD4-727DAED04B09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2CE37C2F-1912-43A3-93BD-D449A73A81E4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ENERGIA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77" name="Retângulo 76">
            <a:extLst>
              <a:ext uri="{FF2B5EF4-FFF2-40B4-BE49-F238E27FC236}">
                <a16:creationId xmlns:a16="http://schemas.microsoft.com/office/drawing/2014/main" id="{022F4756-85E0-5FDC-33E6-0FEC086D1CEC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E1384618-B670-4FC0-B05B-A54699A66000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105833</xdr:colOff>
      <xdr:row>49</xdr:row>
      <xdr:rowOff>116417</xdr:rowOff>
    </xdr:from>
    <xdr:to>
      <xdr:col>1</xdr:col>
      <xdr:colOff>468533</xdr:colOff>
      <xdr:row>53</xdr:row>
      <xdr:rowOff>40217</xdr:rowOff>
    </xdr:to>
    <xdr:grpSp>
      <xdr:nvGrpSpPr>
        <xdr:cNvPr id="78" name="Agrupar 77">
          <a:extLst>
            <a:ext uri="{FF2B5EF4-FFF2-40B4-BE49-F238E27FC236}">
              <a16:creationId xmlns:a16="http://schemas.microsoft.com/office/drawing/2014/main" id="{A24DAA28-15CF-45DE-8E3C-933C7648E674}"/>
            </a:ext>
          </a:extLst>
        </xdr:cNvPr>
        <xdr:cNvGrpSpPr/>
      </xdr:nvGrpSpPr>
      <xdr:grpSpPr>
        <a:xfrm>
          <a:off x="105833" y="10534386"/>
          <a:ext cx="1624763" cy="685800"/>
          <a:chOff x="361950" y="962025"/>
          <a:chExt cx="1714500" cy="685800"/>
        </a:xfrm>
      </xdr:grpSpPr>
      <xdr:sp macro="" textlink="#REF!">
        <xdr:nvSpPr>
          <xdr:cNvPr id="79" name="Retângulo: Cantos Superiores Recortados 78">
            <a:extLst>
              <a:ext uri="{FF2B5EF4-FFF2-40B4-BE49-F238E27FC236}">
                <a16:creationId xmlns:a16="http://schemas.microsoft.com/office/drawing/2014/main" id="{FB181AC3-755A-930A-ED2B-42EF9D683310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F49007E-F907-4E0C-8165-E7BA0D60B885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CONSUMO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80" name="Retângulo 79">
            <a:extLst>
              <a:ext uri="{FF2B5EF4-FFF2-40B4-BE49-F238E27FC236}">
                <a16:creationId xmlns:a16="http://schemas.microsoft.com/office/drawing/2014/main" id="{A5EA9C57-E052-A1CC-C9ED-FB663C7736B8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00535DB-720F-4FD4-9672-1EBB681634CB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776816</xdr:colOff>
      <xdr:row>49</xdr:row>
      <xdr:rowOff>110067</xdr:rowOff>
    </xdr:from>
    <xdr:to>
      <xdr:col>2</xdr:col>
      <xdr:colOff>938433</xdr:colOff>
      <xdr:row>53</xdr:row>
      <xdr:rowOff>33867</xdr:rowOff>
    </xdr:to>
    <xdr:grpSp>
      <xdr:nvGrpSpPr>
        <xdr:cNvPr id="81" name="Agrupar 80">
          <a:extLst>
            <a:ext uri="{FF2B5EF4-FFF2-40B4-BE49-F238E27FC236}">
              <a16:creationId xmlns:a16="http://schemas.microsoft.com/office/drawing/2014/main" id="{9E315BF8-DC7B-4D2B-B6C9-9BBCE2107FB7}"/>
            </a:ext>
          </a:extLst>
        </xdr:cNvPr>
        <xdr:cNvGrpSpPr/>
      </xdr:nvGrpSpPr>
      <xdr:grpSpPr>
        <a:xfrm>
          <a:off x="2038879" y="10528036"/>
          <a:ext cx="1614179" cy="685800"/>
          <a:chOff x="361950" y="962025"/>
          <a:chExt cx="1714500" cy="685800"/>
        </a:xfrm>
      </xdr:grpSpPr>
      <xdr:sp macro="" textlink="#REF!">
        <xdr:nvSpPr>
          <xdr:cNvPr id="82" name="Retângulo: Cantos Superiores Recortados 81">
            <a:extLst>
              <a:ext uri="{FF2B5EF4-FFF2-40B4-BE49-F238E27FC236}">
                <a16:creationId xmlns:a16="http://schemas.microsoft.com/office/drawing/2014/main" id="{930556FF-25E2-0C03-2EEB-3E8A15521C7E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2C9C9BF-11A3-4482-924B-C4E8677C90E8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CESTA BÁSICA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83" name="Retângulo 82">
            <a:extLst>
              <a:ext uri="{FF2B5EF4-FFF2-40B4-BE49-F238E27FC236}">
                <a16:creationId xmlns:a16="http://schemas.microsoft.com/office/drawing/2014/main" id="{0FE4BD78-E16E-312B-8FB5-E8DA6C872DA5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887174D8-A694-4679-973F-54587808D0D2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1162050</xdr:colOff>
      <xdr:row>49</xdr:row>
      <xdr:rowOff>71967</xdr:rowOff>
    </xdr:from>
    <xdr:to>
      <xdr:col>3</xdr:col>
      <xdr:colOff>1133167</xdr:colOff>
      <xdr:row>52</xdr:row>
      <xdr:rowOff>186267</xdr:rowOff>
    </xdr:to>
    <xdr:grpSp>
      <xdr:nvGrpSpPr>
        <xdr:cNvPr id="84" name="Agrupar 83">
          <a:extLst>
            <a:ext uri="{FF2B5EF4-FFF2-40B4-BE49-F238E27FC236}">
              <a16:creationId xmlns:a16="http://schemas.microsoft.com/office/drawing/2014/main" id="{350E5FF9-8AE7-4749-8927-F3333690DB43}"/>
            </a:ext>
          </a:extLst>
        </xdr:cNvPr>
        <xdr:cNvGrpSpPr/>
      </xdr:nvGrpSpPr>
      <xdr:grpSpPr>
        <a:xfrm>
          <a:off x="3876675" y="10489936"/>
          <a:ext cx="1614180" cy="685800"/>
          <a:chOff x="361950" y="962025"/>
          <a:chExt cx="1714500" cy="685800"/>
        </a:xfrm>
      </xdr:grpSpPr>
      <xdr:sp macro="" textlink="#REF!">
        <xdr:nvSpPr>
          <xdr:cNvPr id="85" name="Retângulo: Cantos Superiores Recortados 84">
            <a:extLst>
              <a:ext uri="{FF2B5EF4-FFF2-40B4-BE49-F238E27FC236}">
                <a16:creationId xmlns:a16="http://schemas.microsoft.com/office/drawing/2014/main" id="{C6D1F74A-2364-DF65-2C61-F155279628D3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1A75EA3B-0738-40DD-B851-33891D79F928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ENCARGOS SOCIAIS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86" name="Retângulo 85">
            <a:extLst>
              <a:ext uri="{FF2B5EF4-FFF2-40B4-BE49-F238E27FC236}">
                <a16:creationId xmlns:a16="http://schemas.microsoft.com/office/drawing/2014/main" id="{67664B0C-F430-1D4F-38D0-9A59EDADF870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6D1C742-6674-4965-B029-7B4826544662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1420283</xdr:colOff>
      <xdr:row>49</xdr:row>
      <xdr:rowOff>76201</xdr:rowOff>
    </xdr:from>
    <xdr:to>
      <xdr:col>6</xdr:col>
      <xdr:colOff>375400</xdr:colOff>
      <xdr:row>53</xdr:row>
      <xdr:rowOff>1</xdr:rowOff>
    </xdr:to>
    <xdr:grpSp>
      <xdr:nvGrpSpPr>
        <xdr:cNvPr id="87" name="Agrupar 86">
          <a:extLst>
            <a:ext uri="{FF2B5EF4-FFF2-40B4-BE49-F238E27FC236}">
              <a16:creationId xmlns:a16="http://schemas.microsoft.com/office/drawing/2014/main" id="{7FD759A9-DBDC-4AE8-A13E-A9ED4DFED54B}"/>
            </a:ext>
          </a:extLst>
        </xdr:cNvPr>
        <xdr:cNvGrpSpPr/>
      </xdr:nvGrpSpPr>
      <xdr:grpSpPr>
        <a:xfrm>
          <a:off x="5777971" y="10494170"/>
          <a:ext cx="2003117" cy="685800"/>
          <a:chOff x="361950" y="962025"/>
          <a:chExt cx="1714500" cy="685800"/>
        </a:xfrm>
      </xdr:grpSpPr>
      <xdr:sp macro="" textlink="#REF!">
        <xdr:nvSpPr>
          <xdr:cNvPr id="88" name="Retângulo: Cantos Superiores Recortados 87">
            <a:extLst>
              <a:ext uri="{FF2B5EF4-FFF2-40B4-BE49-F238E27FC236}">
                <a16:creationId xmlns:a16="http://schemas.microsoft.com/office/drawing/2014/main" id="{A73A4531-E4C9-5B38-DEC6-1A502A33E733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629DB317-782B-4371-8154-5945CA1169D5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ALUGUEL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89" name="Retângulo 88">
            <a:extLst>
              <a:ext uri="{FF2B5EF4-FFF2-40B4-BE49-F238E27FC236}">
                <a16:creationId xmlns:a16="http://schemas.microsoft.com/office/drawing/2014/main" id="{671DFA35-579D-CD0C-EDC4-6D7FDD40A315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F518FC1-F34A-4890-8472-EA51EFAAE68A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609600</xdr:colOff>
      <xdr:row>49</xdr:row>
      <xdr:rowOff>69851</xdr:rowOff>
    </xdr:from>
    <xdr:to>
      <xdr:col>9</xdr:col>
      <xdr:colOff>390217</xdr:colOff>
      <xdr:row>52</xdr:row>
      <xdr:rowOff>184151</xdr:rowOff>
    </xdr:to>
    <xdr:grpSp>
      <xdr:nvGrpSpPr>
        <xdr:cNvPr id="90" name="Agrupar 89">
          <a:extLst>
            <a:ext uri="{FF2B5EF4-FFF2-40B4-BE49-F238E27FC236}">
              <a16:creationId xmlns:a16="http://schemas.microsoft.com/office/drawing/2014/main" id="{38BFD012-34DC-4796-A27C-FE02E4D23DE1}"/>
            </a:ext>
          </a:extLst>
        </xdr:cNvPr>
        <xdr:cNvGrpSpPr/>
      </xdr:nvGrpSpPr>
      <xdr:grpSpPr>
        <a:xfrm>
          <a:off x="8015288" y="10487820"/>
          <a:ext cx="1602273" cy="685800"/>
          <a:chOff x="361950" y="962025"/>
          <a:chExt cx="1714500" cy="685800"/>
        </a:xfrm>
      </xdr:grpSpPr>
      <xdr:sp macro="" textlink="#REF!">
        <xdr:nvSpPr>
          <xdr:cNvPr id="91" name="Retângulo: Cantos Superiores Recortados 90">
            <a:extLst>
              <a:ext uri="{FF2B5EF4-FFF2-40B4-BE49-F238E27FC236}">
                <a16:creationId xmlns:a16="http://schemas.microsoft.com/office/drawing/2014/main" id="{DDDE086B-E0CA-73DE-81BF-87C8CC2BD360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8FA6E43-D087-4CF8-A254-E503D4A6A168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IPTU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92" name="Retângulo 91">
            <a:extLst>
              <a:ext uri="{FF2B5EF4-FFF2-40B4-BE49-F238E27FC236}">
                <a16:creationId xmlns:a16="http://schemas.microsoft.com/office/drawing/2014/main" id="{B469AE7D-24C6-B76A-4DA8-8C22809B0425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9AA35A95-13DF-433B-82FB-3592AAB3F453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42334</xdr:colOff>
      <xdr:row>49</xdr:row>
      <xdr:rowOff>42335</xdr:rowOff>
    </xdr:from>
    <xdr:to>
      <xdr:col>12</xdr:col>
      <xdr:colOff>436784</xdr:colOff>
      <xdr:row>52</xdr:row>
      <xdr:rowOff>156635</xdr:rowOff>
    </xdr:to>
    <xdr:grpSp>
      <xdr:nvGrpSpPr>
        <xdr:cNvPr id="93" name="Agrupar 92">
          <a:extLst>
            <a:ext uri="{FF2B5EF4-FFF2-40B4-BE49-F238E27FC236}">
              <a16:creationId xmlns:a16="http://schemas.microsoft.com/office/drawing/2014/main" id="{7996760B-814D-4EB9-9FC6-81169EF1BEDC}"/>
            </a:ext>
          </a:extLst>
        </xdr:cNvPr>
        <xdr:cNvGrpSpPr/>
      </xdr:nvGrpSpPr>
      <xdr:grpSpPr>
        <a:xfrm>
          <a:off x="9876897" y="10460304"/>
          <a:ext cx="1608887" cy="685800"/>
          <a:chOff x="361950" y="962025"/>
          <a:chExt cx="1714500" cy="685800"/>
        </a:xfrm>
      </xdr:grpSpPr>
      <xdr:sp macro="" textlink="#REF!">
        <xdr:nvSpPr>
          <xdr:cNvPr id="94" name="Retângulo: Cantos Superiores Recortados 93">
            <a:extLst>
              <a:ext uri="{FF2B5EF4-FFF2-40B4-BE49-F238E27FC236}">
                <a16:creationId xmlns:a16="http://schemas.microsoft.com/office/drawing/2014/main" id="{3E200555-721A-920C-0FA4-B3A1ADC54704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F05EB39-721B-4C66-A03A-5478B8E5BD14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IMPOSTOS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95" name="Retângulo 94">
            <a:extLst>
              <a:ext uri="{FF2B5EF4-FFF2-40B4-BE49-F238E27FC236}">
                <a16:creationId xmlns:a16="http://schemas.microsoft.com/office/drawing/2014/main" id="{F64D87AB-2B8F-FAA2-2138-6DA7461F934E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E3B7AA5C-7C18-4B9C-81A3-10C467E4F33A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13</xdr:col>
      <xdr:colOff>46568</xdr:colOff>
      <xdr:row>49</xdr:row>
      <xdr:rowOff>4235</xdr:rowOff>
    </xdr:from>
    <xdr:to>
      <xdr:col>15</xdr:col>
      <xdr:colOff>377518</xdr:colOff>
      <xdr:row>52</xdr:row>
      <xdr:rowOff>118535</xdr:rowOff>
    </xdr:to>
    <xdr:grpSp>
      <xdr:nvGrpSpPr>
        <xdr:cNvPr id="96" name="Agrupar 95">
          <a:extLst>
            <a:ext uri="{FF2B5EF4-FFF2-40B4-BE49-F238E27FC236}">
              <a16:creationId xmlns:a16="http://schemas.microsoft.com/office/drawing/2014/main" id="{6FB3B327-C10E-49E3-92B1-792DE4B7B071}"/>
            </a:ext>
          </a:extLst>
        </xdr:cNvPr>
        <xdr:cNvGrpSpPr/>
      </xdr:nvGrpSpPr>
      <xdr:grpSpPr>
        <a:xfrm>
          <a:off x="11702787" y="10422204"/>
          <a:ext cx="1616825" cy="685800"/>
          <a:chOff x="361950" y="962025"/>
          <a:chExt cx="1714500" cy="685800"/>
        </a:xfrm>
      </xdr:grpSpPr>
      <xdr:sp macro="" textlink="#REF!">
        <xdr:nvSpPr>
          <xdr:cNvPr id="97" name="Retângulo: Cantos Superiores Recortados 96">
            <a:extLst>
              <a:ext uri="{FF2B5EF4-FFF2-40B4-BE49-F238E27FC236}">
                <a16:creationId xmlns:a16="http://schemas.microsoft.com/office/drawing/2014/main" id="{B83EFDFC-E273-E008-CC85-765D4B4367AC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6B84C689-9BF9-42BB-9647-28E1FF03C316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VALE TRANSPORTE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98" name="Retângulo 97">
            <a:extLst>
              <a:ext uri="{FF2B5EF4-FFF2-40B4-BE49-F238E27FC236}">
                <a16:creationId xmlns:a16="http://schemas.microsoft.com/office/drawing/2014/main" id="{84016FB2-96C2-1F60-E103-88593DDDB75D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4543743-9DFA-4419-A3AD-0F8AFBDA9403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152400</xdr:colOff>
      <xdr:row>23</xdr:row>
      <xdr:rowOff>67734</xdr:rowOff>
    </xdr:from>
    <xdr:to>
      <xdr:col>1</xdr:col>
      <xdr:colOff>515100</xdr:colOff>
      <xdr:row>26</xdr:row>
      <xdr:rowOff>182034</xdr:rowOff>
    </xdr:to>
    <xdr:grpSp>
      <xdr:nvGrpSpPr>
        <xdr:cNvPr id="99" name="Agrupar 98">
          <a:extLst>
            <a:ext uri="{FF2B5EF4-FFF2-40B4-BE49-F238E27FC236}">
              <a16:creationId xmlns:a16="http://schemas.microsoft.com/office/drawing/2014/main" id="{ACC7CBE9-7D6D-465C-9E4F-418699823984}"/>
            </a:ext>
          </a:extLst>
        </xdr:cNvPr>
        <xdr:cNvGrpSpPr/>
      </xdr:nvGrpSpPr>
      <xdr:grpSpPr>
        <a:xfrm>
          <a:off x="152400" y="4865953"/>
          <a:ext cx="1624763" cy="685800"/>
          <a:chOff x="361950" y="962025"/>
          <a:chExt cx="1714500" cy="685800"/>
        </a:xfrm>
      </xdr:grpSpPr>
      <xdr:sp macro="" textlink="">
        <xdr:nvSpPr>
          <xdr:cNvPr id="100" name="Retângulo: Cantos Superiores Recortados 99">
            <a:extLst>
              <a:ext uri="{FF2B5EF4-FFF2-40B4-BE49-F238E27FC236}">
                <a16:creationId xmlns:a16="http://schemas.microsoft.com/office/drawing/2014/main" id="{7A437AA8-3D58-12A7-8CA2-DD79D73CA447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REVITALIZAÇÃO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01" name="Retângulo 100">
            <a:extLst>
              <a:ext uri="{FF2B5EF4-FFF2-40B4-BE49-F238E27FC236}">
                <a16:creationId xmlns:a16="http://schemas.microsoft.com/office/drawing/2014/main" id="{6895C554-3BD8-5F5D-9F5C-366C3D5BFE1D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5CA788D-8DDA-4904-9359-1E2C396EAB93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R$ 985,81 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728133</xdr:colOff>
      <xdr:row>23</xdr:row>
      <xdr:rowOff>61384</xdr:rowOff>
    </xdr:from>
    <xdr:to>
      <xdr:col>2</xdr:col>
      <xdr:colOff>889750</xdr:colOff>
      <xdr:row>26</xdr:row>
      <xdr:rowOff>175684</xdr:rowOff>
    </xdr:to>
    <xdr:grpSp>
      <xdr:nvGrpSpPr>
        <xdr:cNvPr id="102" name="Agrupar 101">
          <a:extLst>
            <a:ext uri="{FF2B5EF4-FFF2-40B4-BE49-F238E27FC236}">
              <a16:creationId xmlns:a16="http://schemas.microsoft.com/office/drawing/2014/main" id="{3278401C-5BE5-41F6-A5EF-2CDD5D9B775F}"/>
            </a:ext>
          </a:extLst>
        </xdr:cNvPr>
        <xdr:cNvGrpSpPr/>
      </xdr:nvGrpSpPr>
      <xdr:grpSpPr>
        <a:xfrm>
          <a:off x="1990196" y="4859603"/>
          <a:ext cx="1614179" cy="685800"/>
          <a:chOff x="361950" y="962025"/>
          <a:chExt cx="1714500" cy="685800"/>
        </a:xfrm>
      </xdr:grpSpPr>
      <xdr:sp macro="" textlink="">
        <xdr:nvSpPr>
          <xdr:cNvPr id="103" name="Retângulo: Cantos Superiores Recortados 102">
            <a:extLst>
              <a:ext uri="{FF2B5EF4-FFF2-40B4-BE49-F238E27FC236}">
                <a16:creationId xmlns:a16="http://schemas.microsoft.com/office/drawing/2014/main" id="{6B7AA924-FB4B-6C9A-4C50-B52C79C8EB33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ADITIVO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04" name="Retângulo 103">
            <a:extLst>
              <a:ext uri="{FF2B5EF4-FFF2-40B4-BE49-F238E27FC236}">
                <a16:creationId xmlns:a16="http://schemas.microsoft.com/office/drawing/2014/main" id="{C58C050D-6E68-85D9-9787-9C6A9319AE6F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0D9BDD5-FE19-4BEB-8556-33B64170C2AE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R$ 3.472,10 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1102783</xdr:colOff>
      <xdr:row>23</xdr:row>
      <xdr:rowOff>76201</xdr:rowOff>
    </xdr:from>
    <xdr:to>
      <xdr:col>3</xdr:col>
      <xdr:colOff>1206500</xdr:colOff>
      <xdr:row>27</xdr:row>
      <xdr:rowOff>1</xdr:rowOff>
    </xdr:to>
    <xdr:grpSp>
      <xdr:nvGrpSpPr>
        <xdr:cNvPr id="105" name="Agrupar 104">
          <a:extLst>
            <a:ext uri="{FF2B5EF4-FFF2-40B4-BE49-F238E27FC236}">
              <a16:creationId xmlns:a16="http://schemas.microsoft.com/office/drawing/2014/main" id="{48FE7DE6-93B5-4A3F-8488-26AA327303B7}"/>
            </a:ext>
          </a:extLst>
        </xdr:cNvPr>
        <xdr:cNvGrpSpPr/>
      </xdr:nvGrpSpPr>
      <xdr:grpSpPr>
        <a:xfrm>
          <a:off x="3817408" y="4874420"/>
          <a:ext cx="1746780" cy="685800"/>
          <a:chOff x="361950" y="962025"/>
          <a:chExt cx="1714500" cy="685800"/>
        </a:xfrm>
      </xdr:grpSpPr>
      <xdr:sp macro="" textlink="">
        <xdr:nvSpPr>
          <xdr:cNvPr id="106" name="Retângulo: Cantos Superiores Recortados 105">
            <a:extLst>
              <a:ext uri="{FF2B5EF4-FFF2-40B4-BE49-F238E27FC236}">
                <a16:creationId xmlns:a16="http://schemas.microsoft.com/office/drawing/2014/main" id="{43590CAB-61B8-3473-2774-ACD57D17FF23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FLUIDO/SANGRIA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07" name="Retângulo 106">
            <a:extLst>
              <a:ext uri="{FF2B5EF4-FFF2-40B4-BE49-F238E27FC236}">
                <a16:creationId xmlns:a16="http://schemas.microsoft.com/office/drawing/2014/main" id="{66439A12-0B73-9C8B-C93A-4779146A44EA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6FA0C816-D4F3-45A7-AB12-822B8A5546C2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R$ 4.679,77 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1318683</xdr:colOff>
      <xdr:row>23</xdr:row>
      <xdr:rowOff>80434</xdr:rowOff>
    </xdr:from>
    <xdr:to>
      <xdr:col>7</xdr:col>
      <xdr:colOff>74083</xdr:colOff>
      <xdr:row>27</xdr:row>
      <xdr:rowOff>4234</xdr:rowOff>
    </xdr:to>
    <xdr:grpSp>
      <xdr:nvGrpSpPr>
        <xdr:cNvPr id="108" name="Agrupar 107">
          <a:extLst>
            <a:ext uri="{FF2B5EF4-FFF2-40B4-BE49-F238E27FC236}">
              <a16:creationId xmlns:a16="http://schemas.microsoft.com/office/drawing/2014/main" id="{7D56421E-B9E2-41B5-80B2-D1DAC5BB5572}"/>
            </a:ext>
          </a:extLst>
        </xdr:cNvPr>
        <xdr:cNvGrpSpPr/>
      </xdr:nvGrpSpPr>
      <xdr:grpSpPr>
        <a:xfrm>
          <a:off x="5676371" y="4878653"/>
          <a:ext cx="2410618" cy="685800"/>
          <a:chOff x="361950" y="962025"/>
          <a:chExt cx="1714500" cy="685800"/>
        </a:xfrm>
      </xdr:grpSpPr>
      <xdr:sp macro="" textlink="">
        <xdr:nvSpPr>
          <xdr:cNvPr id="109" name="Retângulo: Cantos Superiores Recortados 108">
            <a:extLst>
              <a:ext uri="{FF2B5EF4-FFF2-40B4-BE49-F238E27FC236}">
                <a16:creationId xmlns:a16="http://schemas.microsoft.com/office/drawing/2014/main" id="{EEA00F7F-CF34-91A4-B76B-64FF245AAB2D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LIMPEZA DOS FREIOS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10" name="Retângulo 109">
            <a:extLst>
              <a:ext uri="{FF2B5EF4-FFF2-40B4-BE49-F238E27FC236}">
                <a16:creationId xmlns:a16="http://schemas.microsoft.com/office/drawing/2014/main" id="{E0329218-03E5-E00A-A68D-932B1F81F08E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8474AED-6FD2-465D-8E50-E3143728E581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R$ 2.155,02 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13</xdr:col>
      <xdr:colOff>222249</xdr:colOff>
      <xdr:row>23</xdr:row>
      <xdr:rowOff>105834</xdr:rowOff>
    </xdr:from>
    <xdr:to>
      <xdr:col>15</xdr:col>
      <xdr:colOff>553199</xdr:colOff>
      <xdr:row>27</xdr:row>
      <xdr:rowOff>29634</xdr:rowOff>
    </xdr:to>
    <xdr:grpSp>
      <xdr:nvGrpSpPr>
        <xdr:cNvPr id="111" name="Agrupar 110">
          <a:extLst>
            <a:ext uri="{FF2B5EF4-FFF2-40B4-BE49-F238E27FC236}">
              <a16:creationId xmlns:a16="http://schemas.microsoft.com/office/drawing/2014/main" id="{3FF71394-C4A9-4DC3-A05E-33AB0C4CEAE8}"/>
            </a:ext>
          </a:extLst>
        </xdr:cNvPr>
        <xdr:cNvGrpSpPr/>
      </xdr:nvGrpSpPr>
      <xdr:grpSpPr>
        <a:xfrm>
          <a:off x="11878468" y="4904053"/>
          <a:ext cx="1616825" cy="685800"/>
          <a:chOff x="361950" y="962025"/>
          <a:chExt cx="1714500" cy="685800"/>
        </a:xfrm>
      </xdr:grpSpPr>
      <xdr:sp macro="" textlink="">
        <xdr:nvSpPr>
          <xdr:cNvPr id="112" name="Retângulo: Cantos Superiores Recortados 111">
            <a:extLst>
              <a:ext uri="{FF2B5EF4-FFF2-40B4-BE49-F238E27FC236}">
                <a16:creationId xmlns:a16="http://schemas.microsoft.com/office/drawing/2014/main" id="{4731DAAB-3707-C708-BEA7-507F40851249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DETERGENTE P/BRISA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13" name="Retângulo 112">
            <a:extLst>
              <a:ext uri="{FF2B5EF4-FFF2-40B4-BE49-F238E27FC236}">
                <a16:creationId xmlns:a16="http://schemas.microsoft.com/office/drawing/2014/main" id="{B9E5372D-3414-C00C-12A8-73914B165EEE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2C44727-8EF4-4A76-AB7E-4B5F0E0C45DD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R$ 40,00 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300567</xdr:colOff>
      <xdr:row>23</xdr:row>
      <xdr:rowOff>99484</xdr:rowOff>
    </xdr:from>
    <xdr:to>
      <xdr:col>10</xdr:col>
      <xdr:colOff>81184</xdr:colOff>
      <xdr:row>27</xdr:row>
      <xdr:rowOff>23284</xdr:rowOff>
    </xdr:to>
    <xdr:grpSp>
      <xdr:nvGrpSpPr>
        <xdr:cNvPr id="114" name="Agrupar 113">
          <a:extLst>
            <a:ext uri="{FF2B5EF4-FFF2-40B4-BE49-F238E27FC236}">
              <a16:creationId xmlns:a16="http://schemas.microsoft.com/office/drawing/2014/main" id="{C695C4AF-EA07-4BCE-9FE9-BB89B78029E5}"/>
            </a:ext>
          </a:extLst>
        </xdr:cNvPr>
        <xdr:cNvGrpSpPr/>
      </xdr:nvGrpSpPr>
      <xdr:grpSpPr>
        <a:xfrm>
          <a:off x="8313473" y="4897703"/>
          <a:ext cx="1602274" cy="685800"/>
          <a:chOff x="361950" y="962025"/>
          <a:chExt cx="1714500" cy="685800"/>
        </a:xfrm>
      </xdr:grpSpPr>
      <xdr:sp macro="" textlink="">
        <xdr:nvSpPr>
          <xdr:cNvPr id="115" name="Retângulo: Cantos Superiores Recortados 114">
            <a:extLst>
              <a:ext uri="{FF2B5EF4-FFF2-40B4-BE49-F238E27FC236}">
                <a16:creationId xmlns:a16="http://schemas.microsoft.com/office/drawing/2014/main" id="{EC9C9C90-B9C4-E9AF-A24A-8A26BFFD5617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FILTROS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16" name="Retângulo 115">
            <a:extLst>
              <a:ext uri="{FF2B5EF4-FFF2-40B4-BE49-F238E27FC236}">
                <a16:creationId xmlns:a16="http://schemas.microsoft.com/office/drawing/2014/main" id="{9CCC7F88-52DB-1BE8-5755-767B0125E985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F9C1107-77E2-4687-8877-158EDF8E0CB0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R$ 4.545,78 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245533</xdr:colOff>
      <xdr:row>27</xdr:row>
      <xdr:rowOff>171450</xdr:rowOff>
    </xdr:from>
    <xdr:to>
      <xdr:col>4</xdr:col>
      <xdr:colOff>428317</xdr:colOff>
      <xdr:row>31</xdr:row>
      <xdr:rowOff>95250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id="{C2601B56-2272-4E68-B2AE-D2BAE408E63B}"/>
            </a:ext>
          </a:extLst>
        </xdr:cNvPr>
        <xdr:cNvGrpSpPr/>
      </xdr:nvGrpSpPr>
      <xdr:grpSpPr>
        <a:xfrm>
          <a:off x="4603221" y="5731669"/>
          <a:ext cx="1623440" cy="685800"/>
          <a:chOff x="361950" y="962025"/>
          <a:chExt cx="1714500" cy="685800"/>
        </a:xfrm>
      </xdr:grpSpPr>
      <xdr:sp macro="" textlink="">
        <xdr:nvSpPr>
          <xdr:cNvPr id="121" name="Retângulo: Cantos Superiores Recortados 120">
            <a:extLst>
              <a:ext uri="{FF2B5EF4-FFF2-40B4-BE49-F238E27FC236}">
                <a16:creationId xmlns:a16="http://schemas.microsoft.com/office/drawing/2014/main" id="{44B77656-21ED-B1FF-8D89-AA2FB51DDE14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PNEUS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22" name="Retângulo 121">
            <a:extLst>
              <a:ext uri="{FF2B5EF4-FFF2-40B4-BE49-F238E27FC236}">
                <a16:creationId xmlns:a16="http://schemas.microsoft.com/office/drawing/2014/main" id="{7B22F897-BF13-B2E0-3E59-0DA2F72EC99C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BA1B5D8-A578-478F-8F70-076633264D3A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R$ 10.919,70 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387351</xdr:colOff>
      <xdr:row>27</xdr:row>
      <xdr:rowOff>186267</xdr:rowOff>
    </xdr:from>
    <xdr:to>
      <xdr:col>8</xdr:col>
      <xdr:colOff>167968</xdr:colOff>
      <xdr:row>31</xdr:row>
      <xdr:rowOff>110067</xdr:rowOff>
    </xdr:to>
    <xdr:grpSp>
      <xdr:nvGrpSpPr>
        <xdr:cNvPr id="123" name="Agrupar 122">
          <a:extLst>
            <a:ext uri="{FF2B5EF4-FFF2-40B4-BE49-F238E27FC236}">
              <a16:creationId xmlns:a16="http://schemas.microsoft.com/office/drawing/2014/main" id="{51D2DACF-137B-4C39-A118-153154985BF8}"/>
            </a:ext>
          </a:extLst>
        </xdr:cNvPr>
        <xdr:cNvGrpSpPr/>
      </xdr:nvGrpSpPr>
      <xdr:grpSpPr>
        <a:xfrm>
          <a:off x="6792914" y="5746486"/>
          <a:ext cx="1995179" cy="685800"/>
          <a:chOff x="361950" y="962025"/>
          <a:chExt cx="1714500" cy="685800"/>
        </a:xfrm>
      </xdr:grpSpPr>
      <xdr:sp macro="" textlink="">
        <xdr:nvSpPr>
          <xdr:cNvPr id="124" name="Retângulo: Cantos Superiores Recortados 123">
            <a:extLst>
              <a:ext uri="{FF2B5EF4-FFF2-40B4-BE49-F238E27FC236}">
                <a16:creationId xmlns:a16="http://schemas.microsoft.com/office/drawing/2014/main" id="{B5526F90-FAB3-B06C-0D45-E01E1928C0A6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BATERIAS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25" name="Retângulo 124">
            <a:extLst>
              <a:ext uri="{FF2B5EF4-FFF2-40B4-BE49-F238E27FC236}">
                <a16:creationId xmlns:a16="http://schemas.microsoft.com/office/drawing/2014/main" id="{176B20F4-203F-FF5B-1219-E303A74DF539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06CE0A2-C8A7-4DD0-925D-1D8A2E583304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R$ 4.808,35 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273050</xdr:colOff>
      <xdr:row>23</xdr:row>
      <xdr:rowOff>93134</xdr:rowOff>
    </xdr:from>
    <xdr:to>
      <xdr:col>13</xdr:col>
      <xdr:colOff>53667</xdr:colOff>
      <xdr:row>27</xdr:row>
      <xdr:rowOff>16934</xdr:rowOff>
    </xdr:to>
    <xdr:grpSp>
      <xdr:nvGrpSpPr>
        <xdr:cNvPr id="126" name="Agrupar 125">
          <a:extLst>
            <a:ext uri="{FF2B5EF4-FFF2-40B4-BE49-F238E27FC236}">
              <a16:creationId xmlns:a16="http://schemas.microsoft.com/office/drawing/2014/main" id="{351FC736-3103-42B7-9D67-1152A9F969A5}"/>
            </a:ext>
          </a:extLst>
        </xdr:cNvPr>
        <xdr:cNvGrpSpPr/>
      </xdr:nvGrpSpPr>
      <xdr:grpSpPr>
        <a:xfrm>
          <a:off x="10107613" y="4891353"/>
          <a:ext cx="1602273" cy="685800"/>
          <a:chOff x="361950" y="962025"/>
          <a:chExt cx="1714500" cy="685800"/>
        </a:xfrm>
      </xdr:grpSpPr>
      <xdr:sp macro="" textlink="">
        <xdr:nvSpPr>
          <xdr:cNvPr id="127" name="Retângulo: Cantos Superiores Recortados 126">
            <a:extLst>
              <a:ext uri="{FF2B5EF4-FFF2-40B4-BE49-F238E27FC236}">
                <a16:creationId xmlns:a16="http://schemas.microsoft.com/office/drawing/2014/main" id="{B717DC3D-2334-4970-783B-87ECF6C1ECC5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PALHETAS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28" name="Retângulo 127">
            <a:extLst>
              <a:ext uri="{FF2B5EF4-FFF2-40B4-BE49-F238E27FC236}">
                <a16:creationId xmlns:a16="http://schemas.microsoft.com/office/drawing/2014/main" id="{45C79A24-66D6-B174-EA61-0CF2410A0297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4B77FAC-074A-4B70-989B-11A49CEB9854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R$ 1.629,06 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57150</xdr:colOff>
      <xdr:row>54</xdr:row>
      <xdr:rowOff>120650</xdr:rowOff>
    </xdr:from>
    <xdr:to>
      <xdr:col>1</xdr:col>
      <xdr:colOff>419850</xdr:colOff>
      <xdr:row>58</xdr:row>
      <xdr:rowOff>44450</xdr:rowOff>
    </xdr:to>
    <xdr:grpSp>
      <xdr:nvGrpSpPr>
        <xdr:cNvPr id="129" name="Agrupar 128">
          <a:extLst>
            <a:ext uri="{FF2B5EF4-FFF2-40B4-BE49-F238E27FC236}">
              <a16:creationId xmlns:a16="http://schemas.microsoft.com/office/drawing/2014/main" id="{0228D279-4F4D-4E03-A087-83FAF9801133}"/>
            </a:ext>
          </a:extLst>
        </xdr:cNvPr>
        <xdr:cNvGrpSpPr/>
      </xdr:nvGrpSpPr>
      <xdr:grpSpPr>
        <a:xfrm>
          <a:off x="57150" y="11491119"/>
          <a:ext cx="1624763" cy="685800"/>
          <a:chOff x="361950" y="962025"/>
          <a:chExt cx="1714500" cy="685800"/>
        </a:xfrm>
      </xdr:grpSpPr>
      <xdr:sp macro="" textlink="#REF!">
        <xdr:nvSpPr>
          <xdr:cNvPr id="130" name="Retângulo: Cantos Superiores Recortados 129">
            <a:extLst>
              <a:ext uri="{FF2B5EF4-FFF2-40B4-BE49-F238E27FC236}">
                <a16:creationId xmlns:a16="http://schemas.microsoft.com/office/drawing/2014/main" id="{E64A3345-CA14-C2DC-2601-A68CF3E4165E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E37768C-57BE-4FF8-B941-5E489E3927F8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COMBUSTIVEL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31" name="Retângulo 130">
            <a:extLst>
              <a:ext uri="{FF2B5EF4-FFF2-40B4-BE49-F238E27FC236}">
                <a16:creationId xmlns:a16="http://schemas.microsoft.com/office/drawing/2014/main" id="{AC170F85-0F6B-1596-0012-27AB43258426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E9136D4-1393-42A3-97A0-574F3ED5C77B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664633</xdr:colOff>
      <xdr:row>54</xdr:row>
      <xdr:rowOff>103717</xdr:rowOff>
    </xdr:from>
    <xdr:to>
      <xdr:col>2</xdr:col>
      <xdr:colOff>826250</xdr:colOff>
      <xdr:row>58</xdr:row>
      <xdr:rowOff>27517</xdr:rowOff>
    </xdr:to>
    <xdr:grpSp>
      <xdr:nvGrpSpPr>
        <xdr:cNvPr id="132" name="Agrupar 131">
          <a:extLst>
            <a:ext uri="{FF2B5EF4-FFF2-40B4-BE49-F238E27FC236}">
              <a16:creationId xmlns:a16="http://schemas.microsoft.com/office/drawing/2014/main" id="{88751F9E-5900-4C8C-AB40-DF6885F623AE}"/>
            </a:ext>
          </a:extLst>
        </xdr:cNvPr>
        <xdr:cNvGrpSpPr/>
      </xdr:nvGrpSpPr>
      <xdr:grpSpPr>
        <a:xfrm>
          <a:off x="1926696" y="11474186"/>
          <a:ext cx="1614179" cy="685800"/>
          <a:chOff x="361950" y="962025"/>
          <a:chExt cx="1714500" cy="685800"/>
        </a:xfrm>
      </xdr:grpSpPr>
      <xdr:sp macro="" textlink="#REF!">
        <xdr:nvSpPr>
          <xdr:cNvPr id="133" name="Retângulo: Cantos Superiores Recortados 132">
            <a:extLst>
              <a:ext uri="{FF2B5EF4-FFF2-40B4-BE49-F238E27FC236}">
                <a16:creationId xmlns:a16="http://schemas.microsoft.com/office/drawing/2014/main" id="{287F6946-2ACC-7EAB-B2A0-49518619BE07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C22889D-DD08-46CC-BA02-E853DE913B1F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PNEUS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34" name="Retângulo 133">
            <a:extLst>
              <a:ext uri="{FF2B5EF4-FFF2-40B4-BE49-F238E27FC236}">
                <a16:creationId xmlns:a16="http://schemas.microsoft.com/office/drawing/2014/main" id="{0A106BB7-B129-7BF4-0533-E45571F727F7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8EA209E0-0AF7-44B6-B223-5FAA855D7D39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1081617</xdr:colOff>
      <xdr:row>54</xdr:row>
      <xdr:rowOff>65617</xdr:rowOff>
    </xdr:from>
    <xdr:to>
      <xdr:col>3</xdr:col>
      <xdr:colOff>1052734</xdr:colOff>
      <xdr:row>57</xdr:row>
      <xdr:rowOff>179917</xdr:rowOff>
    </xdr:to>
    <xdr:grpSp>
      <xdr:nvGrpSpPr>
        <xdr:cNvPr id="135" name="Agrupar 134">
          <a:extLst>
            <a:ext uri="{FF2B5EF4-FFF2-40B4-BE49-F238E27FC236}">
              <a16:creationId xmlns:a16="http://schemas.microsoft.com/office/drawing/2014/main" id="{3BD8A167-903B-452E-9EB2-A2F715BB206E}"/>
            </a:ext>
          </a:extLst>
        </xdr:cNvPr>
        <xdr:cNvGrpSpPr/>
      </xdr:nvGrpSpPr>
      <xdr:grpSpPr>
        <a:xfrm>
          <a:off x="3796242" y="11436086"/>
          <a:ext cx="1614180" cy="685800"/>
          <a:chOff x="361950" y="962025"/>
          <a:chExt cx="1714500" cy="685800"/>
        </a:xfrm>
      </xdr:grpSpPr>
      <xdr:sp macro="" textlink="#REF!">
        <xdr:nvSpPr>
          <xdr:cNvPr id="136" name="Retângulo: Cantos Superiores Recortados 135">
            <a:extLst>
              <a:ext uri="{FF2B5EF4-FFF2-40B4-BE49-F238E27FC236}">
                <a16:creationId xmlns:a16="http://schemas.microsoft.com/office/drawing/2014/main" id="{2EAF4AD2-1393-D645-B2F3-7E3BDFD65AE5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6A1D24C2-5C8B-420E-9BB9-15D267622E9E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PADARIA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37" name="Retângulo 136">
            <a:extLst>
              <a:ext uri="{FF2B5EF4-FFF2-40B4-BE49-F238E27FC236}">
                <a16:creationId xmlns:a16="http://schemas.microsoft.com/office/drawing/2014/main" id="{8DDDE6D2-6407-B6F6-F262-748174065674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4DC3EA6C-5242-4C04-9048-A406E3288DE0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1424516</xdr:colOff>
      <xdr:row>54</xdr:row>
      <xdr:rowOff>59266</xdr:rowOff>
    </xdr:from>
    <xdr:to>
      <xdr:col>6</xdr:col>
      <xdr:colOff>379633</xdr:colOff>
      <xdr:row>57</xdr:row>
      <xdr:rowOff>173566</xdr:rowOff>
    </xdr:to>
    <xdr:grpSp>
      <xdr:nvGrpSpPr>
        <xdr:cNvPr id="138" name="Agrupar 137">
          <a:extLst>
            <a:ext uri="{FF2B5EF4-FFF2-40B4-BE49-F238E27FC236}">
              <a16:creationId xmlns:a16="http://schemas.microsoft.com/office/drawing/2014/main" id="{9FC7BF64-5CFA-46CE-BFFF-2E0D27C10B5F}"/>
            </a:ext>
          </a:extLst>
        </xdr:cNvPr>
        <xdr:cNvGrpSpPr/>
      </xdr:nvGrpSpPr>
      <xdr:grpSpPr>
        <a:xfrm>
          <a:off x="5782204" y="11429735"/>
          <a:ext cx="2003117" cy="685800"/>
          <a:chOff x="361950" y="962025"/>
          <a:chExt cx="1714500" cy="685800"/>
        </a:xfrm>
      </xdr:grpSpPr>
      <xdr:sp macro="" textlink="#REF!">
        <xdr:nvSpPr>
          <xdr:cNvPr id="139" name="Retângulo: Cantos Superiores Recortados 138">
            <a:extLst>
              <a:ext uri="{FF2B5EF4-FFF2-40B4-BE49-F238E27FC236}">
                <a16:creationId xmlns:a16="http://schemas.microsoft.com/office/drawing/2014/main" id="{3F7445DC-703B-03C8-5A0C-7FFE98990ECF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2FEFA98C-D621-4EAB-A015-67D5AB8DDED7}" type="TxLink">
              <a:rPr lang="en-US" sz="16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LAVA RAPIDO</a:t>
            </a:fld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40" name="Retângulo 139">
            <a:extLst>
              <a:ext uri="{FF2B5EF4-FFF2-40B4-BE49-F238E27FC236}">
                <a16:creationId xmlns:a16="http://schemas.microsoft.com/office/drawing/2014/main" id="{59E2A5D5-7562-636A-8A1C-A2A0D2CB05B0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7799DBE-8731-421A-B161-559110A2EA65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#REF!</a:t>
            </a:fld>
            <a:endParaRPr lang="pt-BR" sz="66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582082</xdr:colOff>
      <xdr:row>54</xdr:row>
      <xdr:rowOff>52916</xdr:rowOff>
    </xdr:from>
    <xdr:to>
      <xdr:col>9</xdr:col>
      <xdr:colOff>362699</xdr:colOff>
      <xdr:row>57</xdr:row>
      <xdr:rowOff>167216</xdr:rowOff>
    </xdr:to>
    <xdr:grpSp>
      <xdr:nvGrpSpPr>
        <xdr:cNvPr id="141" name="Agrupar 140">
          <a:extLst>
            <a:ext uri="{FF2B5EF4-FFF2-40B4-BE49-F238E27FC236}">
              <a16:creationId xmlns:a16="http://schemas.microsoft.com/office/drawing/2014/main" id="{18119C93-18F0-4F2D-AADF-1265A74AAD61}"/>
            </a:ext>
          </a:extLst>
        </xdr:cNvPr>
        <xdr:cNvGrpSpPr/>
      </xdr:nvGrpSpPr>
      <xdr:grpSpPr>
        <a:xfrm>
          <a:off x="7987770" y="11423385"/>
          <a:ext cx="1602273" cy="685800"/>
          <a:chOff x="361950" y="962025"/>
          <a:chExt cx="1714500" cy="685800"/>
        </a:xfrm>
      </xdr:grpSpPr>
      <xdr:sp macro="" textlink="">
        <xdr:nvSpPr>
          <xdr:cNvPr id="142" name="Retângulo: Cantos Superiores Recortados 141">
            <a:extLst>
              <a:ext uri="{FF2B5EF4-FFF2-40B4-BE49-F238E27FC236}">
                <a16:creationId xmlns:a16="http://schemas.microsoft.com/office/drawing/2014/main" id="{77213432-5C9A-1CC9-9101-BFCD35FC028E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 i="0" u="none" strike="noStrike">
              <a:solidFill>
                <a:schemeClr val="bg1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143" name="Retângulo 142">
            <a:extLst>
              <a:ext uri="{FF2B5EF4-FFF2-40B4-BE49-F238E27FC236}">
                <a16:creationId xmlns:a16="http://schemas.microsoft.com/office/drawing/2014/main" id="{7AEB45E3-42BE-5CED-65AC-1616D43E31A6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 i="0" u="none" strike="noStrike">
              <a:solidFill>
                <a:schemeClr val="bg1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9</xdr:col>
      <xdr:colOff>596898</xdr:colOff>
      <xdr:row>54</xdr:row>
      <xdr:rowOff>46566</xdr:rowOff>
    </xdr:from>
    <xdr:to>
      <xdr:col>12</xdr:col>
      <xdr:colOff>377515</xdr:colOff>
      <xdr:row>57</xdr:row>
      <xdr:rowOff>160866</xdr:rowOff>
    </xdr:to>
    <xdr:grpSp>
      <xdr:nvGrpSpPr>
        <xdr:cNvPr id="144" name="Agrupar 143">
          <a:extLst>
            <a:ext uri="{FF2B5EF4-FFF2-40B4-BE49-F238E27FC236}">
              <a16:creationId xmlns:a16="http://schemas.microsoft.com/office/drawing/2014/main" id="{A1D65773-2A23-4C6E-B0D7-ABDD8B54E0AC}"/>
            </a:ext>
          </a:extLst>
        </xdr:cNvPr>
        <xdr:cNvGrpSpPr/>
      </xdr:nvGrpSpPr>
      <xdr:grpSpPr>
        <a:xfrm>
          <a:off x="9824242" y="11417035"/>
          <a:ext cx="1602273" cy="685800"/>
          <a:chOff x="361950" y="962025"/>
          <a:chExt cx="1714500" cy="685800"/>
        </a:xfrm>
      </xdr:grpSpPr>
      <xdr:sp macro="" textlink="">
        <xdr:nvSpPr>
          <xdr:cNvPr id="145" name="Retângulo: Cantos Superiores Recortados 144">
            <a:extLst>
              <a:ext uri="{FF2B5EF4-FFF2-40B4-BE49-F238E27FC236}">
                <a16:creationId xmlns:a16="http://schemas.microsoft.com/office/drawing/2014/main" id="{6814491B-D7EA-13D4-D9AE-FFB875D9415B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 i="0" u="none" strike="noStrike">
              <a:solidFill>
                <a:schemeClr val="bg1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146" name="Retângulo 145">
            <a:extLst>
              <a:ext uri="{FF2B5EF4-FFF2-40B4-BE49-F238E27FC236}">
                <a16:creationId xmlns:a16="http://schemas.microsoft.com/office/drawing/2014/main" id="{1F160200-83EF-94A1-258A-3AD882530604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 i="0" u="none" strike="noStrike">
                <a:solidFill>
                  <a:schemeClr val="bg1"/>
                </a:solidFill>
                <a:latin typeface="Calibri"/>
                <a:cs typeface="Calibri"/>
              </a:rPr>
              <a:t>  </a:t>
            </a:r>
          </a:p>
        </xdr:txBody>
      </xdr:sp>
    </xdr:grpSp>
    <xdr:clientData/>
  </xdr:twoCellAnchor>
  <xdr:twoCellAnchor>
    <xdr:from>
      <xdr:col>13</xdr:col>
      <xdr:colOff>61382</xdr:colOff>
      <xdr:row>54</xdr:row>
      <xdr:rowOff>40216</xdr:rowOff>
    </xdr:from>
    <xdr:to>
      <xdr:col>15</xdr:col>
      <xdr:colOff>392332</xdr:colOff>
      <xdr:row>57</xdr:row>
      <xdr:rowOff>154516</xdr:rowOff>
    </xdr:to>
    <xdr:grpSp>
      <xdr:nvGrpSpPr>
        <xdr:cNvPr id="147" name="Agrupar 146">
          <a:extLst>
            <a:ext uri="{FF2B5EF4-FFF2-40B4-BE49-F238E27FC236}">
              <a16:creationId xmlns:a16="http://schemas.microsoft.com/office/drawing/2014/main" id="{95F992E2-4F5C-48B6-B8C0-4A366DC64E55}"/>
            </a:ext>
          </a:extLst>
        </xdr:cNvPr>
        <xdr:cNvGrpSpPr/>
      </xdr:nvGrpSpPr>
      <xdr:grpSpPr>
        <a:xfrm>
          <a:off x="11717601" y="11410685"/>
          <a:ext cx="1616825" cy="685800"/>
          <a:chOff x="361950" y="962025"/>
          <a:chExt cx="1714500" cy="685800"/>
        </a:xfrm>
      </xdr:grpSpPr>
      <xdr:sp macro="" textlink="">
        <xdr:nvSpPr>
          <xdr:cNvPr id="148" name="Retângulo: Cantos Superiores Recortados 147">
            <a:extLst>
              <a:ext uri="{FF2B5EF4-FFF2-40B4-BE49-F238E27FC236}">
                <a16:creationId xmlns:a16="http://schemas.microsoft.com/office/drawing/2014/main" id="{436527EA-BE3C-C276-0654-5F23A90E9C56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1100" b="0" i="0" u="none" strike="noStrike">
              <a:solidFill>
                <a:schemeClr val="bg1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149" name="Retângulo 148">
            <a:extLst>
              <a:ext uri="{FF2B5EF4-FFF2-40B4-BE49-F238E27FC236}">
                <a16:creationId xmlns:a16="http://schemas.microsoft.com/office/drawing/2014/main" id="{B2601C65-392A-CDD5-103D-B006A131C8ED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 i="0" u="none" strike="noStrike">
                <a:solidFill>
                  <a:schemeClr val="bg1"/>
                </a:solidFill>
                <a:latin typeface="Calibri"/>
                <a:cs typeface="Calibri"/>
              </a:rPr>
              <a:t>  </a:t>
            </a:r>
          </a:p>
        </xdr:txBody>
      </xdr:sp>
    </xdr:grpSp>
    <xdr:clientData/>
  </xdr:twoCellAnchor>
  <xdr:twoCellAnchor>
    <xdr:from>
      <xdr:col>0</xdr:col>
      <xdr:colOff>211667</xdr:colOff>
      <xdr:row>35</xdr:row>
      <xdr:rowOff>158750</xdr:rowOff>
    </xdr:from>
    <xdr:to>
      <xdr:col>1</xdr:col>
      <xdr:colOff>574367</xdr:colOff>
      <xdr:row>39</xdr:row>
      <xdr:rowOff>82550</xdr:rowOff>
    </xdr:to>
    <xdr:grpSp>
      <xdr:nvGrpSpPr>
        <xdr:cNvPr id="117" name="Agrupar 116">
          <a:extLst>
            <a:ext uri="{FF2B5EF4-FFF2-40B4-BE49-F238E27FC236}">
              <a16:creationId xmlns:a16="http://schemas.microsoft.com/office/drawing/2014/main" id="{969A7CCF-37CF-452A-8BAF-C18A602889F8}"/>
            </a:ext>
          </a:extLst>
        </xdr:cNvPr>
        <xdr:cNvGrpSpPr/>
      </xdr:nvGrpSpPr>
      <xdr:grpSpPr>
        <a:xfrm>
          <a:off x="211667" y="7266781"/>
          <a:ext cx="1624763" cy="685800"/>
          <a:chOff x="361950" y="962025"/>
          <a:chExt cx="1714500" cy="685800"/>
        </a:xfrm>
      </xdr:grpSpPr>
      <xdr:sp macro="" textlink="">
        <xdr:nvSpPr>
          <xdr:cNvPr id="118" name="Retângulo: Cantos Superiores Recortados 117">
            <a:extLst>
              <a:ext uri="{FF2B5EF4-FFF2-40B4-BE49-F238E27FC236}">
                <a16:creationId xmlns:a16="http://schemas.microsoft.com/office/drawing/2014/main" id="{8E92EEFA-2BA9-A358-AFC5-FF3A11DFC9E4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>
                <a:solidFill>
                  <a:schemeClr val="bg1"/>
                </a:solidFill>
              </a:rPr>
              <a:t>PORTO</a:t>
            </a:r>
          </a:p>
        </xdr:txBody>
      </xdr:sp>
      <xdr:sp macro="" textlink="#REF!">
        <xdr:nvSpPr>
          <xdr:cNvPr id="119" name="Retângulo 118">
            <a:extLst>
              <a:ext uri="{FF2B5EF4-FFF2-40B4-BE49-F238E27FC236}">
                <a16:creationId xmlns:a16="http://schemas.microsoft.com/office/drawing/2014/main" id="{5A24D361-4C6A-F075-08BC-2E3220FE78AD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0A84AB8B-F701-46FA-AE24-F156C3CAC53F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R$ 54.025,84 </a:t>
            </a:fld>
            <a:endParaRPr lang="pt-BR" sz="115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639233</xdr:colOff>
      <xdr:row>35</xdr:row>
      <xdr:rowOff>184150</xdr:rowOff>
    </xdr:from>
    <xdr:to>
      <xdr:col>2</xdr:col>
      <xdr:colOff>800850</xdr:colOff>
      <xdr:row>39</xdr:row>
      <xdr:rowOff>107950</xdr:rowOff>
    </xdr:to>
    <xdr:grpSp>
      <xdr:nvGrpSpPr>
        <xdr:cNvPr id="150" name="Agrupar 149">
          <a:extLst>
            <a:ext uri="{FF2B5EF4-FFF2-40B4-BE49-F238E27FC236}">
              <a16:creationId xmlns:a16="http://schemas.microsoft.com/office/drawing/2014/main" id="{A6CF2A78-4D4B-4FEB-AFEE-89F0D5781CDA}"/>
            </a:ext>
          </a:extLst>
        </xdr:cNvPr>
        <xdr:cNvGrpSpPr/>
      </xdr:nvGrpSpPr>
      <xdr:grpSpPr>
        <a:xfrm>
          <a:off x="1901296" y="7292181"/>
          <a:ext cx="1614179" cy="685800"/>
          <a:chOff x="361950" y="962025"/>
          <a:chExt cx="1714500" cy="685800"/>
        </a:xfrm>
      </xdr:grpSpPr>
      <xdr:sp macro="" textlink="">
        <xdr:nvSpPr>
          <xdr:cNvPr id="151" name="Retângulo: Cantos Superiores Recortados 150">
            <a:extLst>
              <a:ext uri="{FF2B5EF4-FFF2-40B4-BE49-F238E27FC236}">
                <a16:creationId xmlns:a16="http://schemas.microsoft.com/office/drawing/2014/main" id="{DB60FDE6-F8F6-8483-3F20-5C4C25129EC7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>
                <a:solidFill>
                  <a:schemeClr val="bg1"/>
                </a:solidFill>
              </a:rPr>
              <a:t>AZUL</a:t>
            </a:r>
          </a:p>
        </xdr:txBody>
      </xdr:sp>
      <xdr:sp macro="" textlink="#REF!">
        <xdr:nvSpPr>
          <xdr:cNvPr id="152" name="Retângulo 151">
            <a:extLst>
              <a:ext uri="{FF2B5EF4-FFF2-40B4-BE49-F238E27FC236}">
                <a16:creationId xmlns:a16="http://schemas.microsoft.com/office/drawing/2014/main" id="{776EBF9A-BC9F-7F9A-1643-908BDD00EC72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48564000-0DEB-47B4-BF29-0B2835FDAAA0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R$ 30.422,67 </a:t>
            </a:fld>
            <a:endParaRPr lang="pt-BR" sz="115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1109133</xdr:colOff>
      <xdr:row>36</xdr:row>
      <xdr:rowOff>8467</xdr:rowOff>
    </xdr:from>
    <xdr:to>
      <xdr:col>3</xdr:col>
      <xdr:colOff>1080250</xdr:colOff>
      <xdr:row>39</xdr:row>
      <xdr:rowOff>122767</xdr:rowOff>
    </xdr:to>
    <xdr:grpSp>
      <xdr:nvGrpSpPr>
        <xdr:cNvPr id="153" name="Agrupar 152">
          <a:extLst>
            <a:ext uri="{FF2B5EF4-FFF2-40B4-BE49-F238E27FC236}">
              <a16:creationId xmlns:a16="http://schemas.microsoft.com/office/drawing/2014/main" id="{77CB38AD-CFD9-463E-A52C-CD86512682AB}"/>
            </a:ext>
          </a:extLst>
        </xdr:cNvPr>
        <xdr:cNvGrpSpPr/>
      </xdr:nvGrpSpPr>
      <xdr:grpSpPr>
        <a:xfrm>
          <a:off x="3823758" y="7306998"/>
          <a:ext cx="1614180" cy="685800"/>
          <a:chOff x="361950" y="962025"/>
          <a:chExt cx="1714500" cy="685800"/>
        </a:xfrm>
      </xdr:grpSpPr>
      <xdr:sp macro="" textlink="">
        <xdr:nvSpPr>
          <xdr:cNvPr id="154" name="Retângulo: Cantos Superiores Recortados 153">
            <a:extLst>
              <a:ext uri="{FF2B5EF4-FFF2-40B4-BE49-F238E27FC236}">
                <a16:creationId xmlns:a16="http://schemas.microsoft.com/office/drawing/2014/main" id="{1DE11CCE-6957-4BA9-9F30-74282DE45FB2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>
                <a:solidFill>
                  <a:schemeClr val="bg1"/>
                </a:solidFill>
              </a:rPr>
              <a:t>ITAU</a:t>
            </a:r>
          </a:p>
        </xdr:txBody>
      </xdr:sp>
      <xdr:sp macro="" textlink="#REF!">
        <xdr:nvSpPr>
          <xdr:cNvPr id="155" name="Retângulo 154">
            <a:extLst>
              <a:ext uri="{FF2B5EF4-FFF2-40B4-BE49-F238E27FC236}">
                <a16:creationId xmlns:a16="http://schemas.microsoft.com/office/drawing/2014/main" id="{0A4ADFF2-FFE0-3B07-3A62-BC77CDBAA6CD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F9593E7D-2F9F-4258-BF32-A828A1BEE061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R$ 5.570,00 </a:t>
            </a:fld>
            <a:endParaRPr lang="pt-BR" sz="115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1240366</xdr:colOff>
      <xdr:row>36</xdr:row>
      <xdr:rowOff>2117</xdr:rowOff>
    </xdr:from>
    <xdr:to>
      <xdr:col>5</xdr:col>
      <xdr:colOff>809317</xdr:colOff>
      <xdr:row>39</xdr:row>
      <xdr:rowOff>116417</xdr:rowOff>
    </xdr:to>
    <xdr:grpSp>
      <xdr:nvGrpSpPr>
        <xdr:cNvPr id="156" name="Agrupar 155">
          <a:extLst>
            <a:ext uri="{FF2B5EF4-FFF2-40B4-BE49-F238E27FC236}">
              <a16:creationId xmlns:a16="http://schemas.microsoft.com/office/drawing/2014/main" id="{1F125BAB-EB32-44FF-9E61-3F90099CBB5C}"/>
            </a:ext>
          </a:extLst>
        </xdr:cNvPr>
        <xdr:cNvGrpSpPr/>
      </xdr:nvGrpSpPr>
      <xdr:grpSpPr>
        <a:xfrm>
          <a:off x="5598054" y="7300648"/>
          <a:ext cx="1616826" cy="685800"/>
          <a:chOff x="361950" y="962025"/>
          <a:chExt cx="1714500" cy="685800"/>
        </a:xfrm>
      </xdr:grpSpPr>
      <xdr:sp macro="" textlink="">
        <xdr:nvSpPr>
          <xdr:cNvPr id="157" name="Retângulo: Cantos Superiores Recortados 156">
            <a:extLst>
              <a:ext uri="{FF2B5EF4-FFF2-40B4-BE49-F238E27FC236}">
                <a16:creationId xmlns:a16="http://schemas.microsoft.com/office/drawing/2014/main" id="{816DF405-2FE9-62AF-835E-CB60FB064A86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>
                <a:solidFill>
                  <a:schemeClr val="bg1"/>
                </a:solidFill>
              </a:rPr>
              <a:t>ALD</a:t>
            </a:r>
          </a:p>
        </xdr:txBody>
      </xdr:sp>
      <xdr:sp macro="" textlink="#REF!">
        <xdr:nvSpPr>
          <xdr:cNvPr id="158" name="Retângulo 157">
            <a:extLst>
              <a:ext uri="{FF2B5EF4-FFF2-40B4-BE49-F238E27FC236}">
                <a16:creationId xmlns:a16="http://schemas.microsoft.com/office/drawing/2014/main" id="{7A195A3B-F1CC-B83E-CE5A-B3AAE65A8469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6C262AFF-CCA0-470E-8E0E-A79275C82A16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R$ 13.474,48 </a:t>
            </a:fld>
            <a:endParaRPr lang="pt-BR" sz="115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905934</xdr:colOff>
      <xdr:row>36</xdr:row>
      <xdr:rowOff>16934</xdr:rowOff>
    </xdr:from>
    <xdr:to>
      <xdr:col>8</xdr:col>
      <xdr:colOff>294967</xdr:colOff>
      <xdr:row>39</xdr:row>
      <xdr:rowOff>131234</xdr:rowOff>
    </xdr:to>
    <xdr:grpSp>
      <xdr:nvGrpSpPr>
        <xdr:cNvPr id="159" name="Agrupar 158">
          <a:extLst>
            <a:ext uri="{FF2B5EF4-FFF2-40B4-BE49-F238E27FC236}">
              <a16:creationId xmlns:a16="http://schemas.microsoft.com/office/drawing/2014/main" id="{67977428-7107-429E-AE8E-0EF538733B4F}"/>
            </a:ext>
          </a:extLst>
        </xdr:cNvPr>
        <xdr:cNvGrpSpPr/>
      </xdr:nvGrpSpPr>
      <xdr:grpSpPr>
        <a:xfrm>
          <a:off x="7311497" y="7315465"/>
          <a:ext cx="1603595" cy="685800"/>
          <a:chOff x="361950" y="962025"/>
          <a:chExt cx="1714500" cy="685800"/>
        </a:xfrm>
      </xdr:grpSpPr>
      <xdr:sp macro="" textlink="">
        <xdr:nvSpPr>
          <xdr:cNvPr id="160" name="Retângulo: Cantos Superiores Recortados 159">
            <a:extLst>
              <a:ext uri="{FF2B5EF4-FFF2-40B4-BE49-F238E27FC236}">
                <a16:creationId xmlns:a16="http://schemas.microsoft.com/office/drawing/2014/main" id="{7CEB62F3-F435-5FA4-1D8D-18E1FDB6B310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LET'S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61" name="Retângulo 160">
            <a:extLst>
              <a:ext uri="{FF2B5EF4-FFF2-40B4-BE49-F238E27FC236}">
                <a16:creationId xmlns:a16="http://schemas.microsoft.com/office/drawing/2014/main" id="{8FFA89D6-5DE6-85F5-014B-01425C07F1E9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7AEE54DE-5A9C-4A2D-BDE5-257EE83DF8E0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R$ 7.508,10 </a:t>
            </a:fld>
            <a:endParaRPr lang="pt-BR" sz="115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</xdr:col>
      <xdr:colOff>465667</xdr:colOff>
      <xdr:row>36</xdr:row>
      <xdr:rowOff>21168</xdr:rowOff>
    </xdr:from>
    <xdr:to>
      <xdr:col>11</xdr:col>
      <xdr:colOff>246284</xdr:colOff>
      <xdr:row>39</xdr:row>
      <xdr:rowOff>135468</xdr:rowOff>
    </xdr:to>
    <xdr:grpSp>
      <xdr:nvGrpSpPr>
        <xdr:cNvPr id="162" name="Agrupar 161">
          <a:extLst>
            <a:ext uri="{FF2B5EF4-FFF2-40B4-BE49-F238E27FC236}">
              <a16:creationId xmlns:a16="http://schemas.microsoft.com/office/drawing/2014/main" id="{1833E9F7-C141-4EAC-B6AF-5AB5AAA1EAE9}"/>
            </a:ext>
          </a:extLst>
        </xdr:cNvPr>
        <xdr:cNvGrpSpPr/>
      </xdr:nvGrpSpPr>
      <xdr:grpSpPr>
        <a:xfrm>
          <a:off x="9085792" y="7319699"/>
          <a:ext cx="1602273" cy="685800"/>
          <a:chOff x="361950" y="962025"/>
          <a:chExt cx="1714500" cy="685800"/>
        </a:xfrm>
      </xdr:grpSpPr>
      <xdr:sp macro="" textlink="">
        <xdr:nvSpPr>
          <xdr:cNvPr id="163" name="Retângulo: Cantos Superiores Recortados 162">
            <a:extLst>
              <a:ext uri="{FF2B5EF4-FFF2-40B4-BE49-F238E27FC236}">
                <a16:creationId xmlns:a16="http://schemas.microsoft.com/office/drawing/2014/main" id="{07246D93-8ED3-5648-F848-2A3E47643658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ARVAL BRASIL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64" name="Retângulo 163">
            <a:extLst>
              <a:ext uri="{FF2B5EF4-FFF2-40B4-BE49-F238E27FC236}">
                <a16:creationId xmlns:a16="http://schemas.microsoft.com/office/drawing/2014/main" id="{D604E22C-4902-85A6-52C8-845D5B2E7F36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5949D8A-8D56-4229-8564-AE0693D5DA10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R$ 5.311,54 </a:t>
            </a:fld>
            <a:endParaRPr lang="pt-BR" sz="115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</xdr:col>
      <xdr:colOff>448734</xdr:colOff>
      <xdr:row>36</xdr:row>
      <xdr:rowOff>25401</xdr:rowOff>
    </xdr:from>
    <xdr:to>
      <xdr:col>14</xdr:col>
      <xdr:colOff>165851</xdr:colOff>
      <xdr:row>39</xdr:row>
      <xdr:rowOff>139701</xdr:rowOff>
    </xdr:to>
    <xdr:grpSp>
      <xdr:nvGrpSpPr>
        <xdr:cNvPr id="165" name="Agrupar 164">
          <a:extLst>
            <a:ext uri="{FF2B5EF4-FFF2-40B4-BE49-F238E27FC236}">
              <a16:creationId xmlns:a16="http://schemas.microsoft.com/office/drawing/2014/main" id="{F2DD6C05-1BD4-4137-BC59-D7849D5D5FFE}"/>
            </a:ext>
          </a:extLst>
        </xdr:cNvPr>
        <xdr:cNvGrpSpPr/>
      </xdr:nvGrpSpPr>
      <xdr:grpSpPr>
        <a:xfrm>
          <a:off x="10890515" y="7323932"/>
          <a:ext cx="1610211" cy="685800"/>
          <a:chOff x="361950" y="962025"/>
          <a:chExt cx="1714500" cy="685800"/>
        </a:xfrm>
      </xdr:grpSpPr>
      <xdr:sp macro="" textlink="">
        <xdr:nvSpPr>
          <xdr:cNvPr id="166" name="Retângulo: Cantos Superiores Recortados 165">
            <a:extLst>
              <a:ext uri="{FF2B5EF4-FFF2-40B4-BE49-F238E27FC236}">
                <a16:creationId xmlns:a16="http://schemas.microsoft.com/office/drawing/2014/main" id="{A5EC3D12-EBB6-2368-69CD-885B81D1C018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BFP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67" name="Retângulo 166">
            <a:extLst>
              <a:ext uri="{FF2B5EF4-FFF2-40B4-BE49-F238E27FC236}">
                <a16:creationId xmlns:a16="http://schemas.microsoft.com/office/drawing/2014/main" id="{B0BCE795-E2C4-23D8-8782-0FB672B6AAAA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4D86D58C-BC70-4A52-8D7E-11B5FD727A18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R$ 280,00 </a:t>
            </a:fld>
            <a:endParaRPr lang="pt-BR" sz="115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14</xdr:col>
      <xdr:colOff>357717</xdr:colOff>
      <xdr:row>36</xdr:row>
      <xdr:rowOff>19051</xdr:rowOff>
    </xdr:from>
    <xdr:to>
      <xdr:col>17</xdr:col>
      <xdr:colOff>138334</xdr:colOff>
      <xdr:row>39</xdr:row>
      <xdr:rowOff>133351</xdr:rowOff>
    </xdr:to>
    <xdr:grpSp>
      <xdr:nvGrpSpPr>
        <xdr:cNvPr id="168" name="Agrupar 167">
          <a:extLst>
            <a:ext uri="{FF2B5EF4-FFF2-40B4-BE49-F238E27FC236}">
              <a16:creationId xmlns:a16="http://schemas.microsoft.com/office/drawing/2014/main" id="{F8AFC592-876D-43BB-BE44-50C4EF03C805}"/>
            </a:ext>
          </a:extLst>
        </xdr:cNvPr>
        <xdr:cNvGrpSpPr/>
      </xdr:nvGrpSpPr>
      <xdr:grpSpPr>
        <a:xfrm>
          <a:off x="12692592" y="7317582"/>
          <a:ext cx="1602273" cy="685800"/>
          <a:chOff x="361950" y="962025"/>
          <a:chExt cx="1714500" cy="685800"/>
        </a:xfrm>
      </xdr:grpSpPr>
      <xdr:sp macro="" textlink="">
        <xdr:nvSpPr>
          <xdr:cNvPr id="169" name="Retângulo: Cantos Superiores Recortados 168">
            <a:extLst>
              <a:ext uri="{FF2B5EF4-FFF2-40B4-BE49-F238E27FC236}">
                <a16:creationId xmlns:a16="http://schemas.microsoft.com/office/drawing/2014/main" id="{6B2F9FA9-1D62-C75B-1D99-19DC2980C5AC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 baseline="0">
                <a:solidFill>
                  <a:schemeClr val="bg1"/>
                </a:solidFill>
              </a:rPr>
              <a:t>PARTICULAR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70" name="Retângulo 169">
            <a:extLst>
              <a:ext uri="{FF2B5EF4-FFF2-40B4-BE49-F238E27FC236}">
                <a16:creationId xmlns:a16="http://schemas.microsoft.com/office/drawing/2014/main" id="{19C85A25-1AC7-F32E-2A84-3798210CE306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19934AF6-957C-4E95-A22F-FEF1C6B3FF1E}" type="TxLink">
              <a:rPr lang="en-US" sz="20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R$ 10.748,53 </a:t>
            </a:fld>
            <a:endParaRPr lang="pt-BR" sz="115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607220</xdr:colOff>
      <xdr:row>8</xdr:row>
      <xdr:rowOff>150810</xdr:rowOff>
    </xdr:from>
    <xdr:to>
      <xdr:col>2</xdr:col>
      <xdr:colOff>1</xdr:colOff>
      <xdr:row>12</xdr:row>
      <xdr:rowOff>74610</xdr:rowOff>
    </xdr:to>
    <xdr:grpSp>
      <xdr:nvGrpSpPr>
        <xdr:cNvPr id="171" name="Agrupar 170">
          <a:extLst>
            <a:ext uri="{FF2B5EF4-FFF2-40B4-BE49-F238E27FC236}">
              <a16:creationId xmlns:a16="http://schemas.microsoft.com/office/drawing/2014/main" id="{28CB283A-966B-4E2B-BD5E-C2DA0151DF38}"/>
            </a:ext>
          </a:extLst>
        </xdr:cNvPr>
        <xdr:cNvGrpSpPr/>
      </xdr:nvGrpSpPr>
      <xdr:grpSpPr>
        <a:xfrm>
          <a:off x="607220" y="1841498"/>
          <a:ext cx="2107406" cy="685800"/>
          <a:chOff x="361950" y="962025"/>
          <a:chExt cx="1714500" cy="685800"/>
        </a:xfrm>
      </xdr:grpSpPr>
      <xdr:sp macro="" textlink="">
        <xdr:nvSpPr>
          <xdr:cNvPr id="172" name="Retângulo: Cantos Superiores Recortados 171">
            <a:extLst>
              <a:ext uri="{FF2B5EF4-FFF2-40B4-BE49-F238E27FC236}">
                <a16:creationId xmlns:a16="http://schemas.microsoft.com/office/drawing/2014/main" id="{38EC026B-6DE5-2A6C-1B74-6A3A392C1E0B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>
                <a:solidFill>
                  <a:schemeClr val="bg1"/>
                </a:solidFill>
              </a:rPr>
              <a:t>VALOR</a:t>
            </a:r>
            <a:r>
              <a:rPr lang="pt-BR" sz="1600" b="1" i="1" baseline="0">
                <a:solidFill>
                  <a:schemeClr val="bg1"/>
                </a:solidFill>
              </a:rPr>
              <a:t> PARA A META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73" name="Retângulo 172">
            <a:extLst>
              <a:ext uri="{FF2B5EF4-FFF2-40B4-BE49-F238E27FC236}">
                <a16:creationId xmlns:a16="http://schemas.microsoft.com/office/drawing/2014/main" id="{31A070C1-F0E4-3741-BCAE-4C2D425C1570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BB7F989-2F1A-4A3A-8448-9EADEC99BB26}" type="TxLink">
              <a:rPr lang="en-US" sz="24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R$ 59.678,46 </a:t>
            </a:fld>
            <a:endParaRPr lang="pt-BR" sz="7200" b="1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15</xdr:col>
      <xdr:colOff>57151</xdr:colOff>
      <xdr:row>4</xdr:row>
      <xdr:rowOff>76991</xdr:rowOff>
    </xdr:from>
    <xdr:to>
      <xdr:col>18</xdr:col>
      <xdr:colOff>342901</xdr:colOff>
      <xdr:row>8</xdr:row>
      <xdr:rowOff>791</xdr:rowOff>
    </xdr:to>
    <xdr:grpSp>
      <xdr:nvGrpSpPr>
        <xdr:cNvPr id="174" name="Agrupar 173">
          <a:extLst>
            <a:ext uri="{FF2B5EF4-FFF2-40B4-BE49-F238E27FC236}">
              <a16:creationId xmlns:a16="http://schemas.microsoft.com/office/drawing/2014/main" id="{247F7FED-F45D-4F0E-812C-2DB15ED84E91}"/>
            </a:ext>
          </a:extLst>
        </xdr:cNvPr>
        <xdr:cNvGrpSpPr/>
      </xdr:nvGrpSpPr>
      <xdr:grpSpPr>
        <a:xfrm>
          <a:off x="12999245" y="1005679"/>
          <a:ext cx="2107406" cy="685800"/>
          <a:chOff x="361950" y="962025"/>
          <a:chExt cx="1714500" cy="685800"/>
        </a:xfrm>
      </xdr:grpSpPr>
      <xdr:sp macro="" textlink="">
        <xdr:nvSpPr>
          <xdr:cNvPr id="175" name="Retângulo: Cantos Superiores Recortados 174">
            <a:extLst>
              <a:ext uri="{FF2B5EF4-FFF2-40B4-BE49-F238E27FC236}">
                <a16:creationId xmlns:a16="http://schemas.microsoft.com/office/drawing/2014/main" id="{DD9C2743-916E-BE8A-2DA8-8C2386DD9DAD}"/>
              </a:ext>
            </a:extLst>
          </xdr:cNvPr>
          <xdr:cNvSpPr/>
        </xdr:nvSpPr>
        <xdr:spPr>
          <a:xfrm>
            <a:off x="371475" y="962025"/>
            <a:ext cx="1704975" cy="323850"/>
          </a:xfrm>
          <a:prstGeom prst="snip2Same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 i="1">
                <a:solidFill>
                  <a:schemeClr val="bg1"/>
                </a:solidFill>
              </a:rPr>
              <a:t>PASSAGENS</a:t>
            </a:r>
            <a:r>
              <a:rPr lang="pt-BR" sz="1600" b="1" i="1" baseline="0">
                <a:solidFill>
                  <a:schemeClr val="bg1"/>
                </a:solidFill>
              </a:rPr>
              <a:t> DO MÊS</a:t>
            </a:r>
            <a:endParaRPr lang="pt-BR" sz="1600" b="1" i="1">
              <a:solidFill>
                <a:schemeClr val="bg1"/>
              </a:solidFill>
            </a:endParaRPr>
          </a:p>
        </xdr:txBody>
      </xdr:sp>
      <xdr:sp macro="" textlink="#REF!">
        <xdr:nvSpPr>
          <xdr:cNvPr id="176" name="Retângulo 175">
            <a:extLst>
              <a:ext uri="{FF2B5EF4-FFF2-40B4-BE49-F238E27FC236}">
                <a16:creationId xmlns:a16="http://schemas.microsoft.com/office/drawing/2014/main" id="{8084FC34-30A1-886E-424B-C3FE51CAC095}"/>
              </a:ext>
            </a:extLst>
          </xdr:cNvPr>
          <xdr:cNvSpPr/>
        </xdr:nvSpPr>
        <xdr:spPr>
          <a:xfrm>
            <a:off x="361950" y="1285875"/>
            <a:ext cx="17100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BB7F989-2F1A-4A3A-8448-9EADEC99BB26}" type="TxLink">
              <a:rPr lang="en-US" sz="2400" b="1" i="1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R$ 59.678,46 </a:t>
            </a:fld>
            <a:endParaRPr lang="pt-BR" sz="7200" b="1" i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0</xdr:row>
      <xdr:rowOff>171449</xdr:rowOff>
    </xdr:from>
    <xdr:to>
      <xdr:col>10</xdr:col>
      <xdr:colOff>438150</xdr:colOff>
      <xdr:row>16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2EC9E7-0EA3-4C50-B28D-004E7E23C3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685800</xdr:colOff>
      <xdr:row>21</xdr:row>
      <xdr:rowOff>114300</xdr:rowOff>
    </xdr:from>
    <xdr:to>
      <xdr:col>11</xdr:col>
      <xdr:colOff>285750</xdr:colOff>
      <xdr:row>36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7C1E885-C6E7-F5A4-EB76-16AFEE6DA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3</xdr:row>
      <xdr:rowOff>19050</xdr:rowOff>
    </xdr:from>
    <xdr:to>
      <xdr:col>19</xdr:col>
      <xdr:colOff>285750</xdr:colOff>
      <xdr:row>17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BFE879-DBEC-240C-6249-FD92C7184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lberto Vieira" refreshedDate="45345.705425" createdVersion="8" refreshedVersion="8" minRefreshableVersion="3" recordCount="5" xr:uid="{4344C05C-C049-4F99-AAC4-4D52ED6184D0}">
  <cacheSource type="worksheet">
    <worksheetSource ref="A2:M7" sheet="COMPARATIVO MECANICO MÊS"/>
  </cacheSource>
  <cacheFields count="13">
    <cacheField name="MECANICO" numFmtId="0">
      <sharedItems count="5">
        <s v="LEANDRO"/>
        <s v="JUCIMAR"/>
        <s v="NATANAEL"/>
        <s v="VAGNER"/>
        <s v="VANDO"/>
      </sharedItems>
    </cacheField>
    <cacheField name="JANEIRO" numFmtId="44">
      <sharedItems containsSemiMixedTypes="0" containsString="0" containsNumber="1" minValue="10798.710000000001" maxValue="18928.219999999998"/>
    </cacheField>
    <cacheField name="FEVEREIRO" numFmtId="44">
      <sharedItems containsSemiMixedTypes="0" containsString="0" containsNumber="1" minValue="1623.56" maxValue="14099.830000000002"/>
    </cacheField>
    <cacheField name="MARÇO" numFmtId="44">
      <sharedItems containsSemiMixedTypes="0" containsString="0" containsNumber="1" containsInteger="1" minValue="0" maxValue="0"/>
    </cacheField>
    <cacheField name="ABRIL" numFmtId="44">
      <sharedItems containsSemiMixedTypes="0" containsString="0" containsNumber="1" containsInteger="1" minValue="0" maxValue="0"/>
    </cacheField>
    <cacheField name="MAIO" numFmtId="44">
      <sharedItems containsSemiMixedTypes="0" containsString="0" containsNumber="1" containsInteger="1" minValue="0" maxValue="0"/>
    </cacheField>
    <cacheField name="JUNHO" numFmtId="44">
      <sharedItems containsSemiMixedTypes="0" containsString="0" containsNumber="1" containsInteger="1" minValue="0" maxValue="0"/>
    </cacheField>
    <cacheField name="JULHO" numFmtId="44">
      <sharedItems containsSemiMixedTypes="0" containsString="0" containsNumber="1" containsInteger="1" minValue="0" maxValue="0"/>
    </cacheField>
    <cacheField name="AGOSTO" numFmtId="44">
      <sharedItems containsSemiMixedTypes="0" containsString="0" containsNumber="1" containsInteger="1" minValue="0" maxValue="0"/>
    </cacheField>
    <cacheField name="SETEMBRO" numFmtId="44">
      <sharedItems containsSemiMixedTypes="0" containsString="0" containsNumber="1" containsInteger="1" minValue="0" maxValue="0"/>
    </cacheField>
    <cacheField name="OUTUBRO" numFmtId="44">
      <sharedItems containsSemiMixedTypes="0" containsString="0" containsNumber="1" containsInteger="1" minValue="0" maxValue="0"/>
    </cacheField>
    <cacheField name="NOVEMBRO" numFmtId="44">
      <sharedItems containsSemiMixedTypes="0" containsString="0" containsNumber="1" containsInteger="1" minValue="0" maxValue="0"/>
    </cacheField>
    <cacheField name="DEZEMBRO" numFmtId="44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0798.710000000001"/>
    <n v="14099.830000000002"/>
    <n v="0"/>
    <n v="0"/>
    <n v="0"/>
    <n v="0"/>
    <n v="0"/>
    <n v="0"/>
    <n v="0"/>
    <n v="0"/>
    <n v="0"/>
    <n v="0"/>
  </r>
  <r>
    <x v="1"/>
    <n v="17687.16"/>
    <n v="1623.56"/>
    <n v="0"/>
    <n v="0"/>
    <n v="0"/>
    <n v="0"/>
    <n v="0"/>
    <n v="0"/>
    <n v="0"/>
    <n v="0"/>
    <n v="0"/>
    <n v="0"/>
  </r>
  <r>
    <x v="2"/>
    <n v="18928.219999999998"/>
    <n v="13012.640000000001"/>
    <n v="0"/>
    <n v="0"/>
    <n v="0"/>
    <n v="0"/>
    <n v="0"/>
    <n v="0"/>
    <n v="0"/>
    <n v="0"/>
    <n v="0"/>
    <n v="0"/>
  </r>
  <r>
    <x v="3"/>
    <n v="13824.16"/>
    <n v="11116.88"/>
    <n v="0"/>
    <n v="0"/>
    <n v="0"/>
    <n v="0"/>
    <n v="0"/>
    <n v="0"/>
    <n v="0"/>
    <n v="0"/>
    <n v="0"/>
    <n v="0"/>
  </r>
  <r>
    <x v="4"/>
    <n v="12848.359999999999"/>
    <n v="8622.7999999999993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9A4F3F-E591-4BAF-89FF-C275E4D1479D}" name="Tabela dinâ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10:M16" firstHeaderRow="0" firstDataRow="1" firstDataCol="1"/>
  <pivotFields count="13">
    <pivotField axis="axisRow" showAll="0">
      <items count="6">
        <item x="1"/>
        <item x="0"/>
        <item x="2"/>
        <item x="3"/>
        <item x="4"/>
        <item t="default"/>
      </items>
    </pivotField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oma de JANEIRO" fld="1" baseField="0" baseItem="0"/>
    <dataField name="Soma de FEVEREIRO" fld="2" baseField="0" baseItem="0"/>
    <dataField name="Soma de MARÇO" fld="3" baseField="0" baseItem="0"/>
    <dataField name="Soma de ABRIL" fld="4" baseField="0" baseItem="0"/>
    <dataField name="Soma de MAIO" fld="5" baseField="0" baseItem="0"/>
    <dataField name="Soma de JUNHO" fld="6" baseField="0" baseItem="0"/>
    <dataField name="Soma de JULHO" fld="7" baseField="0" baseItem="0"/>
    <dataField name="Soma de AGOSTO" fld="8" baseField="0" baseItem="0"/>
    <dataField name="Soma de SETEMBRO" fld="9" baseField="0" baseItem="0"/>
    <dataField name="Soma de OUTUBRO" fld="10" baseField="0" baseItem="0"/>
    <dataField name="Soma de NOVEMBRO" fld="11" baseField="0" baseItem="0"/>
    <dataField name="Soma de DEZEMBRO" fld="12" baseField="0" baseItem="0"/>
  </dataFields>
  <formats count="1">
    <format dxfId="31">
      <pivotArea dataOnly="0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chartFormats count="12">
    <chartFormat chart="3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2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3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31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32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" format="33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" format="34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3" format="35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EF2F6E-504F-4CCB-A3FE-69C8436747AA}" name="Tabela5" displayName="Tabela5" ref="B3:J330" totalsRowShown="0">
  <autoFilter ref="B3:J330" xr:uid="{50EF2F6E-504F-4CCB-A3FE-69C8436747AA}"/>
  <tableColumns count="9">
    <tableColumn id="1" xr3:uid="{617C3774-5431-4196-B108-34A082A7A64A}" name="carro"/>
    <tableColumn id="2" xr3:uid="{F574B86B-7942-4144-8AC9-B6B8BAF3CE69}" name="placa"/>
    <tableColumn id="10" xr3:uid="{9FEB6EDE-566E-4DCA-A42F-7E6ADD5CBA7B}" name="HORA ENTRADA"/>
    <tableColumn id="3" xr3:uid="{9A3CA4CE-409D-4AAF-9677-BA1E59414406}" name="data entrada" dataDxfId="47"/>
    <tableColumn id="9" xr3:uid="{24A826B6-377C-4A2F-9809-4FEC4045807C}" name="Coluna2">
      <calculatedColumnFormula>TEXT(DATE(YEAR(E4),MONTH(E4),DAY(E4)),"MMMM")</calculatedColumnFormula>
    </tableColumn>
    <tableColumn id="7" xr3:uid="{5AEB2303-EEC4-4CCC-A842-32FBB7F13520}" name="DATA ATUAL">
      <calculatedColumnFormula>DATE(YEAR(TODAY()), MONTH(TODAY()),DAY(TODAY()))</calculatedColumnFormula>
    </tableColumn>
    <tableColumn id="4" xr3:uid="{2829AA82-57B5-4A6F-B3A5-D73E5E988002}" name="data saida" dataDxfId="46">
      <calculatedColumnFormula>VLOOKUP(C4,Tabela4[],4,FALSE)</calculatedColumnFormula>
    </tableColumn>
    <tableColumn id="6" xr3:uid="{2C54904C-E19E-47A8-B84B-89275597593C}" name="DIAS" dataDxfId="45">
      <calculatedColumnFormula>IF(H4&lt;&gt;"",H4-E4,G4-E4)</calculatedColumnFormula>
    </tableColumn>
    <tableColumn id="8" xr3:uid="{371A0442-768D-4C13-840A-F4BE214D76E7}" name="OB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5A2A82-66D3-444D-A1AB-2ECC026C4119}" name="Tabela6" displayName="Tabela6" ref="B1:E158" totalsRowShown="0">
  <autoFilter ref="B1:E158" xr:uid="{8F5A2A82-66D3-444D-A1AB-2ECC026C4119}"/>
  <tableColumns count="4">
    <tableColumn id="1" xr3:uid="{1BD53E5C-B849-469A-9A00-43011ABB5557}" name="PLACA" dataDxfId="44"/>
    <tableColumn id="2" xr3:uid="{28176035-5C27-4AA2-B748-62C6D07AB41F}" name="ENTRADA" dataDxfId="43">
      <calculatedColumnFormula>VLOOKUP(B2,Tabela4[],2,FALSE)</calculatedColumnFormula>
    </tableColumn>
    <tableColumn id="3" xr3:uid="{BC585324-6A58-4B3F-B74A-A6AD5C12C863}" name="SAIDA" dataDxfId="42">
      <calculatedColumnFormula>VLOOKUP(B2,Tabela4[],3,FALSE)</calculatedColumnFormula>
    </tableColumn>
    <tableColumn id="4" xr3:uid="{D3E4B18E-34C7-40CA-9152-A4D6CCF3E6FF}" name="DIAS">
      <calculatedColumnFormula>D2-C2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5FB6D4-E5D3-446E-8151-D0D5669B8DAE}" name="Tabela3" displayName="Tabela3" ref="B2:F109" totalsRowShown="0">
  <autoFilter ref="B2:F109" xr:uid="{E15FB6D4-E5D3-446E-8151-D0D5669B8DA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5" xr3:uid="{B05E8D0C-95DF-40CE-8BE4-71F9DDB48E44}" name="CARRO"/>
    <tableColumn id="1" xr3:uid="{05B7D3A7-C16D-4BAE-86A5-C9BA328CC4A8}" name="placa"/>
    <tableColumn id="2" xr3:uid="{75FEF54E-D1F9-47F3-9CD3-3B599AAEB14A}" name="data entrada" dataDxfId="41">
      <calculatedColumnFormula>VLOOKUP(C3,Tabela4[],2,FALSE)</calculatedColumnFormula>
    </tableColumn>
    <tableColumn id="3" xr3:uid="{10B7ACC4-1477-475D-8FB7-C46498336D63}" name="data saida" dataDxfId="40">
      <calculatedColumnFormula>VLOOKUP(C3,Tabela4[],3,FALSE)</calculatedColumnFormula>
    </tableColumn>
    <tableColumn id="4" xr3:uid="{76FFF573-4AD2-48DB-9F2A-A1DC62E7EA5E}" name="DIAS">
      <calculatedColumnFormula>E3-D3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0A1A2C-4490-4B69-940B-3E0C2A6A4070}" name="Tabela4" displayName="Tabela4" ref="A2:AJ1031" totalsRowShown="0" headerRowDxfId="39" tableBorderDxfId="38" headerRowCellStyle="Moeda">
  <autoFilter ref="A2:AJ1031" xr:uid="{930A1A2C-4490-4B69-940B-3E0C2A6A4070}"/>
  <sortState xmlns:xlrd2="http://schemas.microsoft.com/office/spreadsheetml/2017/richdata2" ref="A352:AB506">
    <sortCondition ref="D2:D506"/>
  </sortState>
  <tableColumns count="36">
    <tableColumn id="5" xr3:uid="{A6859497-4D17-4036-9554-3681E7245EB8}" name="PLACA" dataDxfId="37"/>
    <tableColumn id="38" xr3:uid="{2A7DEAAC-2750-49F1-848F-E153983DE5D7}" name="MODELO VEICULO" dataDxfId="36"/>
    <tableColumn id="1" xr3:uid="{78FD1916-98A0-4E2C-A428-583178A44AE0}" name="DATA ORÇAMENTO" dataDxfId="28"/>
    <tableColumn id="2" xr3:uid="{0343E7D4-5DE0-4FC1-8B1E-A0AF7697EC1D}" name="DATA FATURAMENTO" dataDxfId="27"/>
    <tableColumn id="34" xr3:uid="{AB7AF9EF-B2BA-49EC-9DAC-9EF359C77A01}" name="DIAS">
      <calculatedColumnFormula>Tabela4[[#This Row],[DATA FATURAMENTO]]-Tabela4[[#This Row],[DATA ORÇAMENTO]]</calculatedColumnFormula>
    </tableColumn>
    <tableColumn id="3" xr3:uid="{E0447035-7E74-426C-A713-4C2897A44EA3}" name="NUM_OS" dataDxfId="35"/>
    <tableColumn id="4" xr3:uid="{7E1DB64D-48B7-4430-AC8E-763559F82D87}" name="CIA" dataDxfId="34"/>
    <tableColumn id="35" xr3:uid="{0C05FEDC-737C-4854-A7BA-1238AEE56ADE}" name="CONVERSÃO PNEUSTORE" dataDxfId="33"/>
    <tableColumn id="6" xr3:uid="{F315465F-629F-4F95-A196-BA702EA14A3A}" name="PECAS" dataDxfId="26" dataCellStyle="Moeda"/>
    <tableColumn id="7" xr3:uid="{3163454C-5FE7-4CF8-BDD7-ED8E9A4280E5}" name="SERVICOS" dataDxfId="25" dataCellStyle="Moeda"/>
    <tableColumn id="8" xr3:uid="{FEA8C25F-7315-40D3-B1AD-2A616741303D}" name="VALOR" dataDxfId="24" dataCellStyle="Moeda">
      <calculatedColumnFormula>Tabela4[[#This Row],[PECAS]]+Tabela4[[#This Row],[SERVICOS]]</calculatedColumnFormula>
    </tableColumn>
    <tableColumn id="9" xr3:uid="{3F5CA2B9-8B9C-4DE7-85CA-476DA1DA4882}" name="REVITALIZAÇÃO" dataDxfId="23" dataCellStyle="Moeda"/>
    <tableColumn id="10" xr3:uid="{8B579304-B442-49E5-B8E1-AF94A2CB67DB}" name="ADITIVO" dataDxfId="22" dataCellStyle="Moeda"/>
    <tableColumn id="42" xr3:uid="{BB5DBD1B-537A-4A62-90A7-2FBE90009748}" name="QNTDE" dataDxfId="21" dataCellStyle="Moeda"/>
    <tableColumn id="11" xr3:uid="{24117D67-9049-4981-97C2-C048C53A23D4}" name="FLUIDO/SANGRIA" dataDxfId="20" dataCellStyle="Moeda"/>
    <tableColumn id="12" xr3:uid="{1C122F79-F581-4D92-9D91-551A5C5EA367}" name="PALHETA" dataDxfId="19" dataCellStyle="Moeda"/>
    <tableColumn id="13" xr3:uid="{99C74373-5085-43D7-B535-722BA8394581}" name="LIMPEZA DOS FREIOS" dataDxfId="18" dataCellStyle="Moeda"/>
    <tableColumn id="14" xr3:uid="{81639950-8C4A-4B71-A83D-4F0F55BC247D}" name="DETERGENTE DE PARABRISA" dataDxfId="17" dataCellStyle="Moeda"/>
    <tableColumn id="17" xr3:uid="{75264015-E78C-4C62-8BA1-55E2E181051C}" name="FILTRO" dataDxfId="8" dataCellStyle="Moeda"/>
    <tableColumn id="16" xr3:uid="{A0D24ECA-CD26-4E9F-8024-3149FD2F53DC}" name="PNEUS" dataDxfId="16" dataCellStyle="Moeda"/>
    <tableColumn id="30" xr3:uid="{07F1B82C-18CF-40B3-B820-F586DE3CBBE3}" name="BATERIA" dataDxfId="15" dataCellStyle="Moeda"/>
    <tableColumn id="24" xr3:uid="{A01694F9-F31D-4374-995B-AC29B20A1119}" name="MODELO" dataDxfId="32"/>
    <tableColumn id="25" xr3:uid="{2323B65B-8D83-45ED-AC86-80C84B595AC9}" name="QUANTIDADE/OLEO" dataDxfId="14" dataCellStyle="Moeda"/>
    <tableColumn id="46" xr3:uid="{4A59BEA1-5153-4673-83AF-5F0D1783607B}" name="VALOR OLEO" dataDxfId="13" dataCellStyle="Moeda"/>
    <tableColumn id="26" xr3:uid="{2816060E-CC85-4163-9460-1CAEC2908055}" name="TIPO/MARCA" dataDxfId="12"/>
    <tableColumn id="28" xr3:uid="{8ED2D99C-5848-40C7-B49A-98033E78725E}" name="FABIANO" dataDxfId="11" dataCellStyle="Moeda"/>
    <tableColumn id="29" xr3:uid="{CFEFC4E9-47BA-4445-B58F-22E1ADAC9D65}" name="VALOR TOTAL(S/BATERIA, S/PNEU)" dataDxfId="9" dataCellStyle="Moeda"/>
    <tableColumn id="33" xr3:uid="{8D65BD1B-20F2-410A-804B-93D22223B503}" name="MECANICO" dataDxfId="10" dataCellStyle="Moeda"/>
    <tableColumn id="36" xr3:uid="{61DD15FE-F200-4000-A9D5-A8D73EDA8541}" name="VALOR EM DINHEIRO" dataDxfId="7" dataCellStyle="Moeda"/>
    <tableColumn id="43" xr3:uid="{184E0433-45C7-4ED0-BEFF-E1A0639ED6EF}" name="FREIOS" dataDxfId="6" dataCellStyle="Moeda"/>
    <tableColumn id="44" xr3:uid="{0A302640-8DAA-48A5-B545-CFC0B3D9489A}" name="SUSPENSÃO" dataDxfId="5" dataCellStyle="Moeda"/>
    <tableColumn id="45" xr3:uid="{491FA120-02DB-4790-94FC-DB7AAD585A9F}" name="INJEÇÃO/IGNIÇÃO" dataDxfId="4" dataCellStyle="Moeda"/>
    <tableColumn id="27" xr3:uid="{D69B020D-04EB-4A19-93EA-82067DF68D6A}" name="CA. MO. ARR. " dataDxfId="3" dataCellStyle="Moeda"/>
    <tableColumn id="47" xr3:uid="{A20A5DCA-0403-407B-8561-3E74D107E090}" name="OUTROS2" dataDxfId="2" dataCellStyle="Moeda"/>
    <tableColumn id="48" xr3:uid="{E020A069-C5A6-478D-AC8E-EE3A796ED92B}" name="OLEOS G" dataDxfId="1" dataCellStyle="Moeda"/>
    <tableColumn id="49" xr3:uid="{2E24E946-7A34-4EE7-A259-8E2255404AD5}" name="TRASMISSÃO" dataDxfId="0" dataCellStyle="Moed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B17E7-BF75-4148-A170-FBD19E356044}" name="Tabela1" displayName="Tabela1" ref="A2:M50" totalsRowShown="0" headerRowDxfId="30">
  <autoFilter ref="A2:M50" xr:uid="{036B17E7-BF75-4148-A170-FBD19E3560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E913F6A2-67C5-486D-B699-B5EEBFE23FD2}" name="DESCRIÇÃO" dataDxfId="29"/>
    <tableColumn id="2" xr3:uid="{4B0ECE82-1B97-4D9C-9E81-43E87F5382F2}" name="JANEIRO"/>
    <tableColumn id="3" xr3:uid="{C0122600-6224-4F09-AF1E-EE63E34794B6}" name="FEVEREIRO"/>
    <tableColumn id="4" xr3:uid="{AAD3463B-A1F7-490D-BE22-0C55948BF078}" name="MARÇO"/>
    <tableColumn id="5" xr3:uid="{B98D5640-636B-4970-91AF-AE50851E89F6}" name="ABRIL"/>
    <tableColumn id="6" xr3:uid="{735884E0-5A28-4390-B6D8-D8159161117D}" name="MAIO"/>
    <tableColumn id="7" xr3:uid="{7306DB2F-9BDC-43AB-8A77-379EF7223F1C}" name="JUNHO"/>
    <tableColumn id="8" xr3:uid="{59C15A25-7309-4B68-8FEA-A94FE1561AA2}" name="JULHO"/>
    <tableColumn id="9" xr3:uid="{58711340-C84C-49DF-A971-BD0644B7FF77}" name="AGOSTO"/>
    <tableColumn id="10" xr3:uid="{A5B32CFE-1742-433B-8E3E-116D8593E7FF}" name="SETEMBRO"/>
    <tableColumn id="11" xr3:uid="{4D6B64CC-6EC3-48C0-90B7-432A78199D14}" name="OUTUBRO"/>
    <tableColumn id="12" xr3:uid="{5387F95E-7AE3-4BA7-8235-DF8D73CFDD93}" name="NOVEMBRO"/>
    <tableColumn id="13" xr3:uid="{A293C602-D02A-4697-A22D-0464C3D22A53}" name="DEZEMBR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ftp://ftp0966/" TargetMode="External"/><Relationship Id="rId1" Type="http://schemas.openxmlformats.org/officeDocument/2006/relationships/hyperlink" Target="ftp://ftp8a9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8335-063D-4C8E-9F22-A4155510FF94}">
  <dimension ref="A3:H17"/>
  <sheetViews>
    <sheetView showGridLines="0" workbookViewId="0">
      <selection activeCell="A5" sqref="A5"/>
    </sheetView>
  </sheetViews>
  <sheetFormatPr defaultRowHeight="15" x14ac:dyDescent="0.25"/>
  <cols>
    <col min="1" max="1" width="10.28515625" style="33" bestFit="1" customWidth="1"/>
    <col min="2" max="2" width="9.140625" style="33"/>
    <col min="3" max="3" width="14.85546875" style="43" bestFit="1" customWidth="1"/>
    <col min="4" max="4" width="9.28515625" style="33" hidden="1" customWidth="1"/>
    <col min="5" max="5" width="34" style="43" hidden="1" customWidth="1"/>
    <col min="6" max="6" width="11.7109375" style="33" bestFit="1" customWidth="1"/>
    <col min="7" max="7" width="10.28515625" style="33" bestFit="1" customWidth="1"/>
    <col min="8" max="8" width="16.28515625" style="33" bestFit="1" customWidth="1"/>
    <col min="9" max="16384" width="9.140625" style="33"/>
  </cols>
  <sheetData>
    <row r="3" spans="1:8" x14ac:dyDescent="0.25">
      <c r="A3" s="17" t="s">
        <v>46</v>
      </c>
      <c r="B3" s="17" t="s">
        <v>47</v>
      </c>
      <c r="C3" s="42" t="s">
        <v>48</v>
      </c>
      <c r="D3" s="17" t="s">
        <v>0</v>
      </c>
      <c r="E3" s="42" t="s">
        <v>49</v>
      </c>
      <c r="F3" s="17" t="s">
        <v>50</v>
      </c>
      <c r="G3" s="17" t="s">
        <v>51</v>
      </c>
      <c r="H3" s="17" t="s">
        <v>52</v>
      </c>
    </row>
    <row r="4" spans="1:8" x14ac:dyDescent="0.25">
      <c r="A4" s="15" t="e" cm="1">
        <f t="array" ref="A4">_xlfn._xlws.FILTER(Tabela5[],#REF! = "ELEVADOR",)</f>
        <v>#REF!</v>
      </c>
      <c r="B4" s="17"/>
      <c r="C4" s="42"/>
      <c r="D4" s="17"/>
      <c r="E4" s="42"/>
      <c r="F4" s="17"/>
      <c r="G4" s="17"/>
      <c r="H4" s="17"/>
    </row>
    <row r="5" spans="1:8" x14ac:dyDescent="0.25">
      <c r="A5" s="17"/>
      <c r="B5" s="17"/>
      <c r="C5" s="42"/>
      <c r="D5" s="17"/>
      <c r="E5" s="42"/>
      <c r="F5" s="17"/>
      <c r="G5" s="17"/>
      <c r="H5" s="17"/>
    </row>
    <row r="6" spans="1:8" ht="11.25" customHeight="1" x14ac:dyDescent="0.25">
      <c r="A6" s="17"/>
      <c r="B6" s="17"/>
      <c r="C6" s="42"/>
      <c r="D6" s="17"/>
      <c r="E6" s="42"/>
      <c r="F6" s="17"/>
      <c r="G6" s="17"/>
      <c r="H6" s="17"/>
    </row>
    <row r="7" spans="1:8" x14ac:dyDescent="0.25">
      <c r="A7" s="17"/>
      <c r="B7" s="17"/>
      <c r="C7" s="42"/>
      <c r="D7" s="17"/>
      <c r="E7" s="42"/>
      <c r="F7" s="17"/>
      <c r="G7" s="17"/>
      <c r="H7" s="17"/>
    </row>
    <row r="8" spans="1:8" x14ac:dyDescent="0.25">
      <c r="A8" s="17"/>
      <c r="B8" s="17"/>
      <c r="C8" s="42"/>
      <c r="D8" s="17"/>
      <c r="E8" s="42"/>
      <c r="F8" s="17"/>
      <c r="G8" s="17"/>
      <c r="H8" s="17"/>
    </row>
    <row r="9" spans="1:8" x14ac:dyDescent="0.25">
      <c r="A9" s="17"/>
      <c r="B9" s="17"/>
      <c r="C9" s="42"/>
      <c r="D9" s="17"/>
      <c r="E9" s="42"/>
      <c r="F9" s="17"/>
      <c r="G9" s="17"/>
      <c r="H9" s="17"/>
    </row>
    <row r="10" spans="1:8" x14ac:dyDescent="0.25">
      <c r="A10" s="17"/>
      <c r="B10" s="17"/>
      <c r="C10" s="42"/>
      <c r="D10" s="17"/>
      <c r="E10" s="42"/>
      <c r="F10" s="17"/>
      <c r="G10" s="17"/>
      <c r="H10" s="17"/>
    </row>
    <row r="11" spans="1:8" x14ac:dyDescent="0.25">
      <c r="A11" s="17"/>
      <c r="B11" s="17"/>
      <c r="C11" s="42"/>
      <c r="D11" s="17"/>
      <c r="E11" s="42"/>
      <c r="F11" s="17"/>
      <c r="G11" s="17"/>
      <c r="H11" s="17"/>
    </row>
    <row r="12" spans="1:8" x14ac:dyDescent="0.25">
      <c r="A12" s="17"/>
      <c r="B12" s="17"/>
      <c r="C12" s="42"/>
      <c r="D12" s="17"/>
      <c r="E12" s="42"/>
      <c r="F12" s="17"/>
      <c r="G12" s="17"/>
      <c r="H12" s="17"/>
    </row>
    <row r="13" spans="1:8" x14ac:dyDescent="0.25">
      <c r="A13" s="17"/>
      <c r="B13" s="17"/>
      <c r="C13" s="42"/>
      <c r="D13" s="17"/>
      <c r="E13" s="42"/>
      <c r="F13" s="17"/>
      <c r="G13" s="17"/>
      <c r="H13" s="17"/>
    </row>
    <row r="14" spans="1:8" x14ac:dyDescent="0.25">
      <c r="A14" s="17"/>
      <c r="B14" s="17"/>
      <c r="C14" s="42"/>
      <c r="D14" s="17"/>
      <c r="E14" s="42"/>
      <c r="F14" s="17"/>
      <c r="G14" s="17"/>
      <c r="H14" s="17"/>
    </row>
    <row r="15" spans="1:8" x14ac:dyDescent="0.25">
      <c r="A15" s="17"/>
      <c r="B15" s="17"/>
      <c r="C15" s="42"/>
      <c r="D15" s="17"/>
      <c r="E15" s="42"/>
      <c r="F15" s="17"/>
      <c r="G15" s="17"/>
      <c r="H15" s="17"/>
    </row>
    <row r="16" spans="1:8" x14ac:dyDescent="0.25">
      <c r="A16" s="17"/>
      <c r="B16" s="17"/>
      <c r="C16" s="42"/>
      <c r="D16" s="17"/>
      <c r="E16" s="42"/>
      <c r="F16" s="17"/>
      <c r="G16" s="17"/>
      <c r="H16" s="17"/>
    </row>
    <row r="17" spans="1:8" x14ac:dyDescent="0.25">
      <c r="A17" s="17"/>
      <c r="B17" s="17"/>
      <c r="C17" s="42"/>
      <c r="D17" s="17"/>
      <c r="E17" s="42"/>
      <c r="F17" s="17"/>
      <c r="G17" s="17"/>
      <c r="H17" s="1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795A-1C7C-4333-91CE-8175BE18ADD1}">
  <dimension ref="B3:P330"/>
  <sheetViews>
    <sheetView topLeftCell="A320" workbookViewId="0">
      <selection activeCell="B342" sqref="B342"/>
    </sheetView>
  </sheetViews>
  <sheetFormatPr defaultRowHeight="15" x14ac:dyDescent="0.25"/>
  <cols>
    <col min="2" max="2" width="9.140625" customWidth="1"/>
    <col min="4" max="4" width="17.42578125" hidden="1" customWidth="1"/>
    <col min="5" max="5" width="34.28515625" bestFit="1" customWidth="1"/>
    <col min="6" max="7" width="14.28515625" hidden="1" customWidth="1"/>
    <col min="8" max="8" width="35.7109375" bestFit="1" customWidth="1"/>
    <col min="9" max="10" width="10.85546875" bestFit="1" customWidth="1"/>
    <col min="11" max="11" width="10.7109375" bestFit="1" customWidth="1"/>
  </cols>
  <sheetData>
    <row r="3" spans="2:12" x14ac:dyDescent="0.25"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49</v>
      </c>
      <c r="H3" t="s">
        <v>58</v>
      </c>
      <c r="I3" t="s">
        <v>59</v>
      </c>
      <c r="J3" t="s">
        <v>60</v>
      </c>
    </row>
    <row r="4" spans="2:12" x14ac:dyDescent="0.25">
      <c r="B4" t="s">
        <v>61</v>
      </c>
      <c r="C4" t="s">
        <v>62</v>
      </c>
      <c r="E4" s="44">
        <v>45351</v>
      </c>
      <c r="F4" t="str">
        <f t="shared" ref="F4:F21" si="0">TEXT(DATE(YEAR(E4),MONTH(E4),DAY(E4)),"MMMM")</f>
        <v>fevereiro</v>
      </c>
      <c r="G4" s="41">
        <f t="shared" ref="G4:G21" ca="1" si="1">DATE(YEAR(TODAY()), MONTH(TODAY()),DAY(TODAY()))</f>
        <v>45484</v>
      </c>
      <c r="H4" s="44">
        <f>VLOOKUP(C4,Tabela4[],4,FALSE)</f>
        <v>45367</v>
      </c>
      <c r="I4">
        <f t="shared" ref="I4:I21" si="2">IF(H4&lt;&gt;"",H4-E4,G4-E4)</f>
        <v>16</v>
      </c>
    </row>
    <row r="5" spans="2:12" x14ac:dyDescent="0.25">
      <c r="B5" t="s">
        <v>63</v>
      </c>
      <c r="C5" t="s">
        <v>64</v>
      </c>
      <c r="E5" s="44">
        <v>45351</v>
      </c>
      <c r="F5" t="str">
        <f t="shared" si="0"/>
        <v>fevereiro</v>
      </c>
      <c r="G5" s="41">
        <f t="shared" ca="1" si="1"/>
        <v>45484</v>
      </c>
      <c r="H5" s="44">
        <f>VLOOKUP(C5,Tabela4[],4,FALSE)</f>
        <v>45352</v>
      </c>
      <c r="I5">
        <f t="shared" si="2"/>
        <v>1</v>
      </c>
    </row>
    <row r="6" spans="2:12" x14ac:dyDescent="0.25">
      <c r="B6" t="s">
        <v>65</v>
      </c>
      <c r="C6" t="s">
        <v>66</v>
      </c>
      <c r="E6" s="44">
        <v>45351</v>
      </c>
      <c r="F6" t="str">
        <f t="shared" si="0"/>
        <v>fevereiro</v>
      </c>
      <c r="G6" s="41">
        <f t="shared" ca="1" si="1"/>
        <v>45484</v>
      </c>
      <c r="H6" s="44">
        <f>VLOOKUP(C6,Tabela4[],4,FALSE)</f>
        <v>45351</v>
      </c>
      <c r="I6">
        <f t="shared" si="2"/>
        <v>0</v>
      </c>
    </row>
    <row r="7" spans="2:12" x14ac:dyDescent="0.25">
      <c r="B7" t="s">
        <v>67</v>
      </c>
      <c r="C7" t="s">
        <v>68</v>
      </c>
      <c r="E7" s="44">
        <v>45351</v>
      </c>
      <c r="F7" t="str">
        <f t="shared" si="0"/>
        <v>fevereiro</v>
      </c>
      <c r="G7" s="41">
        <f t="shared" ca="1" si="1"/>
        <v>45484</v>
      </c>
      <c r="H7" s="44">
        <f>VLOOKUP(C7,Tabela4[],4,FALSE)</f>
        <v>45351</v>
      </c>
      <c r="I7">
        <f t="shared" si="2"/>
        <v>0</v>
      </c>
    </row>
    <row r="8" spans="2:12" x14ac:dyDescent="0.25">
      <c r="B8" t="s">
        <v>69</v>
      </c>
      <c r="C8" t="s">
        <v>70</v>
      </c>
      <c r="E8" s="44">
        <v>45351</v>
      </c>
      <c r="F8" t="str">
        <f t="shared" si="0"/>
        <v>fevereiro</v>
      </c>
      <c r="G8" s="41">
        <f t="shared" ca="1" si="1"/>
        <v>45484</v>
      </c>
      <c r="H8" s="44">
        <f>VLOOKUP(C8,Tabela4[],4,FALSE)</f>
        <v>45355</v>
      </c>
      <c r="I8">
        <f t="shared" si="2"/>
        <v>4</v>
      </c>
    </row>
    <row r="9" spans="2:12" x14ac:dyDescent="0.25">
      <c r="B9" t="s">
        <v>71</v>
      </c>
      <c r="C9" t="s">
        <v>72</v>
      </c>
      <c r="E9" s="44">
        <v>45351</v>
      </c>
      <c r="F9" t="str">
        <f t="shared" si="0"/>
        <v>fevereiro</v>
      </c>
      <c r="G9">
        <f t="shared" ca="1" si="1"/>
        <v>45484</v>
      </c>
      <c r="H9" s="44">
        <v>45369</v>
      </c>
      <c r="I9">
        <f t="shared" si="2"/>
        <v>18</v>
      </c>
    </row>
    <row r="10" spans="2:12" x14ac:dyDescent="0.25">
      <c r="B10" t="s">
        <v>61</v>
      </c>
      <c r="C10" t="s">
        <v>73</v>
      </c>
      <c r="E10" s="44">
        <v>45338</v>
      </c>
      <c r="F10" t="str">
        <f t="shared" si="0"/>
        <v>fevereiro</v>
      </c>
      <c r="G10">
        <f t="shared" ca="1" si="1"/>
        <v>45484</v>
      </c>
      <c r="H10" s="44">
        <f>VLOOKUP(C10,Tabela4[],4,FALSE)</f>
        <v>45355</v>
      </c>
      <c r="I10">
        <f t="shared" si="2"/>
        <v>17</v>
      </c>
    </row>
    <row r="11" spans="2:12" x14ac:dyDescent="0.25">
      <c r="B11" t="s">
        <v>63</v>
      </c>
      <c r="C11" t="s">
        <v>74</v>
      </c>
      <c r="E11" s="44">
        <v>45351</v>
      </c>
      <c r="F11" t="str">
        <f t="shared" si="0"/>
        <v>fevereiro</v>
      </c>
      <c r="G11">
        <f t="shared" ca="1" si="1"/>
        <v>45484</v>
      </c>
      <c r="H11" s="44">
        <v>45352</v>
      </c>
      <c r="I11">
        <f t="shared" si="2"/>
        <v>1</v>
      </c>
    </row>
    <row r="12" spans="2:12" x14ac:dyDescent="0.25">
      <c r="B12" t="s">
        <v>75</v>
      </c>
      <c r="C12" t="s">
        <v>76</v>
      </c>
      <c r="E12" s="44">
        <v>45352</v>
      </c>
      <c r="F12" t="str">
        <f t="shared" si="0"/>
        <v>março</v>
      </c>
      <c r="G12">
        <f t="shared" ca="1" si="1"/>
        <v>45484</v>
      </c>
      <c r="H12" s="44">
        <f>VLOOKUP(C12,Tabela4[],4,FALSE)</f>
        <v>45362</v>
      </c>
      <c r="I12">
        <f t="shared" si="2"/>
        <v>10</v>
      </c>
    </row>
    <row r="13" spans="2:12" x14ac:dyDescent="0.25">
      <c r="B13" t="s">
        <v>77</v>
      </c>
      <c r="C13" t="s">
        <v>78</v>
      </c>
      <c r="E13" s="44">
        <v>45352</v>
      </c>
      <c r="F13" t="str">
        <f t="shared" si="0"/>
        <v>março</v>
      </c>
      <c r="G13">
        <f t="shared" ca="1" si="1"/>
        <v>45484</v>
      </c>
      <c r="H13" s="44">
        <f>VLOOKUP(C13,Tabela4[],4,FALSE)</f>
        <v>45352</v>
      </c>
      <c r="I13">
        <f t="shared" si="2"/>
        <v>0</v>
      </c>
      <c r="L13" s="40"/>
    </row>
    <row r="14" spans="2:12" x14ac:dyDescent="0.25">
      <c r="B14" t="s">
        <v>67</v>
      </c>
      <c r="C14" t="s">
        <v>79</v>
      </c>
      <c r="E14" s="44">
        <v>45351</v>
      </c>
      <c r="F14" t="str">
        <f t="shared" si="0"/>
        <v>fevereiro</v>
      </c>
      <c r="G14">
        <f t="shared" ca="1" si="1"/>
        <v>45484</v>
      </c>
      <c r="H14" s="44">
        <f>VLOOKUP(C14,Tabela4[],4,FALSE)</f>
        <v>45352</v>
      </c>
      <c r="I14">
        <f t="shared" si="2"/>
        <v>1</v>
      </c>
    </row>
    <row r="15" spans="2:12" x14ac:dyDescent="0.25">
      <c r="B15" t="s">
        <v>80</v>
      </c>
      <c r="C15" t="s">
        <v>81</v>
      </c>
      <c r="E15" s="44">
        <v>45350</v>
      </c>
      <c r="F15" t="str">
        <f t="shared" si="0"/>
        <v>fevereiro</v>
      </c>
      <c r="G15">
        <f t="shared" ca="1" si="1"/>
        <v>45484</v>
      </c>
      <c r="H15" s="44">
        <f>VLOOKUP(C15,Tabela4[],4,FALSE)</f>
        <v>45352</v>
      </c>
      <c r="I15">
        <f t="shared" si="2"/>
        <v>2</v>
      </c>
    </row>
    <row r="16" spans="2:12" x14ac:dyDescent="0.25">
      <c r="B16" t="s">
        <v>82</v>
      </c>
      <c r="C16" t="s">
        <v>83</v>
      </c>
      <c r="E16" s="44">
        <v>45351</v>
      </c>
      <c r="F16" t="str">
        <f t="shared" si="0"/>
        <v>fevereiro</v>
      </c>
      <c r="G16">
        <f t="shared" ca="1" si="1"/>
        <v>45484</v>
      </c>
      <c r="H16" s="44">
        <f>VLOOKUP(C16,Tabela4[],4,FALSE)</f>
        <v>45357</v>
      </c>
      <c r="I16">
        <f t="shared" si="2"/>
        <v>6</v>
      </c>
    </row>
    <row r="17" spans="2:10" x14ac:dyDescent="0.25">
      <c r="B17" t="s">
        <v>84</v>
      </c>
      <c r="C17" t="s">
        <v>85</v>
      </c>
      <c r="E17" s="44">
        <v>45353</v>
      </c>
      <c r="F17" t="str">
        <f t="shared" si="0"/>
        <v>março</v>
      </c>
      <c r="G17">
        <f t="shared" ca="1" si="1"/>
        <v>45484</v>
      </c>
      <c r="H17" s="44">
        <f>VLOOKUP(C17,Tabela4[],4,FALSE)</f>
        <v>45353</v>
      </c>
      <c r="I17">
        <f t="shared" si="2"/>
        <v>0</v>
      </c>
    </row>
    <row r="18" spans="2:10" x14ac:dyDescent="0.25">
      <c r="B18" t="s">
        <v>86</v>
      </c>
      <c r="C18" t="s">
        <v>87</v>
      </c>
      <c r="E18" s="44">
        <v>45353</v>
      </c>
      <c r="F18" t="str">
        <f t="shared" si="0"/>
        <v>março</v>
      </c>
      <c r="G18">
        <f t="shared" ca="1" si="1"/>
        <v>45484</v>
      </c>
      <c r="H18" s="44">
        <f>VLOOKUP(C18,Tabela4[],4,FALSE)</f>
        <v>45353</v>
      </c>
      <c r="I18">
        <f t="shared" si="2"/>
        <v>0</v>
      </c>
    </row>
    <row r="19" spans="2:10" x14ac:dyDescent="0.25">
      <c r="B19" t="s">
        <v>88</v>
      </c>
      <c r="C19" t="s">
        <v>89</v>
      </c>
      <c r="E19" s="44">
        <v>45355</v>
      </c>
      <c r="F19" t="str">
        <f t="shared" si="0"/>
        <v>março</v>
      </c>
      <c r="G19">
        <f t="shared" ca="1" si="1"/>
        <v>45484</v>
      </c>
      <c r="H19" s="44">
        <v>45355</v>
      </c>
      <c r="I19">
        <f t="shared" si="2"/>
        <v>0</v>
      </c>
      <c r="J19" t="s">
        <v>90</v>
      </c>
    </row>
    <row r="20" spans="2:10" x14ac:dyDescent="0.25">
      <c r="B20" t="s">
        <v>91</v>
      </c>
      <c r="C20" t="s">
        <v>92</v>
      </c>
      <c r="D20" s="45"/>
      <c r="E20" s="44">
        <v>45355</v>
      </c>
      <c r="F20" t="str">
        <f t="shared" si="0"/>
        <v>março</v>
      </c>
      <c r="G20">
        <f t="shared" ca="1" si="1"/>
        <v>45484</v>
      </c>
      <c r="H20" s="44">
        <v>45355</v>
      </c>
      <c r="I20">
        <f t="shared" si="2"/>
        <v>0</v>
      </c>
    </row>
    <row r="21" spans="2:10" x14ac:dyDescent="0.25">
      <c r="B21" t="s">
        <v>93</v>
      </c>
      <c r="C21" t="s">
        <v>94</v>
      </c>
      <c r="D21" s="45"/>
      <c r="E21" s="44">
        <v>45355</v>
      </c>
      <c r="F21" t="str">
        <f t="shared" si="0"/>
        <v>março</v>
      </c>
      <c r="G21">
        <f t="shared" ca="1" si="1"/>
        <v>45484</v>
      </c>
      <c r="H21" s="44">
        <f>VLOOKUP(C21,Tabela4[],4,FALSE)</f>
        <v>45357</v>
      </c>
      <c r="I21">
        <f t="shared" si="2"/>
        <v>2</v>
      </c>
    </row>
    <row r="22" spans="2:10" x14ac:dyDescent="0.25">
      <c r="B22" t="s">
        <v>95</v>
      </c>
      <c r="C22" t="s">
        <v>96</v>
      </c>
      <c r="E22" s="44">
        <v>45352</v>
      </c>
      <c r="F22" t="str">
        <f t="shared" ref="F22:F32" si="3">TEXT(DATE(YEAR(E22),MONTH(E22),DAY(E22)),"MMMM")</f>
        <v>março</v>
      </c>
      <c r="G22">
        <f t="shared" ref="G22:G32" ca="1" si="4">DATE(YEAR(TODAY()), MONTH(TODAY()),DAY(TODAY()))</f>
        <v>45484</v>
      </c>
      <c r="H22" s="44">
        <v>45352</v>
      </c>
      <c r="I22">
        <f t="shared" ref="I22:I32" si="5">IF(H22&lt;&gt;"",H22-E22,G22-E22)</f>
        <v>0</v>
      </c>
    </row>
    <row r="23" spans="2:10" x14ac:dyDescent="0.25">
      <c r="B23" t="s">
        <v>88</v>
      </c>
      <c r="C23" t="s">
        <v>97</v>
      </c>
      <c r="E23" s="44">
        <v>45353</v>
      </c>
      <c r="F23" t="str">
        <f t="shared" si="3"/>
        <v>março</v>
      </c>
      <c r="G23">
        <f t="shared" ca="1" si="4"/>
        <v>45484</v>
      </c>
      <c r="H23" s="44">
        <v>45353</v>
      </c>
      <c r="I23">
        <f t="shared" si="5"/>
        <v>0</v>
      </c>
    </row>
    <row r="24" spans="2:10" x14ac:dyDescent="0.25">
      <c r="B24" t="s">
        <v>98</v>
      </c>
      <c r="C24" t="s">
        <v>99</v>
      </c>
      <c r="E24" s="44">
        <v>45353</v>
      </c>
      <c r="F24" t="str">
        <f t="shared" si="3"/>
        <v>março</v>
      </c>
      <c r="G24">
        <f t="shared" ca="1" si="4"/>
        <v>45484</v>
      </c>
      <c r="H24" s="44">
        <f>VLOOKUP(C24,Tabela4[],4,FALSE)</f>
        <v>45373</v>
      </c>
      <c r="I24">
        <f t="shared" si="5"/>
        <v>20</v>
      </c>
    </row>
    <row r="25" spans="2:10" x14ac:dyDescent="0.25">
      <c r="B25" t="s">
        <v>100</v>
      </c>
      <c r="C25" t="s">
        <v>101</v>
      </c>
      <c r="E25" s="44">
        <v>45353</v>
      </c>
      <c r="F25" t="str">
        <f t="shared" si="3"/>
        <v>março</v>
      </c>
      <c r="G25">
        <f t="shared" ca="1" si="4"/>
        <v>45484</v>
      </c>
      <c r="H25" s="44">
        <v>45353</v>
      </c>
      <c r="I25">
        <f t="shared" si="5"/>
        <v>0</v>
      </c>
    </row>
    <row r="26" spans="2:10" x14ac:dyDescent="0.25">
      <c r="B26" t="s">
        <v>102</v>
      </c>
      <c r="C26" t="s">
        <v>103</v>
      </c>
      <c r="E26" s="44">
        <v>45353</v>
      </c>
      <c r="F26" t="str">
        <f t="shared" si="3"/>
        <v>março</v>
      </c>
      <c r="G26">
        <f t="shared" ca="1" si="4"/>
        <v>45484</v>
      </c>
      <c r="H26" s="44">
        <v>45353</v>
      </c>
      <c r="I26">
        <f t="shared" si="5"/>
        <v>0</v>
      </c>
    </row>
    <row r="27" spans="2:10" x14ac:dyDescent="0.25">
      <c r="B27" t="s">
        <v>95</v>
      </c>
      <c r="C27" t="s">
        <v>104</v>
      </c>
      <c r="E27" s="44">
        <v>45355</v>
      </c>
      <c r="F27" t="str">
        <f t="shared" si="3"/>
        <v>março</v>
      </c>
      <c r="G27">
        <f t="shared" ca="1" si="4"/>
        <v>45484</v>
      </c>
      <c r="H27" s="44">
        <v>45355</v>
      </c>
      <c r="I27">
        <f t="shared" si="5"/>
        <v>0</v>
      </c>
    </row>
    <row r="28" spans="2:10" x14ac:dyDescent="0.25">
      <c r="B28" t="s">
        <v>105</v>
      </c>
      <c r="C28" t="s">
        <v>106</v>
      </c>
      <c r="E28" s="44">
        <v>45355</v>
      </c>
      <c r="F28" t="str">
        <f t="shared" si="3"/>
        <v>março</v>
      </c>
      <c r="G28">
        <f t="shared" ca="1" si="4"/>
        <v>45484</v>
      </c>
      <c r="H28" s="44">
        <v>45355</v>
      </c>
      <c r="I28">
        <f t="shared" si="5"/>
        <v>0</v>
      </c>
    </row>
    <row r="29" spans="2:10" x14ac:dyDescent="0.25">
      <c r="B29" t="s">
        <v>107</v>
      </c>
      <c r="C29" t="s">
        <v>108</v>
      </c>
      <c r="E29" s="44">
        <v>45355</v>
      </c>
      <c r="F29" t="str">
        <f t="shared" si="3"/>
        <v>março</v>
      </c>
      <c r="G29">
        <f t="shared" ca="1" si="4"/>
        <v>45484</v>
      </c>
      <c r="H29" s="44">
        <v>45355</v>
      </c>
      <c r="I29">
        <f t="shared" si="5"/>
        <v>0</v>
      </c>
    </row>
    <row r="30" spans="2:10" x14ac:dyDescent="0.25">
      <c r="B30">
        <v>308</v>
      </c>
      <c r="C30" t="s">
        <v>109</v>
      </c>
      <c r="E30" s="44">
        <v>45355</v>
      </c>
      <c r="F30" t="str">
        <f t="shared" si="3"/>
        <v>março</v>
      </c>
      <c r="G30">
        <f t="shared" ca="1" si="4"/>
        <v>45484</v>
      </c>
      <c r="H30" s="44">
        <v>45355</v>
      </c>
      <c r="I30">
        <f t="shared" si="5"/>
        <v>0</v>
      </c>
    </row>
    <row r="31" spans="2:10" x14ac:dyDescent="0.25">
      <c r="B31" t="s">
        <v>110</v>
      </c>
      <c r="C31" t="s">
        <v>111</v>
      </c>
      <c r="E31" s="44">
        <v>45356</v>
      </c>
      <c r="F31" t="str">
        <f t="shared" si="3"/>
        <v>março</v>
      </c>
      <c r="G31">
        <f t="shared" ca="1" si="4"/>
        <v>45484</v>
      </c>
      <c r="H31" s="44">
        <f>VLOOKUP(C31,Tabela4[],4,FALSE)</f>
        <v>45366</v>
      </c>
      <c r="I31">
        <f t="shared" si="5"/>
        <v>10</v>
      </c>
    </row>
    <row r="32" spans="2:10" x14ac:dyDescent="0.25">
      <c r="B32">
        <v>208</v>
      </c>
      <c r="C32" t="s">
        <v>112</v>
      </c>
      <c r="E32" s="44">
        <v>45356</v>
      </c>
      <c r="F32" t="str">
        <f t="shared" si="3"/>
        <v>março</v>
      </c>
      <c r="G32">
        <f t="shared" ca="1" si="4"/>
        <v>45484</v>
      </c>
      <c r="H32" s="44">
        <v>45356</v>
      </c>
      <c r="I32">
        <f t="shared" si="5"/>
        <v>0</v>
      </c>
    </row>
    <row r="33" spans="2:9" x14ac:dyDescent="0.25">
      <c r="B33" t="s">
        <v>113</v>
      </c>
      <c r="C33" t="s">
        <v>114</v>
      </c>
      <c r="E33" s="44">
        <v>45356</v>
      </c>
      <c r="F33" t="str">
        <f t="shared" ref="F33:F62" si="6">TEXT(DATE(YEAR(E33),MONTH(E33),DAY(E33)),"MMMM")</f>
        <v>março</v>
      </c>
      <c r="G33">
        <f t="shared" ref="G33:G62" ca="1" si="7">DATE(YEAR(TODAY()), MONTH(TODAY()),DAY(TODAY()))</f>
        <v>45484</v>
      </c>
      <c r="H33" s="44">
        <f>VLOOKUP(C33,Tabela4[],4,FALSE)</f>
        <v>45356</v>
      </c>
      <c r="I33">
        <f t="shared" ref="I33:I62" si="8">IF(H33&lt;&gt;"",H33-E33,G33-E33)</f>
        <v>0</v>
      </c>
    </row>
    <row r="34" spans="2:9" x14ac:dyDescent="0.25">
      <c r="B34" t="s">
        <v>115</v>
      </c>
      <c r="C34" t="s">
        <v>116</v>
      </c>
      <c r="E34" s="44">
        <v>45356</v>
      </c>
      <c r="F34" t="str">
        <f t="shared" si="6"/>
        <v>março</v>
      </c>
      <c r="G34">
        <f t="shared" ca="1" si="7"/>
        <v>45484</v>
      </c>
      <c r="H34" s="44">
        <v>45356</v>
      </c>
      <c r="I34">
        <f t="shared" si="8"/>
        <v>0</v>
      </c>
    </row>
    <row r="35" spans="2:9" x14ac:dyDescent="0.25">
      <c r="B35" t="s">
        <v>117</v>
      </c>
      <c r="C35" t="s">
        <v>118</v>
      </c>
      <c r="E35" s="44">
        <v>45356</v>
      </c>
      <c r="F35" t="str">
        <f t="shared" si="6"/>
        <v>março</v>
      </c>
      <c r="G35">
        <f t="shared" ca="1" si="7"/>
        <v>45484</v>
      </c>
      <c r="H35" s="44">
        <f>VLOOKUP(C35,Tabela4[],4,FALSE)</f>
        <v>45356</v>
      </c>
      <c r="I35">
        <f t="shared" si="8"/>
        <v>0</v>
      </c>
    </row>
    <row r="36" spans="2:9" x14ac:dyDescent="0.25">
      <c r="B36" t="s">
        <v>119</v>
      </c>
      <c r="C36" t="s">
        <v>120</v>
      </c>
      <c r="E36" s="44">
        <v>45356</v>
      </c>
      <c r="F36" t="str">
        <f t="shared" si="6"/>
        <v>março</v>
      </c>
      <c r="G36">
        <f t="shared" ca="1" si="7"/>
        <v>45484</v>
      </c>
      <c r="H36" s="44">
        <v>45356</v>
      </c>
      <c r="I36">
        <f t="shared" si="8"/>
        <v>0</v>
      </c>
    </row>
    <row r="37" spans="2:9" x14ac:dyDescent="0.25">
      <c r="B37" t="s">
        <v>115</v>
      </c>
      <c r="C37" t="s">
        <v>121</v>
      </c>
      <c r="E37" s="44">
        <v>45357</v>
      </c>
      <c r="F37" t="str">
        <f t="shared" si="6"/>
        <v>março</v>
      </c>
      <c r="G37">
        <f t="shared" ca="1" si="7"/>
        <v>45484</v>
      </c>
      <c r="H37" s="44">
        <v>45357</v>
      </c>
      <c r="I37">
        <f t="shared" si="8"/>
        <v>0</v>
      </c>
    </row>
    <row r="38" spans="2:9" x14ac:dyDescent="0.25">
      <c r="B38" t="s">
        <v>122</v>
      </c>
      <c r="C38" s="53" t="s">
        <v>123</v>
      </c>
      <c r="E38" s="44">
        <v>45357</v>
      </c>
      <c r="F38" t="str">
        <f t="shared" si="6"/>
        <v>março</v>
      </c>
      <c r="G38">
        <f t="shared" ca="1" si="7"/>
        <v>45484</v>
      </c>
      <c r="H38" s="44">
        <v>45357</v>
      </c>
      <c r="I38">
        <f t="shared" si="8"/>
        <v>0</v>
      </c>
    </row>
    <row r="39" spans="2:9" x14ac:dyDescent="0.25">
      <c r="B39" t="s">
        <v>65</v>
      </c>
      <c r="C39" t="s">
        <v>124</v>
      </c>
      <c r="E39" s="44">
        <v>45357</v>
      </c>
      <c r="F39" t="str">
        <f t="shared" si="6"/>
        <v>março</v>
      </c>
      <c r="G39">
        <f t="shared" ca="1" si="7"/>
        <v>45484</v>
      </c>
      <c r="H39" s="44">
        <v>45357</v>
      </c>
      <c r="I39">
        <f t="shared" si="8"/>
        <v>0</v>
      </c>
    </row>
    <row r="40" spans="2:9" x14ac:dyDescent="0.25">
      <c r="B40" t="s">
        <v>102</v>
      </c>
      <c r="C40" t="s">
        <v>125</v>
      </c>
      <c r="E40" s="44">
        <v>45357</v>
      </c>
      <c r="F40" t="str">
        <f t="shared" si="6"/>
        <v>março</v>
      </c>
      <c r="G40">
        <f t="shared" ca="1" si="7"/>
        <v>45484</v>
      </c>
      <c r="H40" s="44">
        <f>VLOOKUP(C40,Tabela4[],4,FALSE)</f>
        <v>45360</v>
      </c>
      <c r="I40">
        <f t="shared" si="8"/>
        <v>3</v>
      </c>
    </row>
    <row r="41" spans="2:9" x14ac:dyDescent="0.25">
      <c r="B41" t="s">
        <v>126</v>
      </c>
      <c r="C41" t="s">
        <v>127</v>
      </c>
      <c r="E41" s="44">
        <v>45357</v>
      </c>
      <c r="F41" t="str">
        <f t="shared" si="6"/>
        <v>março</v>
      </c>
      <c r="G41">
        <f t="shared" ca="1" si="7"/>
        <v>45484</v>
      </c>
      <c r="H41" s="44">
        <f>VLOOKUP(C41,Tabela4[],4,FALSE)</f>
        <v>45357</v>
      </c>
      <c r="I41">
        <f t="shared" si="8"/>
        <v>0</v>
      </c>
    </row>
    <row r="42" spans="2:9" x14ac:dyDescent="0.25">
      <c r="B42" t="s">
        <v>128</v>
      </c>
      <c r="C42" t="s">
        <v>129</v>
      </c>
      <c r="E42" s="44">
        <v>45357</v>
      </c>
      <c r="F42" t="str">
        <f t="shared" si="6"/>
        <v>março</v>
      </c>
      <c r="G42">
        <f t="shared" ca="1" si="7"/>
        <v>45484</v>
      </c>
      <c r="H42" s="44">
        <v>45357</v>
      </c>
      <c r="I42">
        <f t="shared" si="8"/>
        <v>0</v>
      </c>
    </row>
    <row r="43" spans="2:9" x14ac:dyDescent="0.25">
      <c r="B43" t="s">
        <v>102</v>
      </c>
      <c r="C43" t="s">
        <v>130</v>
      </c>
      <c r="E43" s="44">
        <v>45357</v>
      </c>
      <c r="F43" t="str">
        <f t="shared" si="6"/>
        <v>março</v>
      </c>
      <c r="G43">
        <f t="shared" ca="1" si="7"/>
        <v>45484</v>
      </c>
      <c r="H43" s="44">
        <v>45357</v>
      </c>
      <c r="I43">
        <f t="shared" si="8"/>
        <v>0</v>
      </c>
    </row>
    <row r="44" spans="2:9" x14ac:dyDescent="0.25">
      <c r="B44" t="s">
        <v>131</v>
      </c>
      <c r="C44" t="s">
        <v>132</v>
      </c>
      <c r="E44" s="44">
        <v>45357</v>
      </c>
      <c r="F44" t="str">
        <f t="shared" si="6"/>
        <v>março</v>
      </c>
      <c r="G44">
        <f t="shared" ca="1" si="7"/>
        <v>45484</v>
      </c>
      <c r="H44" s="44">
        <v>45357</v>
      </c>
      <c r="I44">
        <f t="shared" si="8"/>
        <v>0</v>
      </c>
    </row>
    <row r="45" spans="2:9" x14ac:dyDescent="0.25">
      <c r="B45" t="s">
        <v>75</v>
      </c>
      <c r="C45" t="s">
        <v>133</v>
      </c>
      <c r="E45" s="44">
        <v>45357</v>
      </c>
      <c r="F45" t="str">
        <f t="shared" si="6"/>
        <v>março</v>
      </c>
      <c r="G45">
        <f t="shared" ca="1" si="7"/>
        <v>45484</v>
      </c>
      <c r="H45" s="44">
        <v>45357</v>
      </c>
      <c r="I45">
        <f t="shared" si="8"/>
        <v>0</v>
      </c>
    </row>
    <row r="46" spans="2:9" x14ac:dyDescent="0.25">
      <c r="B46" t="s">
        <v>107</v>
      </c>
      <c r="C46" t="s">
        <v>134</v>
      </c>
      <c r="E46" s="44">
        <v>45357</v>
      </c>
      <c r="F46" t="str">
        <f t="shared" si="6"/>
        <v>março</v>
      </c>
      <c r="G46">
        <f t="shared" ca="1" si="7"/>
        <v>45484</v>
      </c>
      <c r="H46" s="44">
        <f>VLOOKUP(C46,Tabela4[],4,FALSE)</f>
        <v>45359</v>
      </c>
      <c r="I46">
        <f t="shared" si="8"/>
        <v>2</v>
      </c>
    </row>
    <row r="47" spans="2:9" x14ac:dyDescent="0.25">
      <c r="B47" t="s">
        <v>135</v>
      </c>
      <c r="C47" t="s">
        <v>136</v>
      </c>
      <c r="E47" s="44">
        <v>45357</v>
      </c>
      <c r="F47" t="str">
        <f t="shared" si="6"/>
        <v>março</v>
      </c>
      <c r="G47">
        <f t="shared" ca="1" si="7"/>
        <v>45484</v>
      </c>
      <c r="H47" s="44">
        <f>VLOOKUP(C47,Tabela4[],4,FALSE)</f>
        <v>45357</v>
      </c>
      <c r="I47">
        <f t="shared" si="8"/>
        <v>0</v>
      </c>
    </row>
    <row r="48" spans="2:9" x14ac:dyDescent="0.25">
      <c r="B48" t="s">
        <v>137</v>
      </c>
      <c r="C48" t="s">
        <v>138</v>
      </c>
      <c r="E48" s="44">
        <v>45358</v>
      </c>
      <c r="F48" t="str">
        <f t="shared" si="6"/>
        <v>março</v>
      </c>
      <c r="G48">
        <f t="shared" ca="1" si="7"/>
        <v>45484</v>
      </c>
      <c r="H48" s="44">
        <f>VLOOKUP(C48,Tabela4[],4,FALSE)</f>
        <v>45359</v>
      </c>
      <c r="I48">
        <f t="shared" si="8"/>
        <v>1</v>
      </c>
    </row>
    <row r="49" spans="2:13" x14ac:dyDescent="0.25">
      <c r="B49" t="s">
        <v>139</v>
      </c>
      <c r="C49" t="s">
        <v>140</v>
      </c>
      <c r="E49" s="44">
        <v>45358</v>
      </c>
      <c r="F49" t="str">
        <f t="shared" si="6"/>
        <v>março</v>
      </c>
      <c r="G49">
        <f t="shared" ca="1" si="7"/>
        <v>45484</v>
      </c>
      <c r="H49" s="44">
        <v>45358</v>
      </c>
      <c r="I49">
        <f t="shared" si="8"/>
        <v>0</v>
      </c>
    </row>
    <row r="50" spans="2:13" x14ac:dyDescent="0.25">
      <c r="B50" t="s">
        <v>61</v>
      </c>
      <c r="C50" t="s">
        <v>141</v>
      </c>
      <c r="E50" s="44">
        <v>45357</v>
      </c>
      <c r="F50" t="str">
        <f t="shared" si="6"/>
        <v>março</v>
      </c>
      <c r="G50">
        <f t="shared" ca="1" si="7"/>
        <v>45484</v>
      </c>
      <c r="H50" s="44">
        <f>VLOOKUP(C50,Tabela4[],4,FALSE)</f>
        <v>45359</v>
      </c>
      <c r="I50">
        <f t="shared" si="8"/>
        <v>2</v>
      </c>
    </row>
    <row r="51" spans="2:13" x14ac:dyDescent="0.25">
      <c r="B51" t="s">
        <v>142</v>
      </c>
      <c r="C51" t="s">
        <v>143</v>
      </c>
      <c r="E51" s="44">
        <v>45358</v>
      </c>
      <c r="F51" t="str">
        <f t="shared" si="6"/>
        <v>março</v>
      </c>
      <c r="G51">
        <f t="shared" ca="1" si="7"/>
        <v>45484</v>
      </c>
      <c r="H51" s="44">
        <f>VLOOKUP(C51,Tabela4[],4,FALSE)</f>
        <v>45359</v>
      </c>
      <c r="I51">
        <f t="shared" si="8"/>
        <v>1</v>
      </c>
    </row>
    <row r="52" spans="2:13" x14ac:dyDescent="0.25">
      <c r="B52" t="s">
        <v>93</v>
      </c>
      <c r="C52" t="s">
        <v>144</v>
      </c>
      <c r="E52" s="44">
        <v>45358</v>
      </c>
      <c r="F52" t="str">
        <f t="shared" si="6"/>
        <v>março</v>
      </c>
      <c r="G52">
        <f t="shared" ca="1" si="7"/>
        <v>45484</v>
      </c>
      <c r="H52" s="44">
        <f>VLOOKUP(C52,Tabela4[],4,FALSE)</f>
        <v>45358</v>
      </c>
      <c r="I52">
        <f t="shared" si="8"/>
        <v>0</v>
      </c>
    </row>
    <row r="53" spans="2:13" x14ac:dyDescent="0.25">
      <c r="B53" t="s">
        <v>145</v>
      </c>
      <c r="C53" t="s">
        <v>146</v>
      </c>
      <c r="E53" s="44">
        <v>45357</v>
      </c>
      <c r="F53" t="str">
        <f t="shared" si="6"/>
        <v>março</v>
      </c>
      <c r="G53">
        <f t="shared" ca="1" si="7"/>
        <v>45484</v>
      </c>
      <c r="H53" s="44">
        <f>VLOOKUP(C53,Tabela4[],4,FALSE)</f>
        <v>45363</v>
      </c>
      <c r="I53">
        <f t="shared" si="8"/>
        <v>6</v>
      </c>
    </row>
    <row r="54" spans="2:13" x14ac:dyDescent="0.25">
      <c r="B54" t="s">
        <v>91</v>
      </c>
      <c r="C54" t="s">
        <v>147</v>
      </c>
      <c r="E54" s="44">
        <v>45358</v>
      </c>
      <c r="F54" t="str">
        <f t="shared" si="6"/>
        <v>março</v>
      </c>
      <c r="G54">
        <f t="shared" ca="1" si="7"/>
        <v>45484</v>
      </c>
      <c r="H54" s="44">
        <v>45358</v>
      </c>
      <c r="I54">
        <f t="shared" si="8"/>
        <v>0</v>
      </c>
      <c r="M54">
        <v>315.91000000000003</v>
      </c>
    </row>
    <row r="55" spans="2:13" x14ac:dyDescent="0.25">
      <c r="B55" t="s">
        <v>148</v>
      </c>
      <c r="C55" t="s">
        <v>149</v>
      </c>
      <c r="E55" s="44">
        <v>45358</v>
      </c>
      <c r="F55" t="str">
        <f t="shared" si="6"/>
        <v>março</v>
      </c>
      <c r="G55">
        <f t="shared" ca="1" si="7"/>
        <v>45484</v>
      </c>
      <c r="H55" s="44">
        <v>45358</v>
      </c>
      <c r="I55">
        <f t="shared" si="8"/>
        <v>0</v>
      </c>
      <c r="M55">
        <v>327.97</v>
      </c>
    </row>
    <row r="56" spans="2:13" x14ac:dyDescent="0.25">
      <c r="B56" t="s">
        <v>150</v>
      </c>
      <c r="C56" t="s">
        <v>151</v>
      </c>
      <c r="E56" s="44">
        <v>45358</v>
      </c>
      <c r="F56" t="str">
        <f t="shared" si="6"/>
        <v>março</v>
      </c>
      <c r="G56">
        <f t="shared" ca="1" si="7"/>
        <v>45484</v>
      </c>
      <c r="H56" s="44">
        <v>45358</v>
      </c>
      <c r="I56">
        <f t="shared" si="8"/>
        <v>0</v>
      </c>
      <c r="M56">
        <f>M55-M54</f>
        <v>12.060000000000002</v>
      </c>
    </row>
    <row r="57" spans="2:13" x14ac:dyDescent="0.25">
      <c r="B57" t="s">
        <v>95</v>
      </c>
      <c r="C57" t="s">
        <v>152</v>
      </c>
      <c r="E57" s="44">
        <v>45359</v>
      </c>
      <c r="F57" t="str">
        <f t="shared" si="6"/>
        <v>março</v>
      </c>
      <c r="G57">
        <f t="shared" ca="1" si="7"/>
        <v>45484</v>
      </c>
      <c r="H57" s="44">
        <v>45359</v>
      </c>
      <c r="I57">
        <f t="shared" si="8"/>
        <v>0</v>
      </c>
    </row>
    <row r="58" spans="2:13" x14ac:dyDescent="0.25">
      <c r="B58" t="s">
        <v>153</v>
      </c>
      <c r="C58" t="s">
        <v>132</v>
      </c>
      <c r="E58" s="44">
        <v>45359</v>
      </c>
      <c r="F58" t="str">
        <f t="shared" si="6"/>
        <v>março</v>
      </c>
      <c r="G58">
        <f t="shared" ca="1" si="7"/>
        <v>45484</v>
      </c>
      <c r="H58" s="44">
        <v>45359</v>
      </c>
      <c r="I58">
        <f t="shared" si="8"/>
        <v>0</v>
      </c>
    </row>
    <row r="59" spans="2:13" x14ac:dyDescent="0.25">
      <c r="B59" t="s">
        <v>67</v>
      </c>
      <c r="C59" t="s">
        <v>154</v>
      </c>
      <c r="E59" s="44">
        <v>45359</v>
      </c>
      <c r="F59" t="str">
        <f t="shared" si="6"/>
        <v>março</v>
      </c>
      <c r="G59">
        <f t="shared" ca="1" si="7"/>
        <v>45484</v>
      </c>
      <c r="H59" s="44">
        <v>45359</v>
      </c>
      <c r="I59">
        <f t="shared" si="8"/>
        <v>0</v>
      </c>
    </row>
    <row r="60" spans="2:13" x14ac:dyDescent="0.25">
      <c r="B60" t="s">
        <v>82</v>
      </c>
      <c r="C60" t="s">
        <v>155</v>
      </c>
      <c r="E60" s="44">
        <v>45359</v>
      </c>
      <c r="F60" t="str">
        <f t="shared" si="6"/>
        <v>março</v>
      </c>
      <c r="G60">
        <f t="shared" ca="1" si="7"/>
        <v>45484</v>
      </c>
      <c r="H60" s="44">
        <v>45359</v>
      </c>
      <c r="I60">
        <f t="shared" si="8"/>
        <v>0</v>
      </c>
    </row>
    <row r="61" spans="2:13" x14ac:dyDescent="0.25">
      <c r="B61" t="s">
        <v>102</v>
      </c>
      <c r="C61" t="s">
        <v>156</v>
      </c>
      <c r="E61" s="44">
        <v>45359</v>
      </c>
      <c r="F61" t="str">
        <f t="shared" si="6"/>
        <v>março</v>
      </c>
      <c r="G61">
        <f t="shared" ca="1" si="7"/>
        <v>45484</v>
      </c>
      <c r="H61" s="44">
        <v>45359</v>
      </c>
      <c r="I61">
        <f t="shared" si="8"/>
        <v>0</v>
      </c>
    </row>
    <row r="62" spans="2:13" x14ac:dyDescent="0.25">
      <c r="B62" t="s">
        <v>157</v>
      </c>
      <c r="C62" t="s">
        <v>158</v>
      </c>
      <c r="E62" s="44">
        <v>45359</v>
      </c>
      <c r="F62" t="str">
        <f t="shared" si="6"/>
        <v>março</v>
      </c>
      <c r="G62">
        <f t="shared" ca="1" si="7"/>
        <v>45484</v>
      </c>
      <c r="H62" s="44">
        <v>45359</v>
      </c>
      <c r="I62">
        <f t="shared" si="8"/>
        <v>0</v>
      </c>
    </row>
    <row r="63" spans="2:13" x14ac:dyDescent="0.25">
      <c r="B63" t="s">
        <v>88</v>
      </c>
      <c r="C63" t="s">
        <v>159</v>
      </c>
      <c r="E63" s="44">
        <v>45360</v>
      </c>
      <c r="F63" t="str">
        <f t="shared" ref="F63:F94" si="9">TEXT(DATE(YEAR(E63),MONTH(E63),DAY(E63)),"MMMM")</f>
        <v>março</v>
      </c>
      <c r="G63">
        <f t="shared" ref="G63:G94" ca="1" si="10">DATE(YEAR(TODAY()), MONTH(TODAY()),DAY(TODAY()))</f>
        <v>45484</v>
      </c>
      <c r="H63" s="44">
        <f>VLOOKUP(C63,Tabela4[],4,FALSE)</f>
        <v>45360</v>
      </c>
      <c r="I63">
        <f t="shared" ref="I63:I94" si="11">IF(H63&lt;&gt;"",H63-E63,G63-E63)</f>
        <v>0</v>
      </c>
    </row>
    <row r="64" spans="2:13" x14ac:dyDescent="0.25">
      <c r="B64" t="s">
        <v>160</v>
      </c>
      <c r="C64" t="s">
        <v>161</v>
      </c>
      <c r="E64" s="44">
        <v>45360</v>
      </c>
      <c r="F64" t="str">
        <f t="shared" si="9"/>
        <v>março</v>
      </c>
      <c r="G64">
        <f t="shared" ca="1" si="10"/>
        <v>45484</v>
      </c>
      <c r="H64" s="44">
        <f>VLOOKUP(C64,Tabela4[],4,FALSE)</f>
        <v>45360</v>
      </c>
      <c r="I64">
        <f t="shared" si="11"/>
        <v>0</v>
      </c>
    </row>
    <row r="65" spans="2:9" x14ac:dyDescent="0.25">
      <c r="B65" t="s">
        <v>110</v>
      </c>
      <c r="C65" t="s">
        <v>111</v>
      </c>
      <c r="E65" s="44">
        <v>45360</v>
      </c>
      <c r="F65" t="str">
        <f t="shared" si="9"/>
        <v>março</v>
      </c>
      <c r="G65">
        <f t="shared" ca="1" si="10"/>
        <v>45484</v>
      </c>
      <c r="H65" s="44">
        <f>VLOOKUP(C65,Tabela4[],4,FALSE)</f>
        <v>45366</v>
      </c>
      <c r="I65">
        <f t="shared" si="11"/>
        <v>6</v>
      </c>
    </row>
    <row r="66" spans="2:9" x14ac:dyDescent="0.25">
      <c r="B66" t="s">
        <v>102</v>
      </c>
      <c r="C66" t="s">
        <v>162</v>
      </c>
      <c r="E66" s="44">
        <v>45360</v>
      </c>
      <c r="F66" t="str">
        <f t="shared" si="9"/>
        <v>março</v>
      </c>
      <c r="G66">
        <f t="shared" ca="1" si="10"/>
        <v>45484</v>
      </c>
      <c r="H66" s="44">
        <f>VLOOKUP(C66,Tabela4[],4,FALSE)</f>
        <v>45360</v>
      </c>
      <c r="I66">
        <f t="shared" si="11"/>
        <v>0</v>
      </c>
    </row>
    <row r="67" spans="2:9" x14ac:dyDescent="0.25">
      <c r="B67" t="s">
        <v>86</v>
      </c>
      <c r="C67" t="s">
        <v>163</v>
      </c>
      <c r="E67" s="44">
        <v>45360</v>
      </c>
      <c r="F67" t="str">
        <f t="shared" si="9"/>
        <v>março</v>
      </c>
      <c r="G67">
        <f t="shared" ca="1" si="10"/>
        <v>45484</v>
      </c>
      <c r="H67" s="44">
        <f>VLOOKUP(C67,Tabela4[],4,FALSE)</f>
        <v>45363</v>
      </c>
      <c r="I67">
        <f t="shared" si="11"/>
        <v>3</v>
      </c>
    </row>
    <row r="68" spans="2:9" x14ac:dyDescent="0.25">
      <c r="B68" t="s">
        <v>164</v>
      </c>
      <c r="C68" t="s">
        <v>165</v>
      </c>
      <c r="E68" s="44">
        <v>45362</v>
      </c>
      <c r="F68" t="str">
        <f t="shared" si="9"/>
        <v>março</v>
      </c>
      <c r="G68">
        <f t="shared" ca="1" si="10"/>
        <v>45484</v>
      </c>
      <c r="H68" s="44">
        <v>45362</v>
      </c>
      <c r="I68">
        <f t="shared" si="11"/>
        <v>0</v>
      </c>
    </row>
    <row r="69" spans="2:9" x14ac:dyDescent="0.25">
      <c r="B69" t="s">
        <v>166</v>
      </c>
      <c r="C69" t="s">
        <v>167</v>
      </c>
      <c r="E69" s="44">
        <v>45362</v>
      </c>
      <c r="F69" t="str">
        <f t="shared" si="9"/>
        <v>março</v>
      </c>
      <c r="G69">
        <f t="shared" ca="1" si="10"/>
        <v>45484</v>
      </c>
      <c r="H69" s="44">
        <v>45362</v>
      </c>
      <c r="I69">
        <f t="shared" si="11"/>
        <v>0</v>
      </c>
    </row>
    <row r="70" spans="2:9" x14ac:dyDescent="0.25">
      <c r="B70" t="s">
        <v>168</v>
      </c>
      <c r="C70" t="s">
        <v>169</v>
      </c>
      <c r="E70" s="44">
        <v>45362</v>
      </c>
      <c r="F70" t="str">
        <f t="shared" si="9"/>
        <v>março</v>
      </c>
      <c r="G70">
        <f t="shared" ca="1" si="10"/>
        <v>45484</v>
      </c>
      <c r="H70" s="44">
        <f>VLOOKUP(C70,Tabela4[],4,FALSE)</f>
        <v>45370</v>
      </c>
      <c r="I70">
        <f t="shared" si="11"/>
        <v>8</v>
      </c>
    </row>
    <row r="71" spans="2:9" x14ac:dyDescent="0.25">
      <c r="B71" t="s">
        <v>102</v>
      </c>
      <c r="C71" t="s">
        <v>170</v>
      </c>
      <c r="E71" s="44">
        <v>45362</v>
      </c>
      <c r="F71" t="str">
        <f t="shared" si="9"/>
        <v>março</v>
      </c>
      <c r="G71">
        <f t="shared" ca="1" si="10"/>
        <v>45484</v>
      </c>
      <c r="H71" s="44">
        <f>VLOOKUP(C71,Tabela4[],4,FALSE)</f>
        <v>45362</v>
      </c>
      <c r="I71">
        <f t="shared" si="11"/>
        <v>0</v>
      </c>
    </row>
    <row r="72" spans="2:9" x14ac:dyDescent="0.25">
      <c r="B72" t="s">
        <v>157</v>
      </c>
      <c r="C72" t="s">
        <v>171</v>
      </c>
      <c r="E72" s="44">
        <v>45362</v>
      </c>
      <c r="F72" t="str">
        <f t="shared" si="9"/>
        <v>março</v>
      </c>
      <c r="G72">
        <f t="shared" ca="1" si="10"/>
        <v>45484</v>
      </c>
      <c r="H72" s="44">
        <f>VLOOKUP(C72,Tabela4[],4,FALSE)</f>
        <v>45362</v>
      </c>
      <c r="I72">
        <f t="shared" si="11"/>
        <v>0</v>
      </c>
    </row>
    <row r="73" spans="2:9" x14ac:dyDescent="0.25">
      <c r="B73" t="s">
        <v>172</v>
      </c>
      <c r="C73" t="s">
        <v>173</v>
      </c>
      <c r="E73" s="44">
        <v>45362</v>
      </c>
      <c r="F73" t="str">
        <f t="shared" si="9"/>
        <v>março</v>
      </c>
      <c r="G73">
        <f t="shared" ca="1" si="10"/>
        <v>45484</v>
      </c>
      <c r="H73" s="44">
        <v>45362</v>
      </c>
      <c r="I73">
        <f t="shared" si="11"/>
        <v>0</v>
      </c>
    </row>
    <row r="74" spans="2:9" x14ac:dyDescent="0.25">
      <c r="B74" t="s">
        <v>61</v>
      </c>
      <c r="C74" t="s">
        <v>174</v>
      </c>
      <c r="E74" s="44">
        <v>45362</v>
      </c>
      <c r="F74" t="str">
        <f t="shared" si="9"/>
        <v>março</v>
      </c>
      <c r="G74">
        <f t="shared" ca="1" si="10"/>
        <v>45484</v>
      </c>
      <c r="H74" s="44">
        <v>45362</v>
      </c>
      <c r="I74">
        <f t="shared" si="11"/>
        <v>0</v>
      </c>
    </row>
    <row r="75" spans="2:9" x14ac:dyDescent="0.25">
      <c r="B75" t="s">
        <v>175</v>
      </c>
      <c r="C75" t="s">
        <v>176</v>
      </c>
      <c r="E75" s="44">
        <v>45362</v>
      </c>
      <c r="F75" t="str">
        <f t="shared" si="9"/>
        <v>março</v>
      </c>
      <c r="G75">
        <f t="shared" ca="1" si="10"/>
        <v>45484</v>
      </c>
      <c r="H75" s="44">
        <f>VLOOKUP(C75,Tabela4[],4,FALSE)</f>
        <v>45363</v>
      </c>
      <c r="I75">
        <f t="shared" si="11"/>
        <v>1</v>
      </c>
    </row>
    <row r="76" spans="2:9" x14ac:dyDescent="0.25">
      <c r="B76" t="s">
        <v>177</v>
      </c>
      <c r="C76" t="s">
        <v>178</v>
      </c>
      <c r="E76" s="44">
        <v>45362</v>
      </c>
      <c r="F76" t="str">
        <f t="shared" si="9"/>
        <v>março</v>
      </c>
      <c r="G76">
        <f t="shared" ca="1" si="10"/>
        <v>45484</v>
      </c>
      <c r="H76" s="44" t="e">
        <f>VLOOKUP(C76,Tabela4[],4,FALSE)</f>
        <v>#N/A</v>
      </c>
      <c r="I76" t="e">
        <f t="shared" si="11"/>
        <v>#N/A</v>
      </c>
    </row>
    <row r="77" spans="2:9" x14ac:dyDescent="0.25">
      <c r="B77" t="s">
        <v>179</v>
      </c>
      <c r="C77" t="s">
        <v>180</v>
      </c>
      <c r="E77" s="44">
        <v>45364</v>
      </c>
      <c r="F77" t="str">
        <f t="shared" si="9"/>
        <v>março</v>
      </c>
      <c r="G77">
        <f t="shared" ca="1" si="10"/>
        <v>45484</v>
      </c>
      <c r="H77" s="44">
        <f>VLOOKUP(C77,Tabela4[],4,FALSE)</f>
        <v>45364</v>
      </c>
      <c r="I77">
        <f t="shared" si="11"/>
        <v>0</v>
      </c>
    </row>
    <row r="78" spans="2:9" x14ac:dyDescent="0.25">
      <c r="B78" t="s">
        <v>95</v>
      </c>
      <c r="C78" t="s">
        <v>181</v>
      </c>
      <c r="E78" s="44">
        <v>45363</v>
      </c>
      <c r="F78" t="str">
        <f t="shared" si="9"/>
        <v>março</v>
      </c>
      <c r="G78">
        <f t="shared" ca="1" si="10"/>
        <v>45484</v>
      </c>
      <c r="H78" s="44">
        <f>VLOOKUP(C78,Tabela4[],4,FALSE)</f>
        <v>45377</v>
      </c>
      <c r="I78">
        <f t="shared" si="11"/>
        <v>14</v>
      </c>
    </row>
    <row r="79" spans="2:9" x14ac:dyDescent="0.25">
      <c r="B79" s="41" t="s">
        <v>182</v>
      </c>
      <c r="C79" t="s">
        <v>183</v>
      </c>
      <c r="E79" s="44">
        <v>45363</v>
      </c>
      <c r="F79" t="str">
        <f t="shared" si="9"/>
        <v>março</v>
      </c>
      <c r="G79">
        <f t="shared" ca="1" si="10"/>
        <v>45484</v>
      </c>
      <c r="H79" s="44">
        <v>45364</v>
      </c>
      <c r="I79">
        <f t="shared" si="11"/>
        <v>1</v>
      </c>
    </row>
    <row r="80" spans="2:9" x14ac:dyDescent="0.25">
      <c r="B80" t="s">
        <v>148</v>
      </c>
      <c r="C80" t="s">
        <v>184</v>
      </c>
      <c r="E80" s="44">
        <v>45363</v>
      </c>
      <c r="F80" t="str">
        <f t="shared" si="9"/>
        <v>março</v>
      </c>
      <c r="G80">
        <f t="shared" ca="1" si="10"/>
        <v>45484</v>
      </c>
      <c r="H80" s="44">
        <f>VLOOKUP(C80,Tabela4[],4,FALSE)</f>
        <v>45367</v>
      </c>
      <c r="I80">
        <f t="shared" si="11"/>
        <v>4</v>
      </c>
    </row>
    <row r="81" spans="2:9" x14ac:dyDescent="0.25">
      <c r="B81" t="s">
        <v>95</v>
      </c>
      <c r="C81" t="s">
        <v>185</v>
      </c>
      <c r="E81" s="44">
        <v>45364</v>
      </c>
      <c r="F81" t="str">
        <f t="shared" si="9"/>
        <v>março</v>
      </c>
      <c r="G81">
        <f t="shared" ca="1" si="10"/>
        <v>45484</v>
      </c>
      <c r="H81" s="44">
        <v>45364</v>
      </c>
      <c r="I81">
        <f t="shared" si="11"/>
        <v>0</v>
      </c>
    </row>
    <row r="82" spans="2:9" x14ac:dyDescent="0.25">
      <c r="B82" t="s">
        <v>95</v>
      </c>
      <c r="C82" t="s">
        <v>186</v>
      </c>
      <c r="E82" s="44">
        <v>45365</v>
      </c>
      <c r="F82" t="str">
        <f t="shared" si="9"/>
        <v>março</v>
      </c>
      <c r="G82">
        <f t="shared" ca="1" si="10"/>
        <v>45484</v>
      </c>
      <c r="H82" s="44"/>
      <c r="I82">
        <f t="shared" ca="1" si="11"/>
        <v>119</v>
      </c>
    </row>
    <row r="83" spans="2:9" x14ac:dyDescent="0.25">
      <c r="B83" t="s">
        <v>113</v>
      </c>
      <c r="C83" t="s">
        <v>187</v>
      </c>
      <c r="E83" s="44">
        <v>45365</v>
      </c>
      <c r="F83" t="str">
        <f t="shared" si="9"/>
        <v>março</v>
      </c>
      <c r="G83">
        <f t="shared" ca="1" si="10"/>
        <v>45484</v>
      </c>
      <c r="H83" s="44">
        <f>VLOOKUP(C83,Tabela4[],4,FALSE)</f>
        <v>45365</v>
      </c>
      <c r="I83">
        <f t="shared" si="11"/>
        <v>0</v>
      </c>
    </row>
    <row r="84" spans="2:9" x14ac:dyDescent="0.25">
      <c r="B84" t="s">
        <v>82</v>
      </c>
      <c r="C84" t="s">
        <v>188</v>
      </c>
      <c r="E84" s="44">
        <v>45365</v>
      </c>
      <c r="F84" t="str">
        <f t="shared" si="9"/>
        <v>março</v>
      </c>
      <c r="G84">
        <f t="shared" ca="1" si="10"/>
        <v>45484</v>
      </c>
      <c r="H84" s="44">
        <v>45378</v>
      </c>
      <c r="I84">
        <f t="shared" si="11"/>
        <v>13</v>
      </c>
    </row>
    <row r="85" spans="2:9" x14ac:dyDescent="0.25">
      <c r="B85" t="s">
        <v>82</v>
      </c>
      <c r="C85" t="s">
        <v>189</v>
      </c>
      <c r="E85" s="44">
        <v>45365</v>
      </c>
      <c r="F85" t="str">
        <f t="shared" si="9"/>
        <v>março</v>
      </c>
      <c r="G85">
        <f t="shared" ca="1" si="10"/>
        <v>45484</v>
      </c>
      <c r="H85" s="44">
        <v>45387</v>
      </c>
      <c r="I85">
        <f t="shared" si="11"/>
        <v>22</v>
      </c>
    </row>
    <row r="86" spans="2:9" x14ac:dyDescent="0.25">
      <c r="B86" t="s">
        <v>190</v>
      </c>
      <c r="C86" t="s">
        <v>191</v>
      </c>
      <c r="E86" s="44">
        <v>45365</v>
      </c>
      <c r="F86" t="str">
        <f t="shared" si="9"/>
        <v>março</v>
      </c>
      <c r="G86">
        <f t="shared" ca="1" si="10"/>
        <v>45484</v>
      </c>
      <c r="H86" s="44">
        <v>45365</v>
      </c>
      <c r="I86">
        <f t="shared" si="11"/>
        <v>0</v>
      </c>
    </row>
    <row r="87" spans="2:9" x14ac:dyDescent="0.25">
      <c r="B87" t="s">
        <v>192</v>
      </c>
      <c r="C87" t="s">
        <v>193</v>
      </c>
      <c r="E87" s="44">
        <v>45365</v>
      </c>
      <c r="F87" t="str">
        <f t="shared" si="9"/>
        <v>março</v>
      </c>
      <c r="G87">
        <f t="shared" ca="1" si="10"/>
        <v>45484</v>
      </c>
      <c r="H87" s="44">
        <f>VLOOKUP(C87,Tabela4[],4,FALSE)</f>
        <v>45366</v>
      </c>
      <c r="I87">
        <f t="shared" si="11"/>
        <v>1</v>
      </c>
    </row>
    <row r="88" spans="2:9" x14ac:dyDescent="0.25">
      <c r="B88" t="s">
        <v>194</v>
      </c>
      <c r="C88" t="s">
        <v>195</v>
      </c>
      <c r="E88" s="44">
        <v>45365</v>
      </c>
      <c r="F88" t="str">
        <f t="shared" si="9"/>
        <v>março</v>
      </c>
      <c r="G88">
        <f t="shared" ca="1" si="10"/>
        <v>45484</v>
      </c>
      <c r="H88" s="44">
        <v>45365</v>
      </c>
      <c r="I88">
        <f t="shared" si="11"/>
        <v>0</v>
      </c>
    </row>
    <row r="89" spans="2:9" x14ac:dyDescent="0.25">
      <c r="B89" t="s">
        <v>166</v>
      </c>
      <c r="C89" t="s">
        <v>196</v>
      </c>
      <c r="E89" s="44">
        <v>45366</v>
      </c>
      <c r="F89" t="str">
        <f t="shared" si="9"/>
        <v>março</v>
      </c>
      <c r="G89">
        <f t="shared" ca="1" si="10"/>
        <v>45484</v>
      </c>
      <c r="H89" s="44">
        <f>VLOOKUP(C89,Tabela4[],4,FALSE)</f>
        <v>45369</v>
      </c>
      <c r="I89">
        <f t="shared" si="11"/>
        <v>3</v>
      </c>
    </row>
    <row r="90" spans="2:9" x14ac:dyDescent="0.25">
      <c r="B90" t="s">
        <v>192</v>
      </c>
      <c r="C90" t="s">
        <v>197</v>
      </c>
      <c r="E90" s="44">
        <v>45366</v>
      </c>
      <c r="F90" t="str">
        <f t="shared" si="9"/>
        <v>março</v>
      </c>
      <c r="G90">
        <f t="shared" ca="1" si="10"/>
        <v>45484</v>
      </c>
      <c r="H90" s="44">
        <v>45366</v>
      </c>
      <c r="I90">
        <f t="shared" si="11"/>
        <v>0</v>
      </c>
    </row>
    <row r="91" spans="2:9" x14ac:dyDescent="0.25">
      <c r="B91" t="s">
        <v>179</v>
      </c>
      <c r="C91" t="s">
        <v>198</v>
      </c>
      <c r="E91" s="44">
        <v>45366</v>
      </c>
      <c r="F91" t="str">
        <f t="shared" si="9"/>
        <v>março</v>
      </c>
      <c r="G91">
        <f t="shared" ca="1" si="10"/>
        <v>45484</v>
      </c>
      <c r="H91" s="44">
        <f>VLOOKUP(C91,Tabela4[],4,FALSE)</f>
        <v>45367</v>
      </c>
      <c r="I91">
        <f t="shared" si="11"/>
        <v>1</v>
      </c>
    </row>
    <row r="92" spans="2:9" x14ac:dyDescent="0.25">
      <c r="B92" t="s">
        <v>199</v>
      </c>
      <c r="C92" t="s">
        <v>200</v>
      </c>
      <c r="E92" s="44">
        <v>45366</v>
      </c>
      <c r="F92" t="str">
        <f t="shared" si="9"/>
        <v>março</v>
      </c>
      <c r="G92">
        <f t="shared" ca="1" si="10"/>
        <v>45484</v>
      </c>
      <c r="H92" s="44">
        <f>VLOOKUP(C92,Tabela4[],4,FALSE)</f>
        <v>45366</v>
      </c>
      <c r="I92">
        <f t="shared" si="11"/>
        <v>0</v>
      </c>
    </row>
    <row r="93" spans="2:9" x14ac:dyDescent="0.25">
      <c r="B93" t="s">
        <v>201</v>
      </c>
      <c r="C93" t="s">
        <v>202</v>
      </c>
      <c r="E93" s="44">
        <v>45366</v>
      </c>
      <c r="F93" t="str">
        <f t="shared" si="9"/>
        <v>março</v>
      </c>
      <c r="G93">
        <f t="shared" ca="1" si="10"/>
        <v>45484</v>
      </c>
      <c r="H93" s="44">
        <v>45366</v>
      </c>
      <c r="I93">
        <f t="shared" si="11"/>
        <v>0</v>
      </c>
    </row>
    <row r="94" spans="2:9" x14ac:dyDescent="0.25">
      <c r="B94" t="s">
        <v>91</v>
      </c>
      <c r="C94" t="s">
        <v>203</v>
      </c>
      <c r="E94" s="44">
        <v>45366</v>
      </c>
      <c r="F94" t="str">
        <f t="shared" si="9"/>
        <v>março</v>
      </c>
      <c r="G94">
        <f t="shared" ca="1" si="10"/>
        <v>45484</v>
      </c>
      <c r="H94" s="44">
        <v>45366</v>
      </c>
      <c r="I94">
        <f t="shared" si="11"/>
        <v>0</v>
      </c>
    </row>
    <row r="95" spans="2:9" x14ac:dyDescent="0.25">
      <c r="B95" t="s">
        <v>61</v>
      </c>
      <c r="C95" t="s">
        <v>204</v>
      </c>
      <c r="E95" s="44">
        <v>45366</v>
      </c>
      <c r="F95" t="str">
        <f t="shared" ref="F95:F123" si="12">TEXT(DATE(YEAR(E95),MONTH(E95),DAY(E95)),"MMMM")</f>
        <v>março</v>
      </c>
      <c r="G95">
        <f t="shared" ref="G95:G123" ca="1" si="13">DATE(YEAR(TODAY()), MONTH(TODAY()),DAY(TODAY()))</f>
        <v>45484</v>
      </c>
      <c r="H95" s="44">
        <f>VLOOKUP(C95,Tabela4[],4,FALSE)</f>
        <v>45366</v>
      </c>
      <c r="I95">
        <f t="shared" ref="I95:I123" si="14">IF(H95&lt;&gt;"",H95-E95,G95-E95)</f>
        <v>0</v>
      </c>
    </row>
    <row r="96" spans="2:9" x14ac:dyDescent="0.25">
      <c r="B96" t="s">
        <v>168</v>
      </c>
      <c r="C96" t="s">
        <v>205</v>
      </c>
      <c r="E96" s="44">
        <v>45366</v>
      </c>
      <c r="F96" t="str">
        <f t="shared" si="12"/>
        <v>março</v>
      </c>
      <c r="G96">
        <f t="shared" ca="1" si="13"/>
        <v>45484</v>
      </c>
      <c r="H96" s="44">
        <f>VLOOKUP(C96,Tabela4[],4,FALSE)</f>
        <v>45367</v>
      </c>
      <c r="I96">
        <f t="shared" si="14"/>
        <v>1</v>
      </c>
    </row>
    <row r="97" spans="2:9" x14ac:dyDescent="0.25">
      <c r="B97">
        <v>207</v>
      </c>
      <c r="C97" t="s">
        <v>206</v>
      </c>
      <c r="E97" s="44">
        <v>45366</v>
      </c>
      <c r="F97" t="str">
        <f t="shared" si="12"/>
        <v>março</v>
      </c>
      <c r="G97">
        <f t="shared" ca="1" si="13"/>
        <v>45484</v>
      </c>
      <c r="H97" s="44">
        <f>VLOOKUP(C97,Tabela4[],4,FALSE)</f>
        <v>45376</v>
      </c>
      <c r="I97">
        <f t="shared" si="14"/>
        <v>10</v>
      </c>
    </row>
    <row r="98" spans="2:9" x14ac:dyDescent="0.25">
      <c r="B98" t="s">
        <v>139</v>
      </c>
      <c r="C98" t="s">
        <v>207</v>
      </c>
      <c r="E98" s="44">
        <v>45366</v>
      </c>
      <c r="F98" t="str">
        <f t="shared" si="12"/>
        <v>março</v>
      </c>
      <c r="G98">
        <f t="shared" ca="1" si="13"/>
        <v>45484</v>
      </c>
      <c r="H98" s="44">
        <v>45366</v>
      </c>
      <c r="I98">
        <f t="shared" si="14"/>
        <v>0</v>
      </c>
    </row>
    <row r="99" spans="2:9" x14ac:dyDescent="0.25">
      <c r="B99" t="s">
        <v>61</v>
      </c>
      <c r="C99" t="s">
        <v>208</v>
      </c>
      <c r="E99" s="44">
        <v>45366</v>
      </c>
      <c r="F99" t="str">
        <f t="shared" si="12"/>
        <v>março</v>
      </c>
      <c r="G99">
        <f t="shared" ca="1" si="13"/>
        <v>45484</v>
      </c>
      <c r="H99" s="44">
        <v>45366</v>
      </c>
      <c r="I99">
        <f t="shared" si="14"/>
        <v>0</v>
      </c>
    </row>
    <row r="100" spans="2:9" x14ac:dyDescent="0.25">
      <c r="B100" t="s">
        <v>209</v>
      </c>
      <c r="C100" t="s">
        <v>210</v>
      </c>
      <c r="E100" s="44">
        <v>45366</v>
      </c>
      <c r="F100" t="str">
        <f t="shared" si="12"/>
        <v>março</v>
      </c>
      <c r="G100">
        <f t="shared" ca="1" si="13"/>
        <v>45484</v>
      </c>
      <c r="H100" s="44">
        <f>VLOOKUP(C100,Tabela4[],4,FALSE)</f>
        <v>45367</v>
      </c>
      <c r="I100">
        <f t="shared" si="14"/>
        <v>1</v>
      </c>
    </row>
    <row r="101" spans="2:9" x14ac:dyDescent="0.25">
      <c r="B101" t="s">
        <v>119</v>
      </c>
      <c r="C101" t="s">
        <v>120</v>
      </c>
      <c r="E101" s="44">
        <v>45369</v>
      </c>
      <c r="F101" t="str">
        <f t="shared" si="12"/>
        <v>março</v>
      </c>
      <c r="G101">
        <f t="shared" ca="1" si="13"/>
        <v>45484</v>
      </c>
      <c r="H101" s="44">
        <v>45369</v>
      </c>
      <c r="I101">
        <f t="shared" si="14"/>
        <v>0</v>
      </c>
    </row>
    <row r="102" spans="2:9" x14ac:dyDescent="0.25">
      <c r="B102" t="s">
        <v>86</v>
      </c>
      <c r="C102" t="s">
        <v>211</v>
      </c>
      <c r="E102" s="44">
        <v>45369</v>
      </c>
      <c r="F102" t="str">
        <f t="shared" si="12"/>
        <v>março</v>
      </c>
      <c r="G102">
        <f t="shared" ca="1" si="13"/>
        <v>45484</v>
      </c>
      <c r="H102" s="44">
        <v>45369</v>
      </c>
      <c r="I102">
        <f t="shared" si="14"/>
        <v>0</v>
      </c>
    </row>
    <row r="103" spans="2:9" x14ac:dyDescent="0.25">
      <c r="B103" t="s">
        <v>98</v>
      </c>
      <c r="C103" t="s">
        <v>212</v>
      </c>
      <c r="E103" s="44">
        <v>45369</v>
      </c>
      <c r="F103" t="str">
        <f t="shared" si="12"/>
        <v>março</v>
      </c>
      <c r="G103">
        <f t="shared" ca="1" si="13"/>
        <v>45484</v>
      </c>
      <c r="H103" s="44">
        <v>45369</v>
      </c>
      <c r="I103">
        <f t="shared" si="14"/>
        <v>0</v>
      </c>
    </row>
    <row r="104" spans="2:9" x14ac:dyDescent="0.25">
      <c r="B104" t="s">
        <v>102</v>
      </c>
      <c r="C104" t="s">
        <v>213</v>
      </c>
      <c r="E104" s="44">
        <v>45369</v>
      </c>
      <c r="F104" t="str">
        <f t="shared" si="12"/>
        <v>março</v>
      </c>
      <c r="G104">
        <f t="shared" ca="1" si="13"/>
        <v>45484</v>
      </c>
      <c r="H104" s="44">
        <v>45369</v>
      </c>
      <c r="I104">
        <f t="shared" si="14"/>
        <v>0</v>
      </c>
    </row>
    <row r="105" spans="2:9" x14ac:dyDescent="0.25">
      <c r="B105" t="s">
        <v>119</v>
      </c>
      <c r="C105" t="s">
        <v>214</v>
      </c>
      <c r="E105" s="44">
        <v>45369</v>
      </c>
      <c r="F105" t="str">
        <f t="shared" si="12"/>
        <v>março</v>
      </c>
      <c r="G105">
        <f t="shared" ca="1" si="13"/>
        <v>45484</v>
      </c>
      <c r="H105" s="44">
        <v>45369</v>
      </c>
      <c r="I105">
        <f t="shared" si="14"/>
        <v>0</v>
      </c>
    </row>
    <row r="106" spans="2:9" x14ac:dyDescent="0.25">
      <c r="B106" t="s">
        <v>215</v>
      </c>
      <c r="C106" t="s">
        <v>216</v>
      </c>
      <c r="E106" s="44">
        <v>45369</v>
      </c>
      <c r="F106" t="str">
        <f t="shared" si="12"/>
        <v>março</v>
      </c>
      <c r="G106">
        <f t="shared" ca="1" si="13"/>
        <v>45484</v>
      </c>
      <c r="H106" s="44">
        <v>45373</v>
      </c>
      <c r="I106">
        <f t="shared" si="14"/>
        <v>4</v>
      </c>
    </row>
    <row r="107" spans="2:9" x14ac:dyDescent="0.25">
      <c r="B107" t="s">
        <v>217</v>
      </c>
      <c r="C107" t="s">
        <v>218</v>
      </c>
      <c r="E107" s="44">
        <v>45369</v>
      </c>
      <c r="F107" t="str">
        <f t="shared" si="12"/>
        <v>março</v>
      </c>
      <c r="G107">
        <f t="shared" ca="1" si="13"/>
        <v>45484</v>
      </c>
      <c r="H107" s="44">
        <f>VLOOKUP(C107,Tabela4[],4,FALSE)</f>
        <v>45369</v>
      </c>
      <c r="I107">
        <f t="shared" si="14"/>
        <v>0</v>
      </c>
    </row>
    <row r="108" spans="2:9" x14ac:dyDescent="0.25">
      <c r="B108" t="s">
        <v>219</v>
      </c>
      <c r="C108" t="s">
        <v>220</v>
      </c>
      <c r="E108" s="44">
        <v>45369</v>
      </c>
      <c r="F108" t="str">
        <f t="shared" si="12"/>
        <v>março</v>
      </c>
      <c r="G108">
        <f t="shared" ca="1" si="13"/>
        <v>45484</v>
      </c>
      <c r="H108" s="44">
        <v>45369</v>
      </c>
      <c r="I108">
        <f t="shared" si="14"/>
        <v>0</v>
      </c>
    </row>
    <row r="109" spans="2:9" x14ac:dyDescent="0.25">
      <c r="B109" t="s">
        <v>93</v>
      </c>
      <c r="C109" t="s">
        <v>221</v>
      </c>
      <c r="E109" s="44">
        <v>45369</v>
      </c>
      <c r="F109" t="str">
        <f t="shared" si="12"/>
        <v>março</v>
      </c>
      <c r="G109">
        <f t="shared" ca="1" si="13"/>
        <v>45484</v>
      </c>
      <c r="H109" s="44">
        <f>VLOOKUP(C109,Tabela4[],4,FALSE)</f>
        <v>45370</v>
      </c>
      <c r="I109">
        <f t="shared" si="14"/>
        <v>1</v>
      </c>
    </row>
    <row r="110" spans="2:9" x14ac:dyDescent="0.25">
      <c r="B110" t="s">
        <v>168</v>
      </c>
      <c r="C110" t="s">
        <v>222</v>
      </c>
      <c r="E110" s="44">
        <v>45370</v>
      </c>
      <c r="F110" t="str">
        <f t="shared" si="12"/>
        <v>março</v>
      </c>
      <c r="G110">
        <f t="shared" ca="1" si="13"/>
        <v>45484</v>
      </c>
      <c r="H110" s="44">
        <f>VLOOKUP(C110,Tabela4[],4,FALSE)</f>
        <v>45370</v>
      </c>
      <c r="I110">
        <f t="shared" si="14"/>
        <v>0</v>
      </c>
    </row>
    <row r="111" spans="2:9" x14ac:dyDescent="0.25">
      <c r="B111" t="s">
        <v>93</v>
      </c>
      <c r="C111" t="s">
        <v>223</v>
      </c>
      <c r="E111" s="44">
        <v>45370</v>
      </c>
      <c r="F111" t="str">
        <f t="shared" si="12"/>
        <v>março</v>
      </c>
      <c r="G111">
        <f t="shared" ca="1" si="13"/>
        <v>45484</v>
      </c>
      <c r="H111" s="44">
        <v>45372</v>
      </c>
      <c r="I111">
        <f t="shared" si="14"/>
        <v>2</v>
      </c>
    </row>
    <row r="112" spans="2:9" x14ac:dyDescent="0.25">
      <c r="B112" t="s">
        <v>95</v>
      </c>
      <c r="C112" t="s">
        <v>224</v>
      </c>
      <c r="E112" s="44">
        <v>45370</v>
      </c>
      <c r="F112" t="str">
        <f t="shared" si="12"/>
        <v>março</v>
      </c>
      <c r="G112">
        <f t="shared" ca="1" si="13"/>
        <v>45484</v>
      </c>
      <c r="H112" s="44">
        <v>45370</v>
      </c>
      <c r="I112">
        <f t="shared" si="14"/>
        <v>0</v>
      </c>
    </row>
    <row r="113" spans="2:9" x14ac:dyDescent="0.25">
      <c r="B113" t="s">
        <v>225</v>
      </c>
      <c r="C113" t="s">
        <v>226</v>
      </c>
      <c r="E113" s="44">
        <v>45370</v>
      </c>
      <c r="F113" t="str">
        <f t="shared" si="12"/>
        <v>março</v>
      </c>
      <c r="G113">
        <f t="shared" ca="1" si="13"/>
        <v>45484</v>
      </c>
      <c r="H113" s="44">
        <v>45370</v>
      </c>
      <c r="I113">
        <f t="shared" si="14"/>
        <v>0</v>
      </c>
    </row>
    <row r="114" spans="2:9" x14ac:dyDescent="0.25">
      <c r="B114" t="s">
        <v>227</v>
      </c>
      <c r="C114" t="s">
        <v>228</v>
      </c>
      <c r="E114" s="44">
        <v>45370</v>
      </c>
      <c r="F114" t="str">
        <f t="shared" si="12"/>
        <v>março</v>
      </c>
      <c r="G114">
        <f t="shared" ca="1" si="13"/>
        <v>45484</v>
      </c>
      <c r="H114" s="44">
        <f>VLOOKUP(C114,Tabela4[],4,FALSE)</f>
        <v>45371</v>
      </c>
      <c r="I114">
        <f t="shared" si="14"/>
        <v>1</v>
      </c>
    </row>
    <row r="115" spans="2:9" x14ac:dyDescent="0.25">
      <c r="B115" t="s">
        <v>69</v>
      </c>
      <c r="C115" t="s">
        <v>229</v>
      </c>
      <c r="E115" s="44">
        <v>45370</v>
      </c>
      <c r="F115" t="str">
        <f t="shared" si="12"/>
        <v>março</v>
      </c>
      <c r="G115">
        <f t="shared" ca="1" si="13"/>
        <v>45484</v>
      </c>
      <c r="H115" s="44">
        <f>VLOOKUP(C115,Tabela4[],4,FALSE)</f>
        <v>45370</v>
      </c>
      <c r="I115">
        <f t="shared" si="14"/>
        <v>0</v>
      </c>
    </row>
    <row r="116" spans="2:9" x14ac:dyDescent="0.25">
      <c r="B116" t="s">
        <v>166</v>
      </c>
      <c r="C116" t="s">
        <v>230</v>
      </c>
      <c r="E116" s="44">
        <v>45370</v>
      </c>
      <c r="F116" t="str">
        <f t="shared" si="12"/>
        <v>março</v>
      </c>
      <c r="G116">
        <f t="shared" ca="1" si="13"/>
        <v>45484</v>
      </c>
      <c r="H116" s="44">
        <v>45370</v>
      </c>
      <c r="I116">
        <f t="shared" si="14"/>
        <v>0</v>
      </c>
    </row>
    <row r="117" spans="2:9" x14ac:dyDescent="0.25">
      <c r="B117" t="s">
        <v>82</v>
      </c>
      <c r="C117" t="s">
        <v>231</v>
      </c>
      <c r="E117" s="44">
        <v>45370</v>
      </c>
      <c r="F117" t="str">
        <f t="shared" si="12"/>
        <v>março</v>
      </c>
      <c r="G117">
        <f t="shared" ca="1" si="13"/>
        <v>45484</v>
      </c>
      <c r="H117" s="44">
        <f>VLOOKUP(C117,Tabela4[],4,FALSE)</f>
        <v>45384</v>
      </c>
      <c r="I117">
        <f t="shared" si="14"/>
        <v>14</v>
      </c>
    </row>
    <row r="118" spans="2:9" x14ac:dyDescent="0.25">
      <c r="B118" t="s">
        <v>232</v>
      </c>
      <c r="C118" t="s">
        <v>233</v>
      </c>
      <c r="E118" s="44">
        <v>45371</v>
      </c>
      <c r="F118" t="str">
        <f t="shared" si="12"/>
        <v>março</v>
      </c>
      <c r="G118">
        <f t="shared" ca="1" si="13"/>
        <v>45484</v>
      </c>
      <c r="H118" s="44">
        <f>VLOOKUP(C118,Tabela4[],4,FALSE)</f>
        <v>45371</v>
      </c>
      <c r="I118">
        <f t="shared" si="14"/>
        <v>0</v>
      </c>
    </row>
    <row r="119" spans="2:9" x14ac:dyDescent="0.25">
      <c r="B119" t="s">
        <v>148</v>
      </c>
      <c r="C119" t="s">
        <v>234</v>
      </c>
      <c r="E119" s="44">
        <v>45371</v>
      </c>
      <c r="F119" t="str">
        <f t="shared" si="12"/>
        <v>março</v>
      </c>
      <c r="G119">
        <f t="shared" ca="1" si="13"/>
        <v>45484</v>
      </c>
      <c r="H119" s="44">
        <f>VLOOKUP(C119,Tabela4[],4,FALSE)</f>
        <v>45384</v>
      </c>
      <c r="I119">
        <f t="shared" si="14"/>
        <v>13</v>
      </c>
    </row>
    <row r="120" spans="2:9" x14ac:dyDescent="0.25">
      <c r="B120" t="s">
        <v>199</v>
      </c>
      <c r="C120" t="s">
        <v>235</v>
      </c>
      <c r="E120" s="44">
        <v>45371</v>
      </c>
      <c r="F120" t="str">
        <f t="shared" si="12"/>
        <v>março</v>
      </c>
      <c r="G120">
        <f t="shared" ca="1" si="13"/>
        <v>45484</v>
      </c>
      <c r="H120" s="44">
        <v>45371</v>
      </c>
      <c r="I120">
        <f t="shared" si="14"/>
        <v>0</v>
      </c>
    </row>
    <row r="121" spans="2:9" x14ac:dyDescent="0.25">
      <c r="B121" t="s">
        <v>82</v>
      </c>
      <c r="C121" t="s">
        <v>155</v>
      </c>
      <c r="E121" s="44">
        <v>45371</v>
      </c>
      <c r="F121" t="str">
        <f t="shared" si="12"/>
        <v>março</v>
      </c>
      <c r="G121">
        <f t="shared" ca="1" si="13"/>
        <v>45484</v>
      </c>
      <c r="H121" s="44">
        <f>VLOOKUP(C121,Tabela4[],4,FALSE)</f>
        <v>45388</v>
      </c>
      <c r="I121">
        <f t="shared" si="14"/>
        <v>17</v>
      </c>
    </row>
    <row r="122" spans="2:9" x14ac:dyDescent="0.25">
      <c r="B122" t="s">
        <v>236</v>
      </c>
      <c r="C122" t="s">
        <v>237</v>
      </c>
      <c r="E122" s="44">
        <v>45371</v>
      </c>
      <c r="F122" t="str">
        <f t="shared" si="12"/>
        <v>março</v>
      </c>
      <c r="G122">
        <f t="shared" ca="1" si="13"/>
        <v>45484</v>
      </c>
      <c r="H122" s="44">
        <v>45371</v>
      </c>
      <c r="I122">
        <f t="shared" si="14"/>
        <v>0</v>
      </c>
    </row>
    <row r="123" spans="2:9" x14ac:dyDescent="0.25">
      <c r="B123" t="s">
        <v>135</v>
      </c>
      <c r="C123" t="s">
        <v>238</v>
      </c>
      <c r="E123" s="44">
        <v>45371</v>
      </c>
      <c r="F123" t="str">
        <f t="shared" si="12"/>
        <v>março</v>
      </c>
      <c r="G123">
        <f t="shared" ca="1" si="13"/>
        <v>45484</v>
      </c>
      <c r="H123" s="44">
        <v>45371</v>
      </c>
      <c r="I123">
        <f t="shared" si="14"/>
        <v>0</v>
      </c>
    </row>
    <row r="124" spans="2:9" x14ac:dyDescent="0.25">
      <c r="B124" t="s">
        <v>150</v>
      </c>
      <c r="C124" t="s">
        <v>239</v>
      </c>
      <c r="E124" s="44">
        <v>45371</v>
      </c>
      <c r="F124" t="str">
        <f t="shared" ref="F124:F144" si="15">TEXT(DATE(YEAR(E124),MONTH(E124),DAY(E124)),"MMMM")</f>
        <v>março</v>
      </c>
      <c r="G124">
        <f t="shared" ref="G124:G144" ca="1" si="16">DATE(YEAR(TODAY()), MONTH(TODAY()),DAY(TODAY()))</f>
        <v>45484</v>
      </c>
      <c r="H124" s="44">
        <v>45371</v>
      </c>
      <c r="I124">
        <f t="shared" ref="I124:I144" si="17">IF(H124&lt;&gt;"",H124-E124,G124-E124)</f>
        <v>0</v>
      </c>
    </row>
    <row r="125" spans="2:9" x14ac:dyDescent="0.25">
      <c r="B125" t="s">
        <v>240</v>
      </c>
      <c r="C125" t="s">
        <v>241</v>
      </c>
      <c r="E125" s="44">
        <v>45371</v>
      </c>
      <c r="F125" t="str">
        <f t="shared" si="15"/>
        <v>março</v>
      </c>
      <c r="G125">
        <f t="shared" ca="1" si="16"/>
        <v>45484</v>
      </c>
      <c r="H125" s="44">
        <v>45371</v>
      </c>
      <c r="I125">
        <f t="shared" si="17"/>
        <v>0</v>
      </c>
    </row>
    <row r="126" spans="2:9" x14ac:dyDescent="0.25">
      <c r="B126" t="s">
        <v>102</v>
      </c>
      <c r="C126" t="s">
        <v>242</v>
      </c>
      <c r="E126" s="44">
        <v>45371</v>
      </c>
      <c r="F126" t="str">
        <f t="shared" si="15"/>
        <v>março</v>
      </c>
      <c r="G126">
        <f t="shared" ca="1" si="16"/>
        <v>45484</v>
      </c>
      <c r="H126" s="44">
        <f>VLOOKUP(C126,Tabela4[],4,FALSE)</f>
        <v>45372</v>
      </c>
      <c r="I126">
        <f t="shared" si="17"/>
        <v>1</v>
      </c>
    </row>
    <row r="127" spans="2:9" x14ac:dyDescent="0.25">
      <c r="B127" t="s">
        <v>168</v>
      </c>
      <c r="C127" t="s">
        <v>243</v>
      </c>
      <c r="E127" s="44">
        <v>45372</v>
      </c>
      <c r="F127" t="str">
        <f t="shared" si="15"/>
        <v>março</v>
      </c>
      <c r="G127">
        <f t="shared" ca="1" si="16"/>
        <v>45484</v>
      </c>
      <c r="H127" s="44">
        <f>VLOOKUP(C127,Tabela4[],4,FALSE)</f>
        <v>45372</v>
      </c>
      <c r="I127">
        <f t="shared" si="17"/>
        <v>0</v>
      </c>
    </row>
    <row r="128" spans="2:9" x14ac:dyDescent="0.25">
      <c r="B128" t="s">
        <v>61</v>
      </c>
      <c r="C128" t="s">
        <v>244</v>
      </c>
      <c r="E128" s="44">
        <v>45372</v>
      </c>
      <c r="F128" t="str">
        <f t="shared" si="15"/>
        <v>março</v>
      </c>
      <c r="G128">
        <f t="shared" ca="1" si="16"/>
        <v>45484</v>
      </c>
      <c r="H128" s="44">
        <v>45372</v>
      </c>
      <c r="I128">
        <f t="shared" si="17"/>
        <v>0</v>
      </c>
    </row>
    <row r="129" spans="2:9" x14ac:dyDescent="0.25">
      <c r="B129" t="s">
        <v>95</v>
      </c>
      <c r="C129" t="s">
        <v>245</v>
      </c>
      <c r="E129" s="44">
        <v>45372</v>
      </c>
      <c r="F129" t="str">
        <f t="shared" si="15"/>
        <v>março</v>
      </c>
      <c r="G129">
        <f t="shared" ca="1" si="16"/>
        <v>45484</v>
      </c>
      <c r="H129" s="44">
        <v>45372</v>
      </c>
      <c r="I129">
        <f t="shared" si="17"/>
        <v>0</v>
      </c>
    </row>
    <row r="130" spans="2:9" x14ac:dyDescent="0.25">
      <c r="B130" t="s">
        <v>98</v>
      </c>
      <c r="C130" t="s">
        <v>99</v>
      </c>
      <c r="E130" s="44">
        <v>45372</v>
      </c>
      <c r="F130" t="str">
        <f t="shared" si="15"/>
        <v>março</v>
      </c>
      <c r="G130">
        <f t="shared" ca="1" si="16"/>
        <v>45484</v>
      </c>
      <c r="H130" s="44">
        <f>VLOOKUP(C130,Tabela4[],4,FALSE)</f>
        <v>45373</v>
      </c>
      <c r="I130">
        <f t="shared" si="17"/>
        <v>1</v>
      </c>
    </row>
    <row r="131" spans="2:9" x14ac:dyDescent="0.25">
      <c r="B131" t="s">
        <v>177</v>
      </c>
      <c r="C131" t="s">
        <v>246</v>
      </c>
      <c r="E131" s="44">
        <v>45372</v>
      </c>
      <c r="F131" t="str">
        <f t="shared" si="15"/>
        <v>março</v>
      </c>
      <c r="G131">
        <f t="shared" ca="1" si="16"/>
        <v>45484</v>
      </c>
      <c r="H131" s="44">
        <v>45372</v>
      </c>
      <c r="I131">
        <f t="shared" si="17"/>
        <v>0</v>
      </c>
    </row>
    <row r="132" spans="2:9" x14ac:dyDescent="0.25">
      <c r="B132" t="s">
        <v>168</v>
      </c>
      <c r="C132" t="s">
        <v>247</v>
      </c>
      <c r="E132" s="44">
        <v>45372</v>
      </c>
      <c r="F132" t="str">
        <f t="shared" si="15"/>
        <v>março</v>
      </c>
      <c r="G132">
        <f t="shared" ca="1" si="16"/>
        <v>45484</v>
      </c>
      <c r="H132" s="44">
        <v>45372</v>
      </c>
      <c r="I132">
        <f t="shared" si="17"/>
        <v>0</v>
      </c>
    </row>
    <row r="133" spans="2:9" x14ac:dyDescent="0.25">
      <c r="B133" t="s">
        <v>209</v>
      </c>
      <c r="C133" t="s">
        <v>248</v>
      </c>
      <c r="E133" s="44">
        <v>45372</v>
      </c>
      <c r="F133" t="str">
        <f t="shared" si="15"/>
        <v>março</v>
      </c>
      <c r="G133">
        <f t="shared" ca="1" si="16"/>
        <v>45484</v>
      </c>
      <c r="H133" s="44">
        <f>VLOOKUP(C133,Tabela4[],4,FALSE)</f>
        <v>45372</v>
      </c>
      <c r="I133">
        <f t="shared" si="17"/>
        <v>0</v>
      </c>
    </row>
    <row r="134" spans="2:9" x14ac:dyDescent="0.25">
      <c r="B134" t="s">
        <v>135</v>
      </c>
      <c r="C134" t="s">
        <v>249</v>
      </c>
      <c r="E134" s="44">
        <v>45372</v>
      </c>
      <c r="F134" t="str">
        <f t="shared" si="15"/>
        <v>março</v>
      </c>
      <c r="G134">
        <f t="shared" ca="1" si="16"/>
        <v>45484</v>
      </c>
      <c r="H134" s="44">
        <f>VLOOKUP(C134,Tabela4[],4,FALSE)</f>
        <v>45373</v>
      </c>
      <c r="I134">
        <f t="shared" si="17"/>
        <v>1</v>
      </c>
    </row>
    <row r="135" spans="2:9" x14ac:dyDescent="0.25">
      <c r="B135" t="s">
        <v>250</v>
      </c>
      <c r="C135" t="s">
        <v>251</v>
      </c>
      <c r="E135" s="44">
        <v>45372</v>
      </c>
      <c r="F135" t="str">
        <f t="shared" si="15"/>
        <v>março</v>
      </c>
      <c r="G135">
        <f t="shared" ca="1" si="16"/>
        <v>45484</v>
      </c>
      <c r="H135" s="44">
        <v>45372</v>
      </c>
      <c r="I135">
        <f t="shared" si="17"/>
        <v>0</v>
      </c>
    </row>
    <row r="136" spans="2:9" x14ac:dyDescent="0.25">
      <c r="B136" t="s">
        <v>252</v>
      </c>
      <c r="C136" s="59" t="s">
        <v>253</v>
      </c>
      <c r="E136" s="44">
        <v>45372</v>
      </c>
      <c r="F136" t="str">
        <f t="shared" si="15"/>
        <v>março</v>
      </c>
      <c r="G136">
        <f t="shared" ca="1" si="16"/>
        <v>45484</v>
      </c>
      <c r="H136" s="44">
        <f>VLOOKUP(C136,Tabela4[],4,FALSE)</f>
        <v>45377</v>
      </c>
      <c r="I136">
        <f t="shared" si="17"/>
        <v>5</v>
      </c>
    </row>
    <row r="137" spans="2:9" x14ac:dyDescent="0.25">
      <c r="B137" t="s">
        <v>209</v>
      </c>
      <c r="C137" t="s">
        <v>254</v>
      </c>
      <c r="E137" s="44">
        <v>45373</v>
      </c>
      <c r="F137" t="str">
        <f t="shared" si="15"/>
        <v>março</v>
      </c>
      <c r="G137">
        <f t="shared" ca="1" si="16"/>
        <v>45484</v>
      </c>
      <c r="H137" s="44">
        <f>VLOOKUP(C137,Tabela4[],4,FALSE)</f>
        <v>45373</v>
      </c>
      <c r="I137">
        <f t="shared" si="17"/>
        <v>0</v>
      </c>
    </row>
    <row r="138" spans="2:9" x14ac:dyDescent="0.25">
      <c r="B138" t="s">
        <v>190</v>
      </c>
      <c r="C138" t="s">
        <v>255</v>
      </c>
      <c r="E138" s="44">
        <v>45373</v>
      </c>
      <c r="F138" t="str">
        <f t="shared" si="15"/>
        <v>março</v>
      </c>
      <c r="G138">
        <f t="shared" ca="1" si="16"/>
        <v>45484</v>
      </c>
      <c r="H138" s="44">
        <v>45373</v>
      </c>
      <c r="I138">
        <f t="shared" si="17"/>
        <v>0</v>
      </c>
    </row>
    <row r="139" spans="2:9" x14ac:dyDescent="0.25">
      <c r="B139" t="s">
        <v>168</v>
      </c>
      <c r="C139" t="s">
        <v>256</v>
      </c>
      <c r="E139" s="44">
        <v>45373</v>
      </c>
      <c r="F139" t="str">
        <f t="shared" si="15"/>
        <v>março</v>
      </c>
      <c r="G139">
        <f t="shared" ca="1" si="16"/>
        <v>45484</v>
      </c>
      <c r="H139" s="44">
        <f>VLOOKUP(C139,Tabela4[],4,FALSE)</f>
        <v>45373</v>
      </c>
      <c r="I139">
        <f t="shared" si="17"/>
        <v>0</v>
      </c>
    </row>
    <row r="140" spans="2:9" x14ac:dyDescent="0.25">
      <c r="B140" t="s">
        <v>86</v>
      </c>
      <c r="C140" t="s">
        <v>257</v>
      </c>
      <c r="E140" s="44">
        <v>45373</v>
      </c>
      <c r="F140" t="str">
        <f t="shared" si="15"/>
        <v>março</v>
      </c>
      <c r="G140">
        <f t="shared" ca="1" si="16"/>
        <v>45484</v>
      </c>
      <c r="H140" s="44">
        <v>45376</v>
      </c>
      <c r="I140">
        <f t="shared" si="17"/>
        <v>3</v>
      </c>
    </row>
    <row r="141" spans="2:9" x14ac:dyDescent="0.25">
      <c r="B141" t="s">
        <v>258</v>
      </c>
      <c r="C141" t="s">
        <v>259</v>
      </c>
      <c r="E141" s="44">
        <v>45374</v>
      </c>
      <c r="F141" t="str">
        <f t="shared" si="15"/>
        <v>março</v>
      </c>
      <c r="G141">
        <f t="shared" ca="1" si="16"/>
        <v>45484</v>
      </c>
      <c r="H141" s="44">
        <f>VLOOKUP(C141,Tabela4[],4,FALSE)</f>
        <v>45374</v>
      </c>
      <c r="I141">
        <f t="shared" si="17"/>
        <v>0</v>
      </c>
    </row>
    <row r="142" spans="2:9" x14ac:dyDescent="0.25">
      <c r="B142" t="s">
        <v>209</v>
      </c>
      <c r="C142" t="s">
        <v>210</v>
      </c>
      <c r="E142" s="44">
        <v>45374</v>
      </c>
      <c r="F142" t="str">
        <f t="shared" si="15"/>
        <v>março</v>
      </c>
      <c r="G142">
        <f t="shared" ca="1" si="16"/>
        <v>45484</v>
      </c>
      <c r="H142" s="44">
        <v>45374</v>
      </c>
      <c r="I142">
        <f t="shared" si="17"/>
        <v>0</v>
      </c>
    </row>
    <row r="143" spans="2:9" x14ac:dyDescent="0.25">
      <c r="B143" t="s">
        <v>260</v>
      </c>
      <c r="C143" t="s">
        <v>261</v>
      </c>
      <c r="E143" s="44">
        <v>45374</v>
      </c>
      <c r="F143" t="str">
        <f t="shared" si="15"/>
        <v>março</v>
      </c>
      <c r="G143">
        <f t="shared" ca="1" si="16"/>
        <v>45484</v>
      </c>
      <c r="H143" s="44">
        <v>45374</v>
      </c>
      <c r="I143">
        <f t="shared" si="17"/>
        <v>0</v>
      </c>
    </row>
    <row r="144" spans="2:9" x14ac:dyDescent="0.25">
      <c r="B144" t="s">
        <v>67</v>
      </c>
      <c r="C144" t="s">
        <v>262</v>
      </c>
      <c r="E144" s="44">
        <v>45374</v>
      </c>
      <c r="F144" t="str">
        <f t="shared" si="15"/>
        <v>março</v>
      </c>
      <c r="G144">
        <f t="shared" ca="1" si="16"/>
        <v>45484</v>
      </c>
      <c r="H144" s="44">
        <v>45374</v>
      </c>
      <c r="I144">
        <f t="shared" si="17"/>
        <v>0</v>
      </c>
    </row>
    <row r="145" spans="2:9" x14ac:dyDescent="0.25">
      <c r="B145" t="s">
        <v>182</v>
      </c>
      <c r="C145" t="s">
        <v>263</v>
      </c>
      <c r="E145" s="44">
        <v>45376</v>
      </c>
      <c r="F145" t="str">
        <f t="shared" ref="F145:F154" si="18">TEXT(DATE(YEAR(E145),MONTH(E145),DAY(E145)),"MMMM")</f>
        <v>março</v>
      </c>
      <c r="G145">
        <f t="shared" ref="G145:G154" ca="1" si="19">DATE(YEAR(TODAY()), MONTH(TODAY()),DAY(TODAY()))</f>
        <v>45484</v>
      </c>
      <c r="H145" s="44">
        <f>VLOOKUP(C145,Tabela4[],4,FALSE)</f>
        <v>45376</v>
      </c>
      <c r="I145">
        <f t="shared" ref="I145:I154" si="20">IF(H145&lt;&gt;"",H145-E145,G145-E145)</f>
        <v>0</v>
      </c>
    </row>
    <row r="146" spans="2:9" x14ac:dyDescent="0.25">
      <c r="B146" t="s">
        <v>75</v>
      </c>
      <c r="C146" t="s">
        <v>264</v>
      </c>
      <c r="E146" s="44">
        <v>45376</v>
      </c>
      <c r="F146" t="str">
        <f t="shared" si="18"/>
        <v>março</v>
      </c>
      <c r="G146">
        <f t="shared" ca="1" si="19"/>
        <v>45484</v>
      </c>
      <c r="H146" s="44">
        <v>45376</v>
      </c>
      <c r="I146">
        <f t="shared" si="20"/>
        <v>0</v>
      </c>
    </row>
    <row r="147" spans="2:9" x14ac:dyDescent="0.25">
      <c r="B147" t="s">
        <v>110</v>
      </c>
      <c r="C147" t="s">
        <v>111</v>
      </c>
      <c r="E147" s="44">
        <v>45376</v>
      </c>
      <c r="F147" t="str">
        <f t="shared" si="18"/>
        <v>março</v>
      </c>
      <c r="G147">
        <f t="shared" ca="1" si="19"/>
        <v>45484</v>
      </c>
      <c r="H147" s="44">
        <v>45381</v>
      </c>
      <c r="I147">
        <f t="shared" si="20"/>
        <v>5</v>
      </c>
    </row>
    <row r="148" spans="2:9" x14ac:dyDescent="0.25">
      <c r="B148" t="s">
        <v>119</v>
      </c>
      <c r="C148" t="s">
        <v>214</v>
      </c>
      <c r="E148" s="44">
        <v>45376</v>
      </c>
      <c r="F148" t="str">
        <f t="shared" si="18"/>
        <v>março</v>
      </c>
      <c r="G148">
        <f t="shared" ca="1" si="19"/>
        <v>45484</v>
      </c>
      <c r="H148" s="44">
        <f>VLOOKUP(C148,Tabela4[],4,FALSE)</f>
        <v>45385</v>
      </c>
      <c r="I148">
        <f t="shared" si="20"/>
        <v>9</v>
      </c>
    </row>
    <row r="149" spans="2:9" x14ac:dyDescent="0.25">
      <c r="B149" t="s">
        <v>179</v>
      </c>
      <c r="C149" t="s">
        <v>265</v>
      </c>
      <c r="E149" s="44">
        <v>45376</v>
      </c>
      <c r="F149" t="str">
        <f t="shared" si="18"/>
        <v>março</v>
      </c>
      <c r="G149">
        <f t="shared" ca="1" si="19"/>
        <v>45484</v>
      </c>
      <c r="H149" s="44">
        <f>VLOOKUP(C149,Tabela4[],4,FALSE)</f>
        <v>45376</v>
      </c>
      <c r="I149">
        <f t="shared" si="20"/>
        <v>0</v>
      </c>
    </row>
    <row r="150" spans="2:9" x14ac:dyDescent="0.25">
      <c r="B150" t="s">
        <v>113</v>
      </c>
      <c r="C150" t="s">
        <v>266</v>
      </c>
      <c r="E150" s="44">
        <v>45376</v>
      </c>
      <c r="F150" t="str">
        <f t="shared" si="18"/>
        <v>março</v>
      </c>
      <c r="G150">
        <f t="shared" ca="1" si="19"/>
        <v>45484</v>
      </c>
      <c r="H150" s="44">
        <v>45376</v>
      </c>
      <c r="I150">
        <f t="shared" si="20"/>
        <v>0</v>
      </c>
    </row>
    <row r="151" spans="2:9" x14ac:dyDescent="0.25">
      <c r="B151" t="s">
        <v>267</v>
      </c>
      <c r="C151" t="s">
        <v>268</v>
      </c>
      <c r="E151" s="44">
        <v>45376</v>
      </c>
      <c r="F151" t="str">
        <f t="shared" si="18"/>
        <v>março</v>
      </c>
      <c r="G151">
        <f t="shared" ca="1" si="19"/>
        <v>45484</v>
      </c>
      <c r="H151" s="44">
        <v>45376</v>
      </c>
      <c r="I151">
        <f t="shared" si="20"/>
        <v>0</v>
      </c>
    </row>
    <row r="152" spans="2:9" x14ac:dyDescent="0.25">
      <c r="B152" t="s">
        <v>269</v>
      </c>
      <c r="C152" t="s">
        <v>270</v>
      </c>
      <c r="E152" s="44">
        <v>45376</v>
      </c>
      <c r="F152" t="str">
        <f t="shared" si="18"/>
        <v>março</v>
      </c>
      <c r="G152">
        <f t="shared" ca="1" si="19"/>
        <v>45484</v>
      </c>
      <c r="H152" s="44">
        <v>45376</v>
      </c>
      <c r="I152">
        <f t="shared" si="20"/>
        <v>0</v>
      </c>
    </row>
    <row r="153" spans="2:9" x14ac:dyDescent="0.25">
      <c r="B153" t="s">
        <v>61</v>
      </c>
      <c r="C153" t="s">
        <v>271</v>
      </c>
      <c r="E153" s="44">
        <v>45376</v>
      </c>
      <c r="F153" t="str">
        <f t="shared" si="18"/>
        <v>março</v>
      </c>
      <c r="G153">
        <f t="shared" ca="1" si="19"/>
        <v>45484</v>
      </c>
      <c r="H153" s="44">
        <f>VLOOKUP(C153,Tabela4[],4,FALSE)</f>
        <v>45377</v>
      </c>
      <c r="I153">
        <f t="shared" si="20"/>
        <v>1</v>
      </c>
    </row>
    <row r="154" spans="2:9" x14ac:dyDescent="0.25">
      <c r="B154" t="s">
        <v>272</v>
      </c>
      <c r="C154" t="s">
        <v>273</v>
      </c>
      <c r="E154" s="44">
        <v>45376</v>
      </c>
      <c r="F154" t="str">
        <f t="shared" si="18"/>
        <v>março</v>
      </c>
      <c r="G154">
        <f t="shared" ca="1" si="19"/>
        <v>45484</v>
      </c>
      <c r="H154" s="44">
        <v>45376</v>
      </c>
      <c r="I154">
        <f t="shared" si="20"/>
        <v>0</v>
      </c>
    </row>
    <row r="155" spans="2:9" x14ac:dyDescent="0.25">
      <c r="B155" t="s">
        <v>102</v>
      </c>
      <c r="C155" t="s">
        <v>274</v>
      </c>
      <c r="E155" s="44">
        <v>45377</v>
      </c>
      <c r="F155" t="str">
        <f t="shared" ref="F155:F166" si="21">TEXT(DATE(YEAR(E155),MONTH(E155),DAY(E155)),"MMMM")</f>
        <v>março</v>
      </c>
      <c r="G155">
        <f t="shared" ref="G155:G166" ca="1" si="22">DATE(YEAR(TODAY()), MONTH(TODAY()),DAY(TODAY()))</f>
        <v>45484</v>
      </c>
      <c r="H155" s="44">
        <f>VLOOKUP(C155,Tabela4[],4,FALSE)</f>
        <v>45388</v>
      </c>
      <c r="I155">
        <f t="shared" ref="I155:I166" si="23">IF(H155&lt;&gt;"",H155-E155,G155-E155)</f>
        <v>11</v>
      </c>
    </row>
    <row r="156" spans="2:9" x14ac:dyDescent="0.25">
      <c r="B156" t="s">
        <v>190</v>
      </c>
      <c r="C156" t="s">
        <v>275</v>
      </c>
      <c r="E156" s="44">
        <v>45377</v>
      </c>
      <c r="F156" t="str">
        <f t="shared" si="21"/>
        <v>março</v>
      </c>
      <c r="G156">
        <f t="shared" ca="1" si="22"/>
        <v>45484</v>
      </c>
      <c r="H156" s="44">
        <f>VLOOKUP(C156,Tabela4[],4,FALSE)</f>
        <v>45379</v>
      </c>
      <c r="I156">
        <f t="shared" si="23"/>
        <v>2</v>
      </c>
    </row>
    <row r="157" spans="2:9" x14ac:dyDescent="0.25">
      <c r="B157" t="s">
        <v>258</v>
      </c>
      <c r="C157" t="s">
        <v>276</v>
      </c>
      <c r="E157" s="44">
        <v>45377</v>
      </c>
      <c r="F157" t="str">
        <f t="shared" si="21"/>
        <v>março</v>
      </c>
      <c r="G157">
        <f t="shared" ca="1" si="22"/>
        <v>45484</v>
      </c>
      <c r="H157" s="44">
        <f>VLOOKUP(C157,Tabela4[],4,FALSE)</f>
        <v>45378</v>
      </c>
      <c r="I157">
        <f t="shared" si="23"/>
        <v>1</v>
      </c>
    </row>
    <row r="158" spans="2:9" x14ac:dyDescent="0.25">
      <c r="B158" t="s">
        <v>209</v>
      </c>
      <c r="C158" t="s">
        <v>277</v>
      </c>
      <c r="E158" s="44">
        <v>45377</v>
      </c>
      <c r="F158" t="str">
        <f t="shared" si="21"/>
        <v>março</v>
      </c>
      <c r="G158">
        <f t="shared" ca="1" si="22"/>
        <v>45484</v>
      </c>
      <c r="H158" s="44">
        <f>VLOOKUP(C158,Tabela4[],4,FALSE)</f>
        <v>45377</v>
      </c>
      <c r="I158">
        <f t="shared" si="23"/>
        <v>0</v>
      </c>
    </row>
    <row r="159" spans="2:9" x14ac:dyDescent="0.25">
      <c r="B159" t="s">
        <v>278</v>
      </c>
      <c r="C159" t="s">
        <v>279</v>
      </c>
      <c r="E159" s="44">
        <v>45377</v>
      </c>
      <c r="F159" t="str">
        <f t="shared" si="21"/>
        <v>março</v>
      </c>
      <c r="G159">
        <f t="shared" ca="1" si="22"/>
        <v>45484</v>
      </c>
      <c r="H159" s="44">
        <f>VLOOKUP(C159,Tabela4[],4,FALSE)</f>
        <v>45377</v>
      </c>
      <c r="I159">
        <f t="shared" si="23"/>
        <v>0</v>
      </c>
    </row>
    <row r="160" spans="2:9" x14ac:dyDescent="0.25">
      <c r="B160" t="s">
        <v>61</v>
      </c>
      <c r="C160" t="s">
        <v>280</v>
      </c>
      <c r="E160" s="44">
        <v>45377</v>
      </c>
      <c r="F160" t="str">
        <f t="shared" si="21"/>
        <v>março</v>
      </c>
      <c r="G160">
        <f t="shared" ca="1" si="22"/>
        <v>45484</v>
      </c>
      <c r="H160" s="44">
        <f>VLOOKUP(C160,Tabela4[],4,FALSE)</f>
        <v>45377</v>
      </c>
      <c r="I160">
        <f t="shared" si="23"/>
        <v>0</v>
      </c>
    </row>
    <row r="161" spans="2:9" x14ac:dyDescent="0.25">
      <c r="B161" t="s">
        <v>86</v>
      </c>
      <c r="C161" t="s">
        <v>281</v>
      </c>
      <c r="E161" s="44">
        <v>45377</v>
      </c>
      <c r="F161" t="str">
        <f t="shared" si="21"/>
        <v>março</v>
      </c>
      <c r="G161">
        <f t="shared" ca="1" si="22"/>
        <v>45484</v>
      </c>
      <c r="H161" s="44">
        <v>45381</v>
      </c>
      <c r="I161">
        <f t="shared" si="23"/>
        <v>4</v>
      </c>
    </row>
    <row r="162" spans="2:9" x14ac:dyDescent="0.25">
      <c r="B162" t="s">
        <v>282</v>
      </c>
      <c r="C162" t="s">
        <v>283</v>
      </c>
      <c r="E162" s="44">
        <v>45377</v>
      </c>
      <c r="F162" t="str">
        <f t="shared" si="21"/>
        <v>março</v>
      </c>
      <c r="G162">
        <f t="shared" ca="1" si="22"/>
        <v>45484</v>
      </c>
      <c r="H162" s="44">
        <f>VLOOKUP(C162,Tabela4[],4,FALSE)</f>
        <v>45384</v>
      </c>
      <c r="I162">
        <f t="shared" si="23"/>
        <v>7</v>
      </c>
    </row>
    <row r="163" spans="2:9" x14ac:dyDescent="0.25">
      <c r="B163" t="s">
        <v>93</v>
      </c>
      <c r="C163" t="s">
        <v>284</v>
      </c>
      <c r="E163" s="44">
        <v>45378</v>
      </c>
      <c r="F163" t="str">
        <f t="shared" si="21"/>
        <v>março</v>
      </c>
      <c r="G163">
        <f t="shared" ca="1" si="22"/>
        <v>45484</v>
      </c>
      <c r="H163" s="44">
        <v>45379</v>
      </c>
      <c r="I163">
        <f t="shared" si="23"/>
        <v>1</v>
      </c>
    </row>
    <row r="164" spans="2:9" x14ac:dyDescent="0.25">
      <c r="B164" t="s">
        <v>285</v>
      </c>
      <c r="C164" t="s">
        <v>286</v>
      </c>
      <c r="E164" s="44">
        <v>45378</v>
      </c>
      <c r="F164" t="str">
        <f t="shared" si="21"/>
        <v>março</v>
      </c>
      <c r="G164">
        <f t="shared" ca="1" si="22"/>
        <v>45484</v>
      </c>
      <c r="H164" s="44">
        <f>VLOOKUP(C164,Tabela4[],4,FALSE)</f>
        <v>45378</v>
      </c>
      <c r="I164">
        <f t="shared" si="23"/>
        <v>0</v>
      </c>
    </row>
    <row r="165" spans="2:9" x14ac:dyDescent="0.25">
      <c r="B165" t="s">
        <v>88</v>
      </c>
      <c r="C165" t="s">
        <v>287</v>
      </c>
      <c r="E165" s="44">
        <v>45378</v>
      </c>
      <c r="F165" t="str">
        <f t="shared" si="21"/>
        <v>março</v>
      </c>
      <c r="G165">
        <f t="shared" ca="1" si="22"/>
        <v>45484</v>
      </c>
      <c r="H165" s="44">
        <v>45378</v>
      </c>
      <c r="I165">
        <f t="shared" si="23"/>
        <v>0</v>
      </c>
    </row>
    <row r="166" spans="2:9" x14ac:dyDescent="0.25">
      <c r="B166" t="s">
        <v>288</v>
      </c>
      <c r="C166" t="s">
        <v>289</v>
      </c>
      <c r="E166" s="44">
        <v>45378</v>
      </c>
      <c r="F166" t="str">
        <f t="shared" si="21"/>
        <v>março</v>
      </c>
      <c r="G166">
        <f t="shared" ca="1" si="22"/>
        <v>45484</v>
      </c>
      <c r="H166" s="44">
        <v>45378</v>
      </c>
      <c r="I166">
        <f t="shared" si="23"/>
        <v>0</v>
      </c>
    </row>
    <row r="167" spans="2:9" x14ac:dyDescent="0.25">
      <c r="B167" t="s">
        <v>290</v>
      </c>
      <c r="C167" t="s">
        <v>291</v>
      </c>
      <c r="E167" s="44">
        <v>45379</v>
      </c>
      <c r="F167" t="str">
        <f t="shared" ref="F167:F194" si="24">TEXT(DATE(YEAR(E167),MONTH(E167),DAY(E167)),"MMMM")</f>
        <v>março</v>
      </c>
      <c r="G167">
        <f t="shared" ref="G167:G194" ca="1" si="25">DATE(YEAR(TODAY()), MONTH(TODAY()),DAY(TODAY()))</f>
        <v>45484</v>
      </c>
      <c r="H167" s="44">
        <v>45383</v>
      </c>
      <c r="I167">
        <f t="shared" ref="I167:I194" si="26">IF(H167&lt;&gt;"",H167-E167,G167-E167)</f>
        <v>4</v>
      </c>
    </row>
    <row r="168" spans="2:9" x14ac:dyDescent="0.25">
      <c r="B168" t="s">
        <v>67</v>
      </c>
      <c r="C168" t="s">
        <v>292</v>
      </c>
      <c r="E168" s="44">
        <v>45379</v>
      </c>
      <c r="F168" t="str">
        <f t="shared" si="24"/>
        <v>março</v>
      </c>
      <c r="G168">
        <f t="shared" ca="1" si="25"/>
        <v>45484</v>
      </c>
      <c r="H168" s="44">
        <f>VLOOKUP(C168,Tabela4[],4,FALSE)</f>
        <v>45385</v>
      </c>
      <c r="I168">
        <f t="shared" si="26"/>
        <v>6</v>
      </c>
    </row>
    <row r="169" spans="2:9" x14ac:dyDescent="0.25">
      <c r="B169" t="s">
        <v>98</v>
      </c>
      <c r="C169" t="s">
        <v>293</v>
      </c>
      <c r="E169" s="44">
        <v>45379</v>
      </c>
      <c r="F169" t="str">
        <f t="shared" si="24"/>
        <v>março</v>
      </c>
      <c r="G169">
        <f t="shared" ca="1" si="25"/>
        <v>45484</v>
      </c>
      <c r="H169" s="44">
        <f>VLOOKUP(C169,Tabela4[],4,FALSE)</f>
        <v>45383</v>
      </c>
      <c r="I169">
        <f t="shared" si="26"/>
        <v>4</v>
      </c>
    </row>
    <row r="170" spans="2:9" x14ac:dyDescent="0.25">
      <c r="B170" t="s">
        <v>294</v>
      </c>
      <c r="C170" t="s">
        <v>295</v>
      </c>
      <c r="E170" s="44">
        <v>45379</v>
      </c>
      <c r="F170" t="str">
        <f t="shared" si="24"/>
        <v>março</v>
      </c>
      <c r="G170">
        <f t="shared" ca="1" si="25"/>
        <v>45484</v>
      </c>
      <c r="H170" s="44">
        <f>VLOOKUP(C170,Tabela4[],4,FALSE)</f>
        <v>45379</v>
      </c>
      <c r="I170">
        <f t="shared" si="26"/>
        <v>0</v>
      </c>
    </row>
    <row r="171" spans="2:9" x14ac:dyDescent="0.25">
      <c r="B171" t="s">
        <v>119</v>
      </c>
      <c r="C171" t="s">
        <v>296</v>
      </c>
      <c r="E171" s="44">
        <v>45379</v>
      </c>
      <c r="F171" t="str">
        <f t="shared" si="24"/>
        <v>março</v>
      </c>
      <c r="G171">
        <f t="shared" ca="1" si="25"/>
        <v>45484</v>
      </c>
      <c r="H171" s="44">
        <v>45384</v>
      </c>
      <c r="I171">
        <f t="shared" si="26"/>
        <v>5</v>
      </c>
    </row>
    <row r="172" spans="2:9" x14ac:dyDescent="0.25">
      <c r="B172" t="s">
        <v>177</v>
      </c>
      <c r="C172" t="s">
        <v>297</v>
      </c>
      <c r="E172" s="44">
        <v>45379</v>
      </c>
      <c r="F172" t="str">
        <f t="shared" si="24"/>
        <v>março</v>
      </c>
      <c r="G172">
        <f t="shared" ca="1" si="25"/>
        <v>45484</v>
      </c>
      <c r="H172" s="44" t="e">
        <f>VLOOKUP(C172,Tabela4[],4,FALSE)</f>
        <v>#N/A</v>
      </c>
      <c r="I172" t="e">
        <f t="shared" si="26"/>
        <v>#N/A</v>
      </c>
    </row>
    <row r="173" spans="2:9" x14ac:dyDescent="0.25">
      <c r="B173" t="s">
        <v>119</v>
      </c>
      <c r="C173" t="s">
        <v>298</v>
      </c>
      <c r="E173" s="44">
        <v>45377</v>
      </c>
      <c r="F173" t="str">
        <f t="shared" si="24"/>
        <v>março</v>
      </c>
      <c r="G173">
        <f t="shared" ca="1" si="25"/>
        <v>45484</v>
      </c>
      <c r="H173" s="44">
        <f>VLOOKUP(C173,Tabela4[],4,FALSE)</f>
        <v>45377</v>
      </c>
      <c r="I173">
        <f t="shared" si="26"/>
        <v>0</v>
      </c>
    </row>
    <row r="174" spans="2:9" x14ac:dyDescent="0.25">
      <c r="B174" t="s">
        <v>63</v>
      </c>
      <c r="C174" t="s">
        <v>299</v>
      </c>
      <c r="E174" s="44">
        <v>45381</v>
      </c>
      <c r="F174" t="str">
        <f t="shared" si="24"/>
        <v>março</v>
      </c>
      <c r="G174">
        <f t="shared" ca="1" si="25"/>
        <v>45484</v>
      </c>
      <c r="H174" s="44">
        <v>45381</v>
      </c>
      <c r="I174">
        <f t="shared" si="26"/>
        <v>0</v>
      </c>
    </row>
    <row r="175" spans="2:9" x14ac:dyDescent="0.25">
      <c r="B175" t="s">
        <v>88</v>
      </c>
      <c r="C175" t="s">
        <v>300</v>
      </c>
      <c r="E175" s="44">
        <v>45381</v>
      </c>
      <c r="F175" t="str">
        <f t="shared" si="24"/>
        <v>março</v>
      </c>
      <c r="G175">
        <f t="shared" ca="1" si="25"/>
        <v>45484</v>
      </c>
      <c r="H175" s="44">
        <v>45381</v>
      </c>
      <c r="I175">
        <f t="shared" si="26"/>
        <v>0</v>
      </c>
    </row>
    <row r="176" spans="2:9" x14ac:dyDescent="0.25">
      <c r="B176" t="s">
        <v>65</v>
      </c>
      <c r="C176" t="s">
        <v>301</v>
      </c>
      <c r="E176" s="44">
        <v>45381</v>
      </c>
      <c r="F176" t="str">
        <f t="shared" si="24"/>
        <v>março</v>
      </c>
      <c r="G176">
        <f t="shared" ca="1" si="25"/>
        <v>45484</v>
      </c>
      <c r="H176" s="44">
        <v>45381</v>
      </c>
      <c r="I176">
        <f t="shared" si="26"/>
        <v>0</v>
      </c>
    </row>
    <row r="177" spans="2:10" x14ac:dyDescent="0.25">
      <c r="B177" t="s">
        <v>117</v>
      </c>
      <c r="C177" t="s">
        <v>302</v>
      </c>
      <c r="E177" s="44">
        <v>45381</v>
      </c>
      <c r="F177" t="str">
        <f t="shared" si="24"/>
        <v>março</v>
      </c>
      <c r="G177">
        <f t="shared" ca="1" si="25"/>
        <v>45484</v>
      </c>
      <c r="H177" s="44">
        <f>VLOOKUP(C177,Tabela4[],4,FALSE)</f>
        <v>45381</v>
      </c>
      <c r="I177">
        <f t="shared" si="26"/>
        <v>0</v>
      </c>
    </row>
    <row r="178" spans="2:10" x14ac:dyDescent="0.25">
      <c r="B178" t="s">
        <v>61</v>
      </c>
      <c r="C178" t="s">
        <v>303</v>
      </c>
      <c r="E178" s="44">
        <v>45381</v>
      </c>
      <c r="F178" t="str">
        <f t="shared" si="24"/>
        <v>março</v>
      </c>
      <c r="G178">
        <f t="shared" ca="1" si="25"/>
        <v>45484</v>
      </c>
      <c r="H178" s="44">
        <f>VLOOKUP(C178,Tabela4[],4,FALSE)</f>
        <v>45381</v>
      </c>
      <c r="I178">
        <f t="shared" si="26"/>
        <v>0</v>
      </c>
    </row>
    <row r="179" spans="2:10" x14ac:dyDescent="0.25">
      <c r="B179" t="s">
        <v>166</v>
      </c>
      <c r="C179" t="s">
        <v>304</v>
      </c>
      <c r="E179" s="44">
        <v>45381</v>
      </c>
      <c r="F179" t="str">
        <f t="shared" si="24"/>
        <v>março</v>
      </c>
      <c r="G179">
        <f t="shared" ca="1" si="25"/>
        <v>45484</v>
      </c>
      <c r="H179" s="44" t="e">
        <f>VLOOKUP(C179,Tabela4[],4,FALSE)</f>
        <v>#N/A</v>
      </c>
      <c r="I179" t="e">
        <f t="shared" si="26"/>
        <v>#N/A</v>
      </c>
    </row>
    <row r="180" spans="2:10" x14ac:dyDescent="0.25">
      <c r="B180" t="s">
        <v>290</v>
      </c>
      <c r="C180" t="s">
        <v>291</v>
      </c>
      <c r="E180" s="44">
        <v>45383</v>
      </c>
      <c r="F180" t="str">
        <f t="shared" si="24"/>
        <v>abril</v>
      </c>
      <c r="G180">
        <f t="shared" ca="1" si="25"/>
        <v>45484</v>
      </c>
      <c r="H180" s="44">
        <v>45383</v>
      </c>
      <c r="I180">
        <f t="shared" si="26"/>
        <v>0</v>
      </c>
    </row>
    <row r="181" spans="2:10" x14ac:dyDescent="0.25">
      <c r="B181" t="s">
        <v>98</v>
      </c>
      <c r="C181" t="s">
        <v>305</v>
      </c>
      <c r="E181" s="44">
        <v>45383</v>
      </c>
      <c r="F181" t="str">
        <f t="shared" si="24"/>
        <v>abril</v>
      </c>
      <c r="G181">
        <f t="shared" ca="1" si="25"/>
        <v>45484</v>
      </c>
      <c r="H181" s="44">
        <f>VLOOKUP(C181,Tabela4[],4,FALSE)</f>
        <v>45385</v>
      </c>
      <c r="I181">
        <f t="shared" si="26"/>
        <v>2</v>
      </c>
    </row>
    <row r="182" spans="2:10" x14ac:dyDescent="0.25">
      <c r="B182" t="s">
        <v>80</v>
      </c>
      <c r="C182" t="s">
        <v>306</v>
      </c>
      <c r="E182" s="44">
        <v>45383</v>
      </c>
      <c r="F182" t="str">
        <f t="shared" si="24"/>
        <v>abril</v>
      </c>
      <c r="G182">
        <f t="shared" ca="1" si="25"/>
        <v>45484</v>
      </c>
      <c r="H182" s="44">
        <f>VLOOKUP(C182,Tabela4[],4,FALSE)</f>
        <v>45387</v>
      </c>
      <c r="I182">
        <f t="shared" si="26"/>
        <v>4</v>
      </c>
    </row>
    <row r="183" spans="2:10" x14ac:dyDescent="0.25">
      <c r="B183" t="s">
        <v>166</v>
      </c>
      <c r="C183" t="s">
        <v>307</v>
      </c>
      <c r="E183" s="44">
        <v>45383</v>
      </c>
      <c r="F183" t="str">
        <f t="shared" si="24"/>
        <v>abril</v>
      </c>
      <c r="G183">
        <f t="shared" ca="1" si="25"/>
        <v>45484</v>
      </c>
      <c r="H183" s="44">
        <f>VLOOKUP(C183,Tabela4[],4,FALSE)</f>
        <v>45385</v>
      </c>
      <c r="I183">
        <f t="shared" si="26"/>
        <v>2</v>
      </c>
    </row>
    <row r="184" spans="2:10" x14ac:dyDescent="0.25">
      <c r="B184" t="s">
        <v>117</v>
      </c>
      <c r="C184" t="s">
        <v>308</v>
      </c>
      <c r="E184" s="44">
        <v>45384</v>
      </c>
      <c r="F184" t="str">
        <f t="shared" si="24"/>
        <v>abril</v>
      </c>
      <c r="G184">
        <f t="shared" ca="1" si="25"/>
        <v>45484</v>
      </c>
      <c r="H184" s="44">
        <f>VLOOKUP(C184,Tabela4[],4,FALSE)</f>
        <v>45385</v>
      </c>
      <c r="I184">
        <f t="shared" si="26"/>
        <v>1</v>
      </c>
    </row>
    <row r="185" spans="2:10" x14ac:dyDescent="0.25">
      <c r="B185" t="s">
        <v>192</v>
      </c>
      <c r="C185" t="s">
        <v>309</v>
      </c>
      <c r="E185" s="44">
        <v>45384</v>
      </c>
      <c r="F185" t="str">
        <f t="shared" si="24"/>
        <v>abril</v>
      </c>
      <c r="G185">
        <f t="shared" ca="1" si="25"/>
        <v>45484</v>
      </c>
      <c r="H185" s="44">
        <f>VLOOKUP(C185,Tabela4[],4,FALSE)</f>
        <v>45385</v>
      </c>
      <c r="I185">
        <f t="shared" si="26"/>
        <v>1</v>
      </c>
    </row>
    <row r="186" spans="2:10" x14ac:dyDescent="0.25">
      <c r="B186" t="s">
        <v>86</v>
      </c>
      <c r="C186" t="s">
        <v>211</v>
      </c>
      <c r="E186" s="44">
        <v>45384</v>
      </c>
      <c r="F186" t="str">
        <f t="shared" si="24"/>
        <v>abril</v>
      </c>
      <c r="G186">
        <f t="shared" ca="1" si="25"/>
        <v>45484</v>
      </c>
      <c r="H186" s="44">
        <v>45386</v>
      </c>
      <c r="I186">
        <f t="shared" si="26"/>
        <v>2</v>
      </c>
    </row>
    <row r="187" spans="2:10" x14ac:dyDescent="0.25">
      <c r="B187" t="s">
        <v>201</v>
      </c>
      <c r="C187" t="s">
        <v>310</v>
      </c>
      <c r="E187" s="44">
        <v>45386</v>
      </c>
      <c r="F187" t="str">
        <f t="shared" si="24"/>
        <v>abril</v>
      </c>
      <c r="G187">
        <f t="shared" ca="1" si="25"/>
        <v>45484</v>
      </c>
      <c r="H187" s="44">
        <f>VLOOKUP(C187,Tabela4[],4,FALSE)</f>
        <v>45388</v>
      </c>
      <c r="I187">
        <f t="shared" si="26"/>
        <v>2</v>
      </c>
    </row>
    <row r="188" spans="2:10" x14ac:dyDescent="0.25">
      <c r="B188" t="s">
        <v>311</v>
      </c>
      <c r="C188" t="s">
        <v>312</v>
      </c>
      <c r="E188" s="44">
        <v>45386</v>
      </c>
      <c r="F188" t="str">
        <f t="shared" si="24"/>
        <v>abril</v>
      </c>
      <c r="G188">
        <f t="shared" ca="1" si="25"/>
        <v>45484</v>
      </c>
      <c r="H188" s="44">
        <f>VLOOKUP(C188,Tabela4[],4,FALSE)</f>
        <v>45386</v>
      </c>
      <c r="I188">
        <f t="shared" si="26"/>
        <v>0</v>
      </c>
    </row>
    <row r="189" spans="2:10" x14ac:dyDescent="0.25">
      <c r="B189" t="s">
        <v>98</v>
      </c>
      <c r="C189" t="s">
        <v>212</v>
      </c>
      <c r="E189" s="44">
        <v>45386</v>
      </c>
      <c r="F189" t="str">
        <f t="shared" si="24"/>
        <v>abril</v>
      </c>
      <c r="G189">
        <f t="shared" ca="1" si="25"/>
        <v>45484</v>
      </c>
      <c r="H189" s="44">
        <f>VLOOKUP(C189,Tabela4[],4,FALSE)</f>
        <v>45394</v>
      </c>
      <c r="I189">
        <f t="shared" si="26"/>
        <v>8</v>
      </c>
    </row>
    <row r="190" spans="2:10" x14ac:dyDescent="0.25">
      <c r="B190" t="s">
        <v>135</v>
      </c>
      <c r="C190" t="s">
        <v>313</v>
      </c>
      <c r="E190" s="44">
        <v>45386</v>
      </c>
      <c r="F190" t="str">
        <f t="shared" si="24"/>
        <v>abril</v>
      </c>
      <c r="G190">
        <f t="shared" ca="1" si="25"/>
        <v>45484</v>
      </c>
      <c r="H190" s="44">
        <f>VLOOKUP(C190,Tabela4[],4,FALSE)</f>
        <v>45387</v>
      </c>
      <c r="I190">
        <f t="shared" si="26"/>
        <v>1</v>
      </c>
    </row>
    <row r="191" spans="2:10" x14ac:dyDescent="0.25">
      <c r="B191" t="s">
        <v>139</v>
      </c>
      <c r="C191" t="s">
        <v>314</v>
      </c>
      <c r="E191" s="44">
        <v>45386</v>
      </c>
      <c r="F191" t="str">
        <f t="shared" si="24"/>
        <v>abril</v>
      </c>
      <c r="G191">
        <f t="shared" ca="1" si="25"/>
        <v>45484</v>
      </c>
      <c r="H191" s="44">
        <f>VLOOKUP(C191,Tabela4[],4,FALSE)</f>
        <v>45387</v>
      </c>
      <c r="I191">
        <f t="shared" si="26"/>
        <v>1</v>
      </c>
    </row>
    <row r="192" spans="2:10" x14ac:dyDescent="0.25">
      <c r="B192" t="s">
        <v>117</v>
      </c>
      <c r="C192" t="s">
        <v>315</v>
      </c>
      <c r="E192" s="44">
        <v>45386</v>
      </c>
      <c r="F192" t="str">
        <f t="shared" si="24"/>
        <v>abril</v>
      </c>
      <c r="G192">
        <f t="shared" ca="1" si="25"/>
        <v>45484</v>
      </c>
      <c r="H192" s="44">
        <f>VLOOKUP(C192,Tabela4[],4,FALSE)</f>
        <v>45412</v>
      </c>
      <c r="I192">
        <f t="shared" si="26"/>
        <v>26</v>
      </c>
      <c r="J192" t="s">
        <v>316</v>
      </c>
    </row>
    <row r="193" spans="2:16" x14ac:dyDescent="0.25">
      <c r="B193" t="s">
        <v>179</v>
      </c>
      <c r="C193" t="s">
        <v>317</v>
      </c>
      <c r="E193" s="44">
        <v>45387</v>
      </c>
      <c r="F193" t="str">
        <f t="shared" si="24"/>
        <v>abril</v>
      </c>
      <c r="G193">
        <f t="shared" ca="1" si="25"/>
        <v>45484</v>
      </c>
      <c r="H193" s="44">
        <f>VLOOKUP(C193,Tabela4[],4,FALSE)</f>
        <v>45387</v>
      </c>
      <c r="I193">
        <f t="shared" si="26"/>
        <v>0</v>
      </c>
    </row>
    <row r="194" spans="2:16" x14ac:dyDescent="0.25">
      <c r="B194" t="s">
        <v>61</v>
      </c>
      <c r="C194" t="s">
        <v>318</v>
      </c>
      <c r="E194" s="44">
        <v>45385</v>
      </c>
      <c r="F194" t="str">
        <f t="shared" si="24"/>
        <v>abril</v>
      </c>
      <c r="G194">
        <f t="shared" ca="1" si="25"/>
        <v>45484</v>
      </c>
      <c r="H194" s="44">
        <f>VLOOKUP(C194,Tabela4[],4,FALSE)</f>
        <v>45412</v>
      </c>
      <c r="I194">
        <f t="shared" si="26"/>
        <v>27</v>
      </c>
      <c r="J194" t="s">
        <v>316</v>
      </c>
    </row>
    <row r="195" spans="2:16" x14ac:dyDescent="0.25">
      <c r="B195" t="s">
        <v>98</v>
      </c>
      <c r="C195" t="s">
        <v>305</v>
      </c>
      <c r="E195" s="44">
        <v>45385</v>
      </c>
      <c r="F195" t="str">
        <f t="shared" ref="F195:F208" si="27">TEXT(DATE(YEAR(E195),MONTH(E195),DAY(E195)),"MMMM")</f>
        <v>abril</v>
      </c>
      <c r="G195">
        <f t="shared" ref="G195:G208" ca="1" si="28">DATE(YEAR(TODAY()), MONTH(TODAY()),DAY(TODAY()))</f>
        <v>45484</v>
      </c>
      <c r="H195" s="44">
        <f>VLOOKUP(C195,Tabela4[],4,FALSE)</f>
        <v>45385</v>
      </c>
      <c r="I195">
        <f t="shared" ref="I195:I208" si="29">IF(H195&lt;&gt;"",H195-E195,G195-E195)</f>
        <v>0</v>
      </c>
    </row>
    <row r="196" spans="2:16" x14ac:dyDescent="0.25">
      <c r="B196" t="s">
        <v>319</v>
      </c>
      <c r="C196" t="s">
        <v>320</v>
      </c>
      <c r="E196" s="44">
        <v>45387</v>
      </c>
      <c r="F196" t="str">
        <f t="shared" si="27"/>
        <v>abril</v>
      </c>
      <c r="G196">
        <f t="shared" ca="1" si="28"/>
        <v>45484</v>
      </c>
      <c r="H196" s="44">
        <f>VLOOKUP(C196,Tabela4[],4,FALSE)</f>
        <v>45387</v>
      </c>
      <c r="I196">
        <f t="shared" si="29"/>
        <v>0</v>
      </c>
    </row>
    <row r="197" spans="2:16" x14ac:dyDescent="0.25">
      <c r="B197" t="s">
        <v>321</v>
      </c>
      <c r="C197" t="s">
        <v>322</v>
      </c>
      <c r="E197" s="44">
        <v>45387</v>
      </c>
      <c r="F197" t="str">
        <f t="shared" si="27"/>
        <v>abril</v>
      </c>
      <c r="G197">
        <f t="shared" ca="1" si="28"/>
        <v>45484</v>
      </c>
      <c r="H197" s="44">
        <f>VLOOKUP(C197,Tabela4[],4,FALSE)</f>
        <v>45392</v>
      </c>
      <c r="I197">
        <f t="shared" si="29"/>
        <v>5</v>
      </c>
    </row>
    <row r="198" spans="2:16" x14ac:dyDescent="0.25">
      <c r="B198" t="s">
        <v>98</v>
      </c>
      <c r="C198" t="s">
        <v>305</v>
      </c>
      <c r="E198" s="44">
        <v>45385</v>
      </c>
      <c r="F198" t="str">
        <f t="shared" si="27"/>
        <v>abril</v>
      </c>
      <c r="G198">
        <f t="shared" ca="1" si="28"/>
        <v>45484</v>
      </c>
      <c r="H198" s="44">
        <f>VLOOKUP(C198,Tabela4[],4,FALSE)</f>
        <v>45385</v>
      </c>
      <c r="I198">
        <f t="shared" si="29"/>
        <v>0</v>
      </c>
      <c r="P198">
        <f>9.55+99.92+11.13+9.78</f>
        <v>130.38</v>
      </c>
    </row>
    <row r="199" spans="2:16" x14ac:dyDescent="0.25">
      <c r="B199" t="s">
        <v>323</v>
      </c>
      <c r="C199" t="s">
        <v>324</v>
      </c>
      <c r="E199" s="44">
        <v>45388</v>
      </c>
      <c r="F199" t="str">
        <f t="shared" si="27"/>
        <v>abril</v>
      </c>
      <c r="G199">
        <f t="shared" ca="1" si="28"/>
        <v>45484</v>
      </c>
      <c r="H199" s="44">
        <f>VLOOKUP(C199,Tabela4[],4,FALSE)</f>
        <v>45388</v>
      </c>
      <c r="I199">
        <f t="shared" si="29"/>
        <v>0</v>
      </c>
    </row>
    <row r="200" spans="2:16" x14ac:dyDescent="0.25">
      <c r="B200" t="s">
        <v>311</v>
      </c>
      <c r="C200" t="s">
        <v>325</v>
      </c>
      <c r="E200" s="44">
        <v>45388</v>
      </c>
      <c r="F200" t="str">
        <f t="shared" si="27"/>
        <v>abril</v>
      </c>
      <c r="G200">
        <f t="shared" ca="1" si="28"/>
        <v>45484</v>
      </c>
      <c r="H200" s="44">
        <f>VLOOKUP(C200,Tabela4[],4,FALSE)</f>
        <v>45388</v>
      </c>
      <c r="I200">
        <f t="shared" si="29"/>
        <v>0</v>
      </c>
    </row>
    <row r="201" spans="2:16" x14ac:dyDescent="0.25">
      <c r="B201" t="s">
        <v>82</v>
      </c>
      <c r="C201" t="s">
        <v>326</v>
      </c>
      <c r="E201" s="44">
        <v>45387</v>
      </c>
      <c r="F201" t="str">
        <f t="shared" si="27"/>
        <v>abril</v>
      </c>
      <c r="G201">
        <f t="shared" ca="1" si="28"/>
        <v>45484</v>
      </c>
      <c r="H201" s="44">
        <v>45401</v>
      </c>
      <c r="I201">
        <f t="shared" si="29"/>
        <v>14</v>
      </c>
    </row>
    <row r="202" spans="2:16" x14ac:dyDescent="0.25">
      <c r="B202" t="s">
        <v>67</v>
      </c>
      <c r="C202" t="s">
        <v>327</v>
      </c>
      <c r="E202" s="44">
        <v>45390</v>
      </c>
      <c r="F202" t="str">
        <f t="shared" si="27"/>
        <v>abril</v>
      </c>
      <c r="G202">
        <f t="shared" ca="1" si="28"/>
        <v>45484</v>
      </c>
      <c r="H202" s="44">
        <f>VLOOKUP(C202,Tabela4[],4,FALSE)</f>
        <v>45390</v>
      </c>
      <c r="I202">
        <f t="shared" si="29"/>
        <v>0</v>
      </c>
    </row>
    <row r="203" spans="2:16" x14ac:dyDescent="0.25">
      <c r="B203" t="s">
        <v>67</v>
      </c>
      <c r="C203" t="s">
        <v>328</v>
      </c>
      <c r="E203" s="44">
        <v>45390</v>
      </c>
      <c r="F203" t="str">
        <f t="shared" si="27"/>
        <v>abril</v>
      </c>
      <c r="G203">
        <f t="shared" ca="1" si="28"/>
        <v>45484</v>
      </c>
      <c r="H203" s="44">
        <f>VLOOKUP(C203,Tabela4[],4,FALSE)</f>
        <v>45393</v>
      </c>
      <c r="I203">
        <f t="shared" si="29"/>
        <v>3</v>
      </c>
    </row>
    <row r="204" spans="2:16" x14ac:dyDescent="0.25">
      <c r="B204" t="s">
        <v>168</v>
      </c>
      <c r="C204" t="s">
        <v>329</v>
      </c>
      <c r="E204" s="44">
        <v>45390</v>
      </c>
      <c r="F204" t="str">
        <f t="shared" si="27"/>
        <v>abril</v>
      </c>
      <c r="G204">
        <f t="shared" ca="1" si="28"/>
        <v>45484</v>
      </c>
      <c r="H204" s="44">
        <v>45390</v>
      </c>
      <c r="I204">
        <f t="shared" si="29"/>
        <v>0</v>
      </c>
    </row>
    <row r="205" spans="2:16" x14ac:dyDescent="0.25">
      <c r="B205" t="s">
        <v>282</v>
      </c>
      <c r="C205" t="s">
        <v>330</v>
      </c>
      <c r="E205" s="44">
        <v>45390</v>
      </c>
      <c r="F205" t="str">
        <f t="shared" si="27"/>
        <v>abril</v>
      </c>
      <c r="G205">
        <f t="shared" ca="1" si="28"/>
        <v>45484</v>
      </c>
      <c r="H205" s="44">
        <v>45391</v>
      </c>
      <c r="I205">
        <f t="shared" si="29"/>
        <v>1</v>
      </c>
    </row>
    <row r="206" spans="2:16" x14ac:dyDescent="0.25">
      <c r="B206" t="s">
        <v>172</v>
      </c>
      <c r="C206" t="s">
        <v>331</v>
      </c>
      <c r="E206" s="44">
        <v>45390</v>
      </c>
      <c r="F206" t="str">
        <f t="shared" si="27"/>
        <v>abril</v>
      </c>
      <c r="G206">
        <f t="shared" ca="1" si="28"/>
        <v>45484</v>
      </c>
      <c r="H206" s="44">
        <f>VLOOKUP(C206,Tabela4[],4,FALSE)</f>
        <v>45390</v>
      </c>
      <c r="I206">
        <f t="shared" si="29"/>
        <v>0</v>
      </c>
    </row>
    <row r="207" spans="2:16" x14ac:dyDescent="0.25">
      <c r="B207" t="s">
        <v>102</v>
      </c>
      <c r="C207" t="s">
        <v>332</v>
      </c>
      <c r="E207" s="44">
        <v>45390</v>
      </c>
      <c r="F207" t="str">
        <f t="shared" si="27"/>
        <v>abril</v>
      </c>
      <c r="G207">
        <f t="shared" ca="1" si="28"/>
        <v>45484</v>
      </c>
      <c r="H207" s="44">
        <f>VLOOKUP(C207,Tabela4[],4,FALSE)</f>
        <v>45390</v>
      </c>
      <c r="I207">
        <f t="shared" si="29"/>
        <v>0</v>
      </c>
    </row>
    <row r="208" spans="2:16" x14ac:dyDescent="0.25">
      <c r="B208" t="s">
        <v>102</v>
      </c>
      <c r="C208" t="s">
        <v>332</v>
      </c>
      <c r="E208" s="44">
        <v>45390</v>
      </c>
      <c r="F208" t="str">
        <f t="shared" si="27"/>
        <v>abril</v>
      </c>
      <c r="G208">
        <f t="shared" ca="1" si="28"/>
        <v>45484</v>
      </c>
      <c r="H208" s="44">
        <f>VLOOKUP(C208,Tabela4[],4,FALSE)</f>
        <v>45390</v>
      </c>
      <c r="I208">
        <f t="shared" si="29"/>
        <v>0</v>
      </c>
    </row>
    <row r="209" spans="2:9" x14ac:dyDescent="0.25">
      <c r="B209" t="s">
        <v>91</v>
      </c>
      <c r="C209" t="s">
        <v>333</v>
      </c>
      <c r="E209" s="44">
        <v>45390</v>
      </c>
      <c r="F209" t="str">
        <f t="shared" ref="F209:F232" si="30">TEXT(DATE(YEAR(E209),MONTH(E209),DAY(E209)),"MMMM")</f>
        <v>abril</v>
      </c>
      <c r="G209">
        <f t="shared" ref="G209:G232" ca="1" si="31">DATE(YEAR(TODAY()), MONTH(TODAY()),DAY(TODAY()))</f>
        <v>45484</v>
      </c>
      <c r="H209" s="44">
        <f>VLOOKUP(C209,Tabela4[],4,FALSE)</f>
        <v>45393</v>
      </c>
      <c r="I209">
        <f t="shared" ref="I209:I232" si="32">IF(H209&lt;&gt;"",H209-E209,G209-E209)</f>
        <v>3</v>
      </c>
    </row>
    <row r="210" spans="2:9" x14ac:dyDescent="0.25">
      <c r="B210" t="s">
        <v>190</v>
      </c>
      <c r="C210" t="s">
        <v>334</v>
      </c>
      <c r="E210" s="44">
        <v>45388</v>
      </c>
      <c r="F210" t="str">
        <f t="shared" si="30"/>
        <v>abril</v>
      </c>
      <c r="G210">
        <f t="shared" ca="1" si="31"/>
        <v>45484</v>
      </c>
      <c r="H210" s="44">
        <f>VLOOKUP(C210,Tabela4[],4,FALSE)</f>
        <v>45393</v>
      </c>
      <c r="I210">
        <f t="shared" si="32"/>
        <v>5</v>
      </c>
    </row>
    <row r="211" spans="2:9" x14ac:dyDescent="0.25">
      <c r="B211" t="s">
        <v>177</v>
      </c>
      <c r="C211" t="s">
        <v>335</v>
      </c>
      <c r="E211" s="44">
        <v>45391</v>
      </c>
      <c r="F211" t="str">
        <f t="shared" si="30"/>
        <v>abril</v>
      </c>
      <c r="G211">
        <f t="shared" ca="1" si="31"/>
        <v>45484</v>
      </c>
      <c r="H211" s="44">
        <f>VLOOKUP(C211,Tabela4[],4,FALSE)</f>
        <v>45393</v>
      </c>
      <c r="I211">
        <f t="shared" si="32"/>
        <v>2</v>
      </c>
    </row>
    <row r="212" spans="2:9" x14ac:dyDescent="0.25">
      <c r="B212" t="s">
        <v>67</v>
      </c>
      <c r="C212" t="s">
        <v>336</v>
      </c>
      <c r="E212" s="44">
        <v>45392</v>
      </c>
      <c r="F212" t="str">
        <f t="shared" si="30"/>
        <v>abril</v>
      </c>
      <c r="G212">
        <f t="shared" ca="1" si="31"/>
        <v>45484</v>
      </c>
      <c r="H212" s="44">
        <v>45394</v>
      </c>
      <c r="I212">
        <f t="shared" si="32"/>
        <v>2</v>
      </c>
    </row>
    <row r="213" spans="2:9" x14ac:dyDescent="0.25">
      <c r="B213" t="s">
        <v>67</v>
      </c>
      <c r="C213" t="s">
        <v>337</v>
      </c>
      <c r="E213" s="44">
        <v>45392</v>
      </c>
      <c r="F213" t="str">
        <f t="shared" si="30"/>
        <v>abril</v>
      </c>
      <c r="G213">
        <f t="shared" ca="1" si="31"/>
        <v>45484</v>
      </c>
      <c r="H213" s="44">
        <v>45392</v>
      </c>
      <c r="I213">
        <f t="shared" si="32"/>
        <v>0</v>
      </c>
    </row>
    <row r="214" spans="2:9" x14ac:dyDescent="0.25">
      <c r="B214" t="s">
        <v>119</v>
      </c>
      <c r="C214" t="s">
        <v>120</v>
      </c>
      <c r="E214" s="44">
        <v>45392</v>
      </c>
      <c r="F214" t="str">
        <f t="shared" si="30"/>
        <v>abril</v>
      </c>
      <c r="G214">
        <f t="shared" ca="1" si="31"/>
        <v>45484</v>
      </c>
      <c r="H214" s="44">
        <v>45392</v>
      </c>
      <c r="I214">
        <f t="shared" si="32"/>
        <v>0</v>
      </c>
    </row>
    <row r="215" spans="2:9" x14ac:dyDescent="0.25">
      <c r="B215" t="s">
        <v>113</v>
      </c>
      <c r="C215" t="s">
        <v>338</v>
      </c>
      <c r="E215" s="44">
        <v>45392</v>
      </c>
      <c r="F215" t="str">
        <f t="shared" si="30"/>
        <v>abril</v>
      </c>
      <c r="G215">
        <f t="shared" ca="1" si="31"/>
        <v>45484</v>
      </c>
      <c r="H215" s="44">
        <v>45392</v>
      </c>
      <c r="I215">
        <f t="shared" si="32"/>
        <v>0</v>
      </c>
    </row>
    <row r="216" spans="2:9" x14ac:dyDescent="0.25">
      <c r="B216" t="s">
        <v>88</v>
      </c>
      <c r="C216" t="s">
        <v>339</v>
      </c>
      <c r="E216" s="44">
        <v>45393</v>
      </c>
      <c r="F216" t="str">
        <f t="shared" si="30"/>
        <v>abril</v>
      </c>
      <c r="G216">
        <f t="shared" ca="1" si="31"/>
        <v>45484</v>
      </c>
      <c r="H216" s="44">
        <f>VLOOKUP(C216,Tabela4[],4,FALSE)</f>
        <v>45394</v>
      </c>
      <c r="I216">
        <f t="shared" si="32"/>
        <v>1</v>
      </c>
    </row>
    <row r="217" spans="2:9" x14ac:dyDescent="0.25">
      <c r="B217" t="s">
        <v>340</v>
      </c>
      <c r="C217" t="s">
        <v>341</v>
      </c>
      <c r="E217" s="44">
        <v>45393</v>
      </c>
      <c r="F217" t="str">
        <f t="shared" si="30"/>
        <v>abril</v>
      </c>
      <c r="G217">
        <f t="shared" ca="1" si="31"/>
        <v>45484</v>
      </c>
      <c r="H217" s="44">
        <f>VLOOKUP(C217,Tabela4[],4,FALSE)</f>
        <v>45398</v>
      </c>
      <c r="I217">
        <f t="shared" si="32"/>
        <v>5</v>
      </c>
    </row>
    <row r="218" spans="2:9" x14ac:dyDescent="0.25">
      <c r="B218" t="s">
        <v>86</v>
      </c>
      <c r="C218" t="s">
        <v>211</v>
      </c>
      <c r="E218" s="44">
        <v>45392</v>
      </c>
      <c r="F218" t="str">
        <f t="shared" si="30"/>
        <v>abril</v>
      </c>
      <c r="G218">
        <f t="shared" ca="1" si="31"/>
        <v>45484</v>
      </c>
      <c r="H218" s="44">
        <v>45393</v>
      </c>
      <c r="I218">
        <f t="shared" si="32"/>
        <v>1</v>
      </c>
    </row>
    <row r="219" spans="2:9" x14ac:dyDescent="0.25">
      <c r="B219" t="s">
        <v>82</v>
      </c>
      <c r="C219" t="s">
        <v>342</v>
      </c>
      <c r="E219" s="44">
        <v>45392</v>
      </c>
      <c r="F219" t="str">
        <f t="shared" si="30"/>
        <v>abril</v>
      </c>
      <c r="G219">
        <f t="shared" ca="1" si="31"/>
        <v>45484</v>
      </c>
      <c r="H219" s="44">
        <f>VLOOKUP(C219,Tabela4[],4,FALSE)</f>
        <v>45407</v>
      </c>
      <c r="I219">
        <f t="shared" si="32"/>
        <v>15</v>
      </c>
    </row>
    <row r="220" spans="2:9" x14ac:dyDescent="0.25">
      <c r="B220" t="s">
        <v>61</v>
      </c>
      <c r="C220" t="s">
        <v>343</v>
      </c>
      <c r="E220" s="44">
        <v>45393</v>
      </c>
      <c r="F220" t="str">
        <f t="shared" si="30"/>
        <v>abril</v>
      </c>
      <c r="G220">
        <f t="shared" ca="1" si="31"/>
        <v>45484</v>
      </c>
      <c r="H220" s="44">
        <f>VLOOKUP(C220,Tabela4[],4,FALSE)</f>
        <v>45393</v>
      </c>
      <c r="I220">
        <f t="shared" si="32"/>
        <v>0</v>
      </c>
    </row>
    <row r="221" spans="2:9" x14ac:dyDescent="0.25">
      <c r="B221" t="s">
        <v>236</v>
      </c>
      <c r="C221" t="s">
        <v>237</v>
      </c>
      <c r="E221" s="44">
        <v>45393</v>
      </c>
      <c r="F221" t="str">
        <f t="shared" si="30"/>
        <v>abril</v>
      </c>
      <c r="G221">
        <f t="shared" ca="1" si="31"/>
        <v>45484</v>
      </c>
      <c r="H221" s="44">
        <v>45393</v>
      </c>
      <c r="I221">
        <f t="shared" si="32"/>
        <v>0</v>
      </c>
    </row>
    <row r="222" spans="2:9" x14ac:dyDescent="0.25">
      <c r="B222" t="s">
        <v>86</v>
      </c>
      <c r="C222" t="s">
        <v>344</v>
      </c>
      <c r="E222" s="44">
        <v>45393</v>
      </c>
      <c r="F222" t="str">
        <f t="shared" si="30"/>
        <v>abril</v>
      </c>
      <c r="G222">
        <f t="shared" ca="1" si="31"/>
        <v>45484</v>
      </c>
      <c r="H222" s="44">
        <v>45393</v>
      </c>
      <c r="I222">
        <f t="shared" si="32"/>
        <v>0</v>
      </c>
    </row>
    <row r="223" spans="2:9" x14ac:dyDescent="0.25">
      <c r="B223" t="s">
        <v>199</v>
      </c>
      <c r="C223" t="s">
        <v>345</v>
      </c>
      <c r="E223" s="44">
        <v>45394</v>
      </c>
      <c r="F223" t="str">
        <f t="shared" si="30"/>
        <v>abril</v>
      </c>
      <c r="G223">
        <f t="shared" ca="1" si="31"/>
        <v>45484</v>
      </c>
      <c r="H223" s="44">
        <v>45394</v>
      </c>
      <c r="I223">
        <f t="shared" si="32"/>
        <v>0</v>
      </c>
    </row>
    <row r="224" spans="2:9" x14ac:dyDescent="0.25">
      <c r="B224" t="s">
        <v>61</v>
      </c>
      <c r="C224" t="s">
        <v>346</v>
      </c>
      <c r="E224" s="44">
        <v>45394</v>
      </c>
      <c r="F224" t="str">
        <f t="shared" si="30"/>
        <v>abril</v>
      </c>
      <c r="G224">
        <f t="shared" ca="1" si="31"/>
        <v>45484</v>
      </c>
      <c r="H224" s="44">
        <v>45394</v>
      </c>
      <c r="I224">
        <f t="shared" si="32"/>
        <v>0</v>
      </c>
    </row>
    <row r="225" spans="2:9" x14ac:dyDescent="0.25">
      <c r="B225">
        <v>2008</v>
      </c>
      <c r="C225" t="s">
        <v>347</v>
      </c>
      <c r="E225" s="44">
        <v>45394</v>
      </c>
      <c r="F225" t="str">
        <f t="shared" si="30"/>
        <v>abril</v>
      </c>
      <c r="G225">
        <f t="shared" ca="1" si="31"/>
        <v>45484</v>
      </c>
      <c r="H225" s="44">
        <f>VLOOKUP(C225,Tabela4[],4,FALSE)</f>
        <v>45395</v>
      </c>
      <c r="I225">
        <f t="shared" si="32"/>
        <v>1</v>
      </c>
    </row>
    <row r="226" spans="2:9" x14ac:dyDescent="0.25">
      <c r="B226" t="s">
        <v>290</v>
      </c>
      <c r="C226" t="s">
        <v>291</v>
      </c>
      <c r="E226" s="44">
        <v>45393</v>
      </c>
      <c r="F226" t="str">
        <f t="shared" si="30"/>
        <v>abril</v>
      </c>
      <c r="G226">
        <f t="shared" ca="1" si="31"/>
        <v>45484</v>
      </c>
      <c r="H226" s="44">
        <v>45395</v>
      </c>
      <c r="I226">
        <f t="shared" si="32"/>
        <v>2</v>
      </c>
    </row>
    <row r="227" spans="2:9" x14ac:dyDescent="0.25">
      <c r="B227" t="s">
        <v>172</v>
      </c>
      <c r="C227" t="s">
        <v>348</v>
      </c>
      <c r="E227" s="44">
        <v>45395</v>
      </c>
      <c r="F227" t="str">
        <f t="shared" si="30"/>
        <v>abril</v>
      </c>
      <c r="G227">
        <f t="shared" ca="1" si="31"/>
        <v>45484</v>
      </c>
      <c r="H227" s="44">
        <f>VLOOKUP(C227,Tabela4[],4,FALSE)</f>
        <v>45407</v>
      </c>
      <c r="I227">
        <f t="shared" si="32"/>
        <v>12</v>
      </c>
    </row>
    <row r="228" spans="2:9" x14ac:dyDescent="0.25">
      <c r="B228" t="s">
        <v>86</v>
      </c>
      <c r="C228" t="s">
        <v>349</v>
      </c>
      <c r="E228" s="44">
        <v>45364</v>
      </c>
      <c r="F228" t="str">
        <f t="shared" si="30"/>
        <v>março</v>
      </c>
      <c r="G228">
        <f t="shared" ca="1" si="31"/>
        <v>45484</v>
      </c>
      <c r="H228" s="44" t="e">
        <f>VLOOKUP(C228,Tabela4[],4,FALSE)</f>
        <v>#N/A</v>
      </c>
      <c r="I228" t="e">
        <f t="shared" si="32"/>
        <v>#N/A</v>
      </c>
    </row>
    <row r="229" spans="2:9" x14ac:dyDescent="0.25">
      <c r="B229" t="s">
        <v>199</v>
      </c>
      <c r="C229" t="s">
        <v>350</v>
      </c>
      <c r="E229" s="44">
        <v>45395</v>
      </c>
      <c r="F229" t="str">
        <f t="shared" si="30"/>
        <v>abril</v>
      </c>
      <c r="G229">
        <f t="shared" ca="1" si="31"/>
        <v>45484</v>
      </c>
      <c r="H229" s="44">
        <f>VLOOKUP(C229,Tabela4[],4,FALSE)</f>
        <v>45395</v>
      </c>
      <c r="I229">
        <f t="shared" si="32"/>
        <v>0</v>
      </c>
    </row>
    <row r="230" spans="2:9" x14ac:dyDescent="0.25">
      <c r="B230" t="s">
        <v>148</v>
      </c>
      <c r="C230" t="s">
        <v>351</v>
      </c>
      <c r="E230" s="44">
        <v>45395</v>
      </c>
      <c r="F230" t="str">
        <f t="shared" si="30"/>
        <v>abril</v>
      </c>
      <c r="G230">
        <f t="shared" ca="1" si="31"/>
        <v>45484</v>
      </c>
      <c r="H230" s="44">
        <f>VLOOKUP(C230,Tabela4[],4,FALSE)</f>
        <v>45401</v>
      </c>
      <c r="I230">
        <f t="shared" si="32"/>
        <v>6</v>
      </c>
    </row>
    <row r="231" spans="2:9" x14ac:dyDescent="0.25">
      <c r="B231" t="s">
        <v>215</v>
      </c>
      <c r="C231" t="s">
        <v>352</v>
      </c>
      <c r="E231" s="44">
        <v>45397</v>
      </c>
      <c r="F231" t="str">
        <f t="shared" si="30"/>
        <v>abril</v>
      </c>
      <c r="G231">
        <f t="shared" ca="1" si="31"/>
        <v>45484</v>
      </c>
      <c r="H231" s="44">
        <f>VLOOKUP(C231,Tabela4[],4,FALSE)</f>
        <v>45399</v>
      </c>
      <c r="I231">
        <f t="shared" si="32"/>
        <v>2</v>
      </c>
    </row>
    <row r="232" spans="2:9" x14ac:dyDescent="0.25">
      <c r="B232" t="s">
        <v>353</v>
      </c>
      <c r="C232" t="s">
        <v>354</v>
      </c>
      <c r="E232" s="44">
        <v>45397</v>
      </c>
      <c r="F232" t="str">
        <f t="shared" si="30"/>
        <v>abril</v>
      </c>
      <c r="G232">
        <f t="shared" ca="1" si="31"/>
        <v>45484</v>
      </c>
      <c r="H232" s="44">
        <f>VLOOKUP(C232,Tabela4[],4,FALSE)</f>
        <v>45399</v>
      </c>
      <c r="I232">
        <f t="shared" si="32"/>
        <v>2</v>
      </c>
    </row>
    <row r="233" spans="2:9" x14ac:dyDescent="0.25">
      <c r="B233" t="s">
        <v>95</v>
      </c>
      <c r="C233" t="s">
        <v>355</v>
      </c>
      <c r="E233" s="44">
        <v>45397</v>
      </c>
      <c r="F233" t="str">
        <f t="shared" ref="F233:F260" si="33">TEXT(DATE(YEAR(E233),MONTH(E233),DAY(E233)),"MMMM")</f>
        <v>abril</v>
      </c>
      <c r="G233">
        <f t="shared" ref="G233:G260" ca="1" si="34">DATE(YEAR(TODAY()), MONTH(TODAY()),DAY(TODAY()))</f>
        <v>45484</v>
      </c>
      <c r="H233" s="44">
        <f>VLOOKUP(C233,Tabela4[],4,FALSE)</f>
        <v>45397</v>
      </c>
      <c r="I233">
        <f t="shared" ref="I233:I260" si="35">IF(H233&lt;&gt;"",H233-E233,G233-E233)</f>
        <v>0</v>
      </c>
    </row>
    <row r="234" spans="2:9" x14ac:dyDescent="0.25">
      <c r="B234" t="s">
        <v>102</v>
      </c>
      <c r="C234" t="s">
        <v>356</v>
      </c>
      <c r="E234" s="44">
        <v>45397</v>
      </c>
      <c r="F234" t="str">
        <f t="shared" si="33"/>
        <v>abril</v>
      </c>
      <c r="G234">
        <f t="shared" ca="1" si="34"/>
        <v>45484</v>
      </c>
      <c r="H234" s="44">
        <f>VLOOKUP(C234,Tabela4[],4,FALSE)</f>
        <v>45397</v>
      </c>
      <c r="I234">
        <f t="shared" si="35"/>
        <v>0</v>
      </c>
    </row>
    <row r="235" spans="2:9" x14ac:dyDescent="0.25">
      <c r="B235" t="s">
        <v>88</v>
      </c>
      <c r="C235" t="s">
        <v>357</v>
      </c>
      <c r="E235" s="44">
        <v>45397</v>
      </c>
      <c r="F235" t="str">
        <f t="shared" si="33"/>
        <v>abril</v>
      </c>
      <c r="G235">
        <f t="shared" ca="1" si="34"/>
        <v>45484</v>
      </c>
      <c r="H235" s="44">
        <f>VLOOKUP(C235,Tabela4[],4,FALSE)</f>
        <v>45397</v>
      </c>
      <c r="I235">
        <f t="shared" si="35"/>
        <v>0</v>
      </c>
    </row>
    <row r="236" spans="2:9" x14ac:dyDescent="0.25">
      <c r="B236" t="s">
        <v>168</v>
      </c>
      <c r="C236" t="s">
        <v>358</v>
      </c>
      <c r="E236" s="44">
        <v>45397</v>
      </c>
      <c r="F236" t="str">
        <f t="shared" si="33"/>
        <v>abril</v>
      </c>
      <c r="G236">
        <f t="shared" ca="1" si="34"/>
        <v>45484</v>
      </c>
      <c r="H236" s="44">
        <f>VLOOKUP(C236,Tabela4[],4,FALSE)</f>
        <v>45397</v>
      </c>
      <c r="I236">
        <f t="shared" si="35"/>
        <v>0</v>
      </c>
    </row>
    <row r="237" spans="2:9" x14ac:dyDescent="0.25">
      <c r="B237" t="s">
        <v>113</v>
      </c>
      <c r="C237" t="s">
        <v>359</v>
      </c>
      <c r="E237" s="44">
        <v>45398</v>
      </c>
      <c r="F237" t="str">
        <f t="shared" si="33"/>
        <v>abril</v>
      </c>
      <c r="G237">
        <f t="shared" ca="1" si="34"/>
        <v>45484</v>
      </c>
      <c r="H237" s="44">
        <f>VLOOKUP(C237,Tabela4[],4,FALSE)</f>
        <v>45399</v>
      </c>
      <c r="I237">
        <f t="shared" si="35"/>
        <v>1</v>
      </c>
    </row>
    <row r="238" spans="2:9" x14ac:dyDescent="0.25">
      <c r="B238" t="s">
        <v>67</v>
      </c>
      <c r="C238" t="s">
        <v>337</v>
      </c>
      <c r="E238" s="44">
        <v>45398</v>
      </c>
      <c r="F238" t="str">
        <f t="shared" si="33"/>
        <v>abril</v>
      </c>
      <c r="G238">
        <f t="shared" ca="1" si="34"/>
        <v>45484</v>
      </c>
      <c r="H238" s="44">
        <f>VLOOKUP(C238,Tabela4[],4,FALSE)</f>
        <v>45415</v>
      </c>
      <c r="I238">
        <f t="shared" si="35"/>
        <v>17</v>
      </c>
    </row>
    <row r="239" spans="2:9" x14ac:dyDescent="0.25">
      <c r="B239" t="s">
        <v>168</v>
      </c>
      <c r="C239" t="s">
        <v>360</v>
      </c>
      <c r="E239" s="44">
        <v>45398</v>
      </c>
      <c r="F239" t="str">
        <f t="shared" si="33"/>
        <v>abril</v>
      </c>
      <c r="G239">
        <f t="shared" ca="1" si="34"/>
        <v>45484</v>
      </c>
      <c r="H239" s="44">
        <f>VLOOKUP(C239,Tabela4[],4,FALSE)</f>
        <v>45400</v>
      </c>
      <c r="I239">
        <f t="shared" si="35"/>
        <v>2</v>
      </c>
    </row>
    <row r="240" spans="2:9" x14ac:dyDescent="0.25">
      <c r="B240" t="s">
        <v>150</v>
      </c>
      <c r="C240" t="s">
        <v>361</v>
      </c>
      <c r="E240" s="44">
        <v>45398</v>
      </c>
      <c r="F240" t="str">
        <f t="shared" si="33"/>
        <v>abril</v>
      </c>
      <c r="G240">
        <f t="shared" ca="1" si="34"/>
        <v>45484</v>
      </c>
      <c r="H240" s="44">
        <f>VLOOKUP(C240,Tabela4[],4,FALSE)</f>
        <v>45398</v>
      </c>
      <c r="I240">
        <f t="shared" si="35"/>
        <v>0</v>
      </c>
    </row>
    <row r="241" spans="2:9" x14ac:dyDescent="0.25">
      <c r="B241" t="s">
        <v>82</v>
      </c>
      <c r="C241" t="s">
        <v>189</v>
      </c>
      <c r="E241" s="44">
        <v>45398</v>
      </c>
      <c r="F241" t="str">
        <f t="shared" si="33"/>
        <v>abril</v>
      </c>
      <c r="G241">
        <f t="shared" ca="1" si="34"/>
        <v>45484</v>
      </c>
      <c r="H241" s="44"/>
      <c r="I241">
        <f t="shared" ca="1" si="35"/>
        <v>86</v>
      </c>
    </row>
    <row r="242" spans="2:9" x14ac:dyDescent="0.25">
      <c r="B242" t="s">
        <v>107</v>
      </c>
      <c r="C242" t="s">
        <v>362</v>
      </c>
      <c r="E242" s="44">
        <v>45398</v>
      </c>
      <c r="F242" t="str">
        <f t="shared" si="33"/>
        <v>abril</v>
      </c>
      <c r="G242">
        <f t="shared" ca="1" si="34"/>
        <v>45484</v>
      </c>
      <c r="H242" s="44">
        <f>VLOOKUP(C242,Tabela4[],4,FALSE)</f>
        <v>45416</v>
      </c>
      <c r="I242">
        <f t="shared" si="35"/>
        <v>18</v>
      </c>
    </row>
    <row r="243" spans="2:9" x14ac:dyDescent="0.25">
      <c r="B243" t="s">
        <v>150</v>
      </c>
      <c r="C243" t="s">
        <v>363</v>
      </c>
      <c r="E243" s="44">
        <v>45399</v>
      </c>
      <c r="F243" t="str">
        <f t="shared" si="33"/>
        <v>abril</v>
      </c>
      <c r="G243">
        <f t="shared" ca="1" si="34"/>
        <v>45484</v>
      </c>
      <c r="H243" s="44">
        <f>VLOOKUP(C243,Tabela4[],4,FALSE)</f>
        <v>45412</v>
      </c>
      <c r="I243">
        <f t="shared" si="35"/>
        <v>13</v>
      </c>
    </row>
    <row r="244" spans="2:9" x14ac:dyDescent="0.25">
      <c r="B244" t="s">
        <v>82</v>
      </c>
      <c r="C244" t="s">
        <v>342</v>
      </c>
      <c r="E244" s="44">
        <v>45399</v>
      </c>
      <c r="F244" t="str">
        <f t="shared" si="33"/>
        <v>abril</v>
      </c>
      <c r="G244">
        <f t="shared" ca="1" si="34"/>
        <v>45484</v>
      </c>
      <c r="H244" s="44">
        <f>VLOOKUP(C244,Tabela4[],4,FALSE)</f>
        <v>45407</v>
      </c>
      <c r="I244">
        <f t="shared" si="35"/>
        <v>8</v>
      </c>
    </row>
    <row r="245" spans="2:9" ht="15.75" customHeight="1" x14ac:dyDescent="0.25">
      <c r="B245" t="s">
        <v>364</v>
      </c>
      <c r="C245" t="s">
        <v>365</v>
      </c>
      <c r="E245" s="44">
        <v>45398</v>
      </c>
      <c r="F245" t="str">
        <f t="shared" si="33"/>
        <v>abril</v>
      </c>
      <c r="G245">
        <f t="shared" ca="1" si="34"/>
        <v>45484</v>
      </c>
      <c r="H245" s="44">
        <v>45399</v>
      </c>
      <c r="I245">
        <f t="shared" si="35"/>
        <v>1</v>
      </c>
    </row>
    <row r="246" spans="2:9" x14ac:dyDescent="0.25">
      <c r="B246" t="s">
        <v>139</v>
      </c>
      <c r="C246" t="s">
        <v>366</v>
      </c>
      <c r="E246" s="44">
        <v>45399</v>
      </c>
      <c r="F246" t="str">
        <f t="shared" si="33"/>
        <v>abril</v>
      </c>
      <c r="G246">
        <f t="shared" ca="1" si="34"/>
        <v>45484</v>
      </c>
      <c r="H246" s="44">
        <f>VLOOKUP(C246,Tabela4[],4,FALSE)</f>
        <v>45399</v>
      </c>
      <c r="I246">
        <f t="shared" si="35"/>
        <v>0</v>
      </c>
    </row>
    <row r="247" spans="2:9" x14ac:dyDescent="0.25">
      <c r="B247" t="s">
        <v>321</v>
      </c>
      <c r="C247" t="s">
        <v>322</v>
      </c>
      <c r="E247" s="44">
        <v>45398</v>
      </c>
      <c r="F247" t="str">
        <f t="shared" si="33"/>
        <v>abril</v>
      </c>
      <c r="G247">
        <f t="shared" ca="1" si="34"/>
        <v>45484</v>
      </c>
      <c r="H247" s="44">
        <v>45409</v>
      </c>
      <c r="I247">
        <f t="shared" si="35"/>
        <v>11</v>
      </c>
    </row>
    <row r="248" spans="2:9" x14ac:dyDescent="0.25">
      <c r="B248" t="s">
        <v>102</v>
      </c>
      <c r="C248" t="s">
        <v>367</v>
      </c>
      <c r="E248" s="44">
        <v>45399</v>
      </c>
      <c r="F248" t="str">
        <f t="shared" si="33"/>
        <v>abril</v>
      </c>
      <c r="G248">
        <f t="shared" ca="1" si="34"/>
        <v>45484</v>
      </c>
      <c r="H248" s="44">
        <f>VLOOKUP(C248,Tabela4[],4,FALSE)</f>
        <v>45401</v>
      </c>
      <c r="I248">
        <f t="shared" si="35"/>
        <v>2</v>
      </c>
    </row>
    <row r="249" spans="2:9" x14ac:dyDescent="0.25">
      <c r="B249" t="s">
        <v>82</v>
      </c>
      <c r="C249" t="s">
        <v>368</v>
      </c>
      <c r="E249" s="44">
        <v>45399</v>
      </c>
      <c r="F249" t="str">
        <f t="shared" si="33"/>
        <v>abril</v>
      </c>
      <c r="G249">
        <f t="shared" ca="1" si="34"/>
        <v>45484</v>
      </c>
      <c r="H249" s="44">
        <f>VLOOKUP(C249,Tabela4[],4,FALSE)</f>
        <v>45306</v>
      </c>
      <c r="I249">
        <f t="shared" si="35"/>
        <v>-93</v>
      </c>
    </row>
    <row r="250" spans="2:9" x14ac:dyDescent="0.25">
      <c r="B250">
        <v>207</v>
      </c>
      <c r="C250" t="s">
        <v>369</v>
      </c>
      <c r="E250" s="44">
        <v>45399</v>
      </c>
      <c r="F250" t="str">
        <f t="shared" si="33"/>
        <v>abril</v>
      </c>
      <c r="G250">
        <f t="shared" ca="1" si="34"/>
        <v>45484</v>
      </c>
      <c r="H250" s="44" t="e">
        <f>VLOOKUP(C250,Tabela4[],4,FALSE)</f>
        <v>#N/A</v>
      </c>
      <c r="I250" t="e">
        <f t="shared" si="35"/>
        <v>#N/A</v>
      </c>
    </row>
    <row r="251" spans="2:9" x14ac:dyDescent="0.25">
      <c r="B251" t="s">
        <v>370</v>
      </c>
      <c r="C251" t="s">
        <v>371</v>
      </c>
      <c r="E251" s="44">
        <v>45400</v>
      </c>
      <c r="F251" t="str">
        <f t="shared" si="33"/>
        <v>abril</v>
      </c>
      <c r="G251">
        <f t="shared" ca="1" si="34"/>
        <v>45484</v>
      </c>
      <c r="H251" s="44">
        <v>45400</v>
      </c>
      <c r="I251">
        <f t="shared" si="35"/>
        <v>0</v>
      </c>
    </row>
    <row r="252" spans="2:9" x14ac:dyDescent="0.25">
      <c r="B252" t="s">
        <v>119</v>
      </c>
      <c r="C252" t="s">
        <v>372</v>
      </c>
      <c r="E252" s="44">
        <v>45400</v>
      </c>
      <c r="F252" t="str">
        <f t="shared" si="33"/>
        <v>abril</v>
      </c>
      <c r="G252">
        <f t="shared" ca="1" si="34"/>
        <v>45484</v>
      </c>
      <c r="H252" s="44">
        <f>VLOOKUP(C252,Tabela4[],4,FALSE)</f>
        <v>45402</v>
      </c>
      <c r="I252">
        <f t="shared" si="35"/>
        <v>2</v>
      </c>
    </row>
    <row r="253" spans="2:9" x14ac:dyDescent="0.25">
      <c r="B253" t="s">
        <v>102</v>
      </c>
      <c r="C253" t="s">
        <v>373</v>
      </c>
      <c r="E253" s="44">
        <v>45400</v>
      </c>
      <c r="F253" t="str">
        <f t="shared" si="33"/>
        <v>abril</v>
      </c>
      <c r="G253">
        <f t="shared" ca="1" si="34"/>
        <v>45484</v>
      </c>
      <c r="H253" s="44">
        <v>45400</v>
      </c>
      <c r="I253">
        <f t="shared" si="35"/>
        <v>0</v>
      </c>
    </row>
    <row r="254" spans="2:9" x14ac:dyDescent="0.25">
      <c r="B254" t="s">
        <v>374</v>
      </c>
      <c r="C254" t="s">
        <v>375</v>
      </c>
      <c r="E254" s="44">
        <v>45400</v>
      </c>
      <c r="F254" t="str">
        <f t="shared" si="33"/>
        <v>abril</v>
      </c>
      <c r="G254">
        <f t="shared" ca="1" si="34"/>
        <v>45484</v>
      </c>
      <c r="H254" s="44">
        <f>VLOOKUP(C254,Tabela4[],4,FALSE)</f>
        <v>45401</v>
      </c>
      <c r="I254">
        <f t="shared" si="35"/>
        <v>1</v>
      </c>
    </row>
    <row r="255" spans="2:9" x14ac:dyDescent="0.25">
      <c r="B255" t="s">
        <v>102</v>
      </c>
      <c r="C255" t="s">
        <v>376</v>
      </c>
      <c r="E255" s="44">
        <v>45400</v>
      </c>
      <c r="F255" t="str">
        <f t="shared" si="33"/>
        <v>abril</v>
      </c>
      <c r="G255">
        <f t="shared" ca="1" si="34"/>
        <v>45484</v>
      </c>
      <c r="H255" s="44">
        <v>45400</v>
      </c>
      <c r="I255">
        <f t="shared" si="35"/>
        <v>0</v>
      </c>
    </row>
    <row r="256" spans="2:9" x14ac:dyDescent="0.25">
      <c r="B256" t="s">
        <v>139</v>
      </c>
      <c r="C256" t="s">
        <v>377</v>
      </c>
      <c r="E256" s="44">
        <v>45400</v>
      </c>
      <c r="F256" t="str">
        <f t="shared" si="33"/>
        <v>abril</v>
      </c>
      <c r="G256">
        <f t="shared" ca="1" si="34"/>
        <v>45484</v>
      </c>
      <c r="H256" s="44">
        <f>VLOOKUP(C256,Tabela4[],4,FALSE)</f>
        <v>45401</v>
      </c>
      <c r="I256">
        <f t="shared" si="35"/>
        <v>1</v>
      </c>
    </row>
    <row r="257" spans="2:9" x14ac:dyDescent="0.25">
      <c r="B257" t="s">
        <v>67</v>
      </c>
      <c r="C257" t="s">
        <v>378</v>
      </c>
      <c r="E257" s="44">
        <v>45400</v>
      </c>
      <c r="F257" t="str">
        <f t="shared" si="33"/>
        <v>abril</v>
      </c>
      <c r="G257">
        <f t="shared" ca="1" si="34"/>
        <v>45484</v>
      </c>
      <c r="H257" s="44">
        <f>VLOOKUP(C257,Tabela4[],4,FALSE)</f>
        <v>45408</v>
      </c>
      <c r="I257">
        <f t="shared" si="35"/>
        <v>8</v>
      </c>
    </row>
    <row r="258" spans="2:9" x14ac:dyDescent="0.25">
      <c r="B258" t="s">
        <v>260</v>
      </c>
      <c r="C258" t="s">
        <v>379</v>
      </c>
      <c r="E258" s="44">
        <v>45400</v>
      </c>
      <c r="F258" t="str">
        <f t="shared" si="33"/>
        <v>abril</v>
      </c>
      <c r="G258">
        <f t="shared" ca="1" si="34"/>
        <v>45484</v>
      </c>
      <c r="H258" s="44">
        <f>VLOOKUP(C258,Tabela4[],4,FALSE)</f>
        <v>45408</v>
      </c>
      <c r="I258">
        <f t="shared" si="35"/>
        <v>8</v>
      </c>
    </row>
    <row r="259" spans="2:9" x14ac:dyDescent="0.25">
      <c r="B259" t="s">
        <v>95</v>
      </c>
      <c r="C259" t="s">
        <v>380</v>
      </c>
      <c r="E259" s="44">
        <v>45400</v>
      </c>
      <c r="F259" t="str">
        <f t="shared" si="33"/>
        <v>abril</v>
      </c>
      <c r="G259">
        <f t="shared" ca="1" si="34"/>
        <v>45484</v>
      </c>
      <c r="H259" s="44">
        <f>VLOOKUP(C259,Tabela4[],4,FALSE)</f>
        <v>45402</v>
      </c>
      <c r="I259">
        <f t="shared" si="35"/>
        <v>2</v>
      </c>
    </row>
    <row r="260" spans="2:9" x14ac:dyDescent="0.25">
      <c r="B260" t="s">
        <v>139</v>
      </c>
      <c r="C260" t="s">
        <v>381</v>
      </c>
      <c r="E260" s="44">
        <v>45400</v>
      </c>
      <c r="F260" t="str">
        <f t="shared" si="33"/>
        <v>abril</v>
      </c>
      <c r="G260">
        <f t="shared" ca="1" si="34"/>
        <v>45484</v>
      </c>
      <c r="H260" s="44">
        <f>VLOOKUP(C260,Tabela4[],4,FALSE)</f>
        <v>45402</v>
      </c>
      <c r="I260">
        <f t="shared" si="35"/>
        <v>2</v>
      </c>
    </row>
    <row r="261" spans="2:9" x14ac:dyDescent="0.25">
      <c r="B261" t="s">
        <v>115</v>
      </c>
      <c r="C261" t="s">
        <v>382</v>
      </c>
      <c r="E261" s="44">
        <v>45400</v>
      </c>
      <c r="F261" t="str">
        <f t="shared" ref="F261:F286" si="36">TEXT(DATE(YEAR(E261),MONTH(E261),DAY(E261)),"MMMM")</f>
        <v>abril</v>
      </c>
      <c r="G261">
        <f t="shared" ref="G261:G286" ca="1" si="37">DATE(YEAR(TODAY()), MONTH(TODAY()),DAY(TODAY()))</f>
        <v>45484</v>
      </c>
      <c r="H261" s="44">
        <f>VLOOKUP(C261,Tabela4[],4,FALSE)</f>
        <v>45406</v>
      </c>
      <c r="I261">
        <f t="shared" ref="I261:I286" si="38">IF(H261&lt;&gt;"",H261-E261,G261-E261)</f>
        <v>6</v>
      </c>
    </row>
    <row r="262" spans="2:9" x14ac:dyDescent="0.25">
      <c r="B262" t="s">
        <v>67</v>
      </c>
      <c r="C262" t="s">
        <v>383</v>
      </c>
      <c r="E262" s="44">
        <v>45400</v>
      </c>
      <c r="F262" t="str">
        <f t="shared" si="36"/>
        <v>abril</v>
      </c>
      <c r="G262">
        <f t="shared" ca="1" si="37"/>
        <v>45484</v>
      </c>
      <c r="H262" s="44">
        <f>VLOOKUP(C262,Tabela4[],4,FALSE)</f>
        <v>45406</v>
      </c>
      <c r="I262">
        <f t="shared" si="38"/>
        <v>6</v>
      </c>
    </row>
    <row r="263" spans="2:9" x14ac:dyDescent="0.25">
      <c r="B263" t="s">
        <v>166</v>
      </c>
      <c r="C263" t="s">
        <v>384</v>
      </c>
      <c r="E263" s="44">
        <v>45400</v>
      </c>
      <c r="F263" t="str">
        <f t="shared" si="36"/>
        <v>abril</v>
      </c>
      <c r="G263">
        <f t="shared" ca="1" si="37"/>
        <v>45484</v>
      </c>
      <c r="H263" s="44">
        <f>VLOOKUP(C263,Tabela4[],4,FALSE)</f>
        <v>45412</v>
      </c>
      <c r="I263">
        <f t="shared" si="38"/>
        <v>12</v>
      </c>
    </row>
    <row r="264" spans="2:9" x14ac:dyDescent="0.25">
      <c r="B264" t="s">
        <v>113</v>
      </c>
      <c r="C264" t="s">
        <v>385</v>
      </c>
      <c r="E264" s="44">
        <v>45402</v>
      </c>
      <c r="F264" t="str">
        <f t="shared" si="36"/>
        <v>abril</v>
      </c>
      <c r="G264">
        <f t="shared" ca="1" si="37"/>
        <v>45484</v>
      </c>
      <c r="H264" s="44">
        <v>45402</v>
      </c>
      <c r="I264">
        <f t="shared" si="38"/>
        <v>0</v>
      </c>
    </row>
    <row r="265" spans="2:9" x14ac:dyDescent="0.25">
      <c r="B265" t="s">
        <v>250</v>
      </c>
      <c r="C265" t="s">
        <v>251</v>
      </c>
      <c r="E265" s="44">
        <v>45402</v>
      </c>
      <c r="F265" t="str">
        <f t="shared" si="36"/>
        <v>abril</v>
      </c>
      <c r="G265">
        <f t="shared" ca="1" si="37"/>
        <v>45484</v>
      </c>
      <c r="H265" s="44">
        <v>45402</v>
      </c>
      <c r="I265">
        <f t="shared" si="38"/>
        <v>0</v>
      </c>
    </row>
    <row r="266" spans="2:9" x14ac:dyDescent="0.25">
      <c r="B266" t="s">
        <v>67</v>
      </c>
      <c r="C266" t="s">
        <v>386</v>
      </c>
      <c r="E266" s="44">
        <v>45404</v>
      </c>
      <c r="F266" t="str">
        <f t="shared" si="36"/>
        <v>abril</v>
      </c>
      <c r="G266">
        <f t="shared" ca="1" si="37"/>
        <v>45484</v>
      </c>
      <c r="H266" s="44">
        <f>VLOOKUP(C266,Tabela4[],4,FALSE)</f>
        <v>45415</v>
      </c>
      <c r="I266">
        <f t="shared" si="38"/>
        <v>11</v>
      </c>
    </row>
    <row r="267" spans="2:9" x14ac:dyDescent="0.25">
      <c r="B267" t="s">
        <v>227</v>
      </c>
      <c r="C267" t="s">
        <v>387</v>
      </c>
      <c r="E267" s="44">
        <v>45404</v>
      </c>
      <c r="F267" t="str">
        <f t="shared" si="36"/>
        <v>abril</v>
      </c>
      <c r="G267">
        <f t="shared" ca="1" si="37"/>
        <v>45484</v>
      </c>
      <c r="H267" s="44">
        <f>VLOOKUP(C267,Tabela4[],4,FALSE)</f>
        <v>45405</v>
      </c>
      <c r="I267">
        <f t="shared" si="38"/>
        <v>1</v>
      </c>
    </row>
    <row r="268" spans="2:9" x14ac:dyDescent="0.25">
      <c r="B268" t="s">
        <v>113</v>
      </c>
      <c r="C268" t="s">
        <v>388</v>
      </c>
      <c r="E268" s="44">
        <v>45404</v>
      </c>
      <c r="F268" t="str">
        <f t="shared" si="36"/>
        <v>abril</v>
      </c>
      <c r="G268">
        <f t="shared" ca="1" si="37"/>
        <v>45484</v>
      </c>
      <c r="H268" s="44">
        <f>VLOOKUP(C268,Tabela4[],4,FALSE)</f>
        <v>45404</v>
      </c>
      <c r="I268">
        <f t="shared" si="38"/>
        <v>0</v>
      </c>
    </row>
    <row r="269" spans="2:9" x14ac:dyDescent="0.25">
      <c r="B269" t="s">
        <v>110</v>
      </c>
      <c r="C269" t="s">
        <v>389</v>
      </c>
      <c r="E269" s="44">
        <v>45404</v>
      </c>
      <c r="F269" t="str">
        <f t="shared" si="36"/>
        <v>abril</v>
      </c>
      <c r="G269">
        <f t="shared" ca="1" si="37"/>
        <v>45484</v>
      </c>
      <c r="H269" s="44">
        <v>45406</v>
      </c>
      <c r="I269">
        <f t="shared" si="38"/>
        <v>2</v>
      </c>
    </row>
    <row r="270" spans="2:9" x14ac:dyDescent="0.25">
      <c r="B270" t="s">
        <v>67</v>
      </c>
      <c r="C270" t="s">
        <v>390</v>
      </c>
      <c r="E270" s="44">
        <v>45404</v>
      </c>
      <c r="F270" t="str">
        <f t="shared" si="36"/>
        <v>abril</v>
      </c>
      <c r="G270">
        <f t="shared" ca="1" si="37"/>
        <v>45484</v>
      </c>
      <c r="H270" s="44">
        <f>VLOOKUP(C270,Tabela4[],4,FALSE)</f>
        <v>45404</v>
      </c>
      <c r="I270">
        <f t="shared" si="38"/>
        <v>0</v>
      </c>
    </row>
    <row r="271" spans="2:9" x14ac:dyDescent="0.25">
      <c r="B271" t="s">
        <v>391</v>
      </c>
      <c r="C271" t="s">
        <v>392</v>
      </c>
      <c r="E271" s="44">
        <v>45402</v>
      </c>
      <c r="F271" t="str">
        <f t="shared" si="36"/>
        <v>abril</v>
      </c>
      <c r="G271">
        <f t="shared" ca="1" si="37"/>
        <v>45484</v>
      </c>
      <c r="H271" s="44">
        <v>45404</v>
      </c>
      <c r="I271">
        <f t="shared" si="38"/>
        <v>2</v>
      </c>
    </row>
    <row r="272" spans="2:9" x14ac:dyDescent="0.25">
      <c r="B272" t="s">
        <v>168</v>
      </c>
      <c r="C272" t="s">
        <v>393</v>
      </c>
      <c r="E272" s="44">
        <v>45404</v>
      </c>
      <c r="F272" t="str">
        <f t="shared" si="36"/>
        <v>abril</v>
      </c>
      <c r="G272">
        <f t="shared" ca="1" si="37"/>
        <v>45484</v>
      </c>
      <c r="H272" s="44">
        <v>45404</v>
      </c>
      <c r="I272">
        <f t="shared" si="38"/>
        <v>0</v>
      </c>
    </row>
    <row r="273" spans="2:9" x14ac:dyDescent="0.25">
      <c r="B273" t="s">
        <v>209</v>
      </c>
      <c r="C273" t="s">
        <v>394</v>
      </c>
      <c r="E273" s="44">
        <v>45404</v>
      </c>
      <c r="F273" t="str">
        <f t="shared" si="36"/>
        <v>abril</v>
      </c>
      <c r="G273">
        <f t="shared" ca="1" si="37"/>
        <v>45484</v>
      </c>
      <c r="H273" s="44">
        <f>VLOOKUP(C273,Tabela4[],4,FALSE)</f>
        <v>45406</v>
      </c>
      <c r="I273">
        <f t="shared" si="38"/>
        <v>2</v>
      </c>
    </row>
    <row r="274" spans="2:9" x14ac:dyDescent="0.25">
      <c r="B274" t="s">
        <v>119</v>
      </c>
      <c r="C274" t="s">
        <v>120</v>
      </c>
      <c r="E274" s="44">
        <v>45404</v>
      </c>
      <c r="F274" t="str">
        <f t="shared" si="36"/>
        <v>abril</v>
      </c>
      <c r="G274">
        <f t="shared" ca="1" si="37"/>
        <v>45484</v>
      </c>
      <c r="H274" s="44">
        <v>45404</v>
      </c>
      <c r="I274">
        <f t="shared" si="38"/>
        <v>0</v>
      </c>
    </row>
    <row r="275" spans="2:9" x14ac:dyDescent="0.25">
      <c r="B275" t="s">
        <v>61</v>
      </c>
      <c r="C275" t="s">
        <v>395</v>
      </c>
      <c r="E275" s="44">
        <v>45405</v>
      </c>
      <c r="F275" t="str">
        <f t="shared" si="36"/>
        <v>abril</v>
      </c>
      <c r="G275">
        <f t="shared" ca="1" si="37"/>
        <v>45484</v>
      </c>
      <c r="H275" s="44">
        <f>VLOOKUP(C275,Tabela4[],4,FALSE)</f>
        <v>45406</v>
      </c>
      <c r="I275">
        <f t="shared" si="38"/>
        <v>1</v>
      </c>
    </row>
    <row r="276" spans="2:9" x14ac:dyDescent="0.25">
      <c r="B276" t="s">
        <v>95</v>
      </c>
      <c r="C276" t="s">
        <v>396</v>
      </c>
      <c r="E276" s="44">
        <v>45405</v>
      </c>
      <c r="F276" t="str">
        <f t="shared" si="36"/>
        <v>abril</v>
      </c>
      <c r="G276">
        <f t="shared" ca="1" si="37"/>
        <v>45484</v>
      </c>
      <c r="H276" s="44">
        <f>VLOOKUP(C276,Tabela4[],4,FALSE)</f>
        <v>45407</v>
      </c>
      <c r="I276">
        <f t="shared" si="38"/>
        <v>2</v>
      </c>
    </row>
    <row r="277" spans="2:9" x14ac:dyDescent="0.25">
      <c r="B277" t="s">
        <v>267</v>
      </c>
      <c r="C277" t="s">
        <v>397</v>
      </c>
      <c r="E277" s="44">
        <v>45405</v>
      </c>
      <c r="F277" t="str">
        <f t="shared" si="36"/>
        <v>abril</v>
      </c>
      <c r="G277">
        <f t="shared" ca="1" si="37"/>
        <v>45484</v>
      </c>
      <c r="H277" s="44">
        <v>45409</v>
      </c>
      <c r="I277">
        <f t="shared" si="38"/>
        <v>4</v>
      </c>
    </row>
    <row r="278" spans="2:9" x14ac:dyDescent="0.25">
      <c r="B278" t="s">
        <v>95</v>
      </c>
      <c r="C278" t="s">
        <v>398</v>
      </c>
      <c r="E278" s="44">
        <v>45406</v>
      </c>
      <c r="F278" t="str">
        <f t="shared" si="36"/>
        <v>abril</v>
      </c>
      <c r="G278">
        <f t="shared" ca="1" si="37"/>
        <v>45484</v>
      </c>
      <c r="H278" s="44">
        <f>VLOOKUP(C278,Tabela4[],4,FALSE)</f>
        <v>45409</v>
      </c>
      <c r="I278">
        <f t="shared" si="38"/>
        <v>3</v>
      </c>
    </row>
    <row r="279" spans="2:9" x14ac:dyDescent="0.25">
      <c r="B279" t="s">
        <v>88</v>
      </c>
      <c r="C279" t="s">
        <v>339</v>
      </c>
      <c r="E279" s="44">
        <v>45406</v>
      </c>
      <c r="F279" t="str">
        <f t="shared" si="36"/>
        <v>abril</v>
      </c>
      <c r="G279">
        <f t="shared" ca="1" si="37"/>
        <v>45484</v>
      </c>
      <c r="H279" s="44">
        <v>45406</v>
      </c>
      <c r="I279">
        <f t="shared" si="38"/>
        <v>0</v>
      </c>
    </row>
    <row r="280" spans="2:9" x14ac:dyDescent="0.25">
      <c r="B280" t="s">
        <v>65</v>
      </c>
      <c r="C280" t="s">
        <v>399</v>
      </c>
      <c r="E280" s="44">
        <v>45406</v>
      </c>
      <c r="F280" t="str">
        <f t="shared" si="36"/>
        <v>abril</v>
      </c>
      <c r="G280">
        <f t="shared" ca="1" si="37"/>
        <v>45484</v>
      </c>
      <c r="H280" s="44">
        <f>VLOOKUP(C280,Tabela4[],4,FALSE)</f>
        <v>45407</v>
      </c>
      <c r="I280">
        <f t="shared" si="38"/>
        <v>1</v>
      </c>
    </row>
    <row r="281" spans="2:9" x14ac:dyDescent="0.25">
      <c r="B281" t="s">
        <v>139</v>
      </c>
      <c r="C281" t="s">
        <v>400</v>
      </c>
      <c r="E281" s="44">
        <v>45406</v>
      </c>
      <c r="F281" t="str">
        <f t="shared" si="36"/>
        <v>abril</v>
      </c>
      <c r="G281">
        <f t="shared" ca="1" si="37"/>
        <v>45484</v>
      </c>
      <c r="H281" s="44">
        <f>VLOOKUP(C281,Tabela4[],4,FALSE)</f>
        <v>45408</v>
      </c>
      <c r="I281">
        <f t="shared" si="38"/>
        <v>2</v>
      </c>
    </row>
    <row r="282" spans="2:9" x14ac:dyDescent="0.25">
      <c r="B282" s="41" t="s">
        <v>240</v>
      </c>
      <c r="C282" t="s">
        <v>401</v>
      </c>
      <c r="E282" s="44">
        <v>45407</v>
      </c>
      <c r="F282" t="str">
        <f t="shared" si="36"/>
        <v>abril</v>
      </c>
      <c r="G282">
        <f t="shared" ca="1" si="37"/>
        <v>45484</v>
      </c>
      <c r="H282" s="44">
        <f>VLOOKUP(C282,Tabela4[],4,FALSE)</f>
        <v>45409</v>
      </c>
      <c r="I282">
        <f t="shared" si="38"/>
        <v>2</v>
      </c>
    </row>
    <row r="283" spans="2:9" x14ac:dyDescent="0.25">
      <c r="B283" t="s">
        <v>63</v>
      </c>
      <c r="C283" t="s">
        <v>402</v>
      </c>
      <c r="E283" s="44">
        <v>45407</v>
      </c>
      <c r="F283" t="str">
        <f t="shared" si="36"/>
        <v>abril</v>
      </c>
      <c r="G283">
        <f t="shared" ca="1" si="37"/>
        <v>45484</v>
      </c>
      <c r="H283" s="44">
        <f>VLOOKUP(C283,Tabela4[],4,FALSE)</f>
        <v>45408</v>
      </c>
      <c r="I283">
        <f t="shared" si="38"/>
        <v>1</v>
      </c>
    </row>
    <row r="284" spans="2:9" x14ac:dyDescent="0.25">
      <c r="B284" t="s">
        <v>282</v>
      </c>
      <c r="C284" t="s">
        <v>403</v>
      </c>
      <c r="E284" s="44">
        <v>45408</v>
      </c>
      <c r="F284" t="str">
        <f t="shared" si="36"/>
        <v>abril</v>
      </c>
      <c r="G284">
        <f t="shared" ca="1" si="37"/>
        <v>45484</v>
      </c>
      <c r="H284" s="44">
        <f>VLOOKUP(C284,Tabela4[],4,FALSE)</f>
        <v>45411</v>
      </c>
      <c r="I284">
        <f t="shared" si="38"/>
        <v>3</v>
      </c>
    </row>
    <row r="285" spans="2:9" x14ac:dyDescent="0.25">
      <c r="B285" t="s">
        <v>88</v>
      </c>
      <c r="C285" t="s">
        <v>404</v>
      </c>
      <c r="E285" s="44">
        <v>45408</v>
      </c>
      <c r="F285" t="str">
        <f t="shared" si="36"/>
        <v>abril</v>
      </c>
      <c r="G285">
        <f t="shared" ca="1" si="37"/>
        <v>45484</v>
      </c>
      <c r="H285" s="44">
        <f>VLOOKUP(C285,Tabela4[],4,FALSE)</f>
        <v>45408</v>
      </c>
      <c r="I285">
        <f t="shared" si="38"/>
        <v>0</v>
      </c>
    </row>
    <row r="286" spans="2:9" x14ac:dyDescent="0.25">
      <c r="B286" t="s">
        <v>67</v>
      </c>
      <c r="C286" t="s">
        <v>405</v>
      </c>
      <c r="E286" s="44">
        <v>45408</v>
      </c>
      <c r="F286" t="str">
        <f t="shared" si="36"/>
        <v>abril</v>
      </c>
      <c r="G286">
        <f t="shared" ca="1" si="37"/>
        <v>45484</v>
      </c>
      <c r="H286" s="44">
        <f>VLOOKUP(C286,Tabela4[],4,FALSE)</f>
        <v>45416</v>
      </c>
      <c r="I286">
        <f t="shared" si="38"/>
        <v>8</v>
      </c>
    </row>
    <row r="287" spans="2:9" x14ac:dyDescent="0.25">
      <c r="B287" t="s">
        <v>260</v>
      </c>
      <c r="C287" t="s">
        <v>379</v>
      </c>
      <c r="E287" s="44">
        <v>45408</v>
      </c>
      <c r="F287" t="str">
        <f t="shared" ref="F287:F299" si="39">TEXT(DATE(YEAR(E287),MONTH(E287),DAY(E287)),"MMMM")</f>
        <v>abril</v>
      </c>
      <c r="G287">
        <f t="shared" ref="G287:G299" ca="1" si="40">DATE(YEAR(TODAY()), MONTH(TODAY()),DAY(TODAY()))</f>
        <v>45484</v>
      </c>
      <c r="H287" s="44">
        <f>VLOOKUP(C287,Tabela4[],4,FALSE)</f>
        <v>45408</v>
      </c>
      <c r="I287">
        <f t="shared" ref="I287:I299" si="41">IF(H287&lt;&gt;"",H287-E287,G287-E287)</f>
        <v>0</v>
      </c>
    </row>
    <row r="288" spans="2:9" x14ac:dyDescent="0.25">
      <c r="B288" t="s">
        <v>160</v>
      </c>
      <c r="C288" t="s">
        <v>406</v>
      </c>
      <c r="E288" s="44">
        <v>45408</v>
      </c>
      <c r="F288" t="str">
        <f t="shared" si="39"/>
        <v>abril</v>
      </c>
      <c r="G288">
        <f t="shared" ca="1" si="40"/>
        <v>45484</v>
      </c>
      <c r="H288" s="44">
        <f>VLOOKUP(C288,Tabela4[],4,FALSE)</f>
        <v>45408</v>
      </c>
      <c r="I288">
        <f t="shared" si="41"/>
        <v>0</v>
      </c>
    </row>
    <row r="289" spans="2:9" x14ac:dyDescent="0.25">
      <c r="B289" t="s">
        <v>150</v>
      </c>
      <c r="C289" t="s">
        <v>407</v>
      </c>
      <c r="E289" s="44">
        <v>45408</v>
      </c>
      <c r="F289" t="str">
        <f t="shared" si="39"/>
        <v>abril</v>
      </c>
      <c r="G289">
        <f t="shared" ca="1" si="40"/>
        <v>45484</v>
      </c>
      <c r="H289" s="44">
        <v>45411</v>
      </c>
      <c r="I289">
        <f t="shared" si="41"/>
        <v>3</v>
      </c>
    </row>
    <row r="290" spans="2:9" x14ac:dyDescent="0.25">
      <c r="B290" t="s">
        <v>269</v>
      </c>
      <c r="C290" t="s">
        <v>408</v>
      </c>
      <c r="E290" s="44">
        <v>45408</v>
      </c>
      <c r="F290" t="str">
        <f t="shared" si="39"/>
        <v>abril</v>
      </c>
      <c r="G290">
        <f t="shared" ca="1" si="40"/>
        <v>45484</v>
      </c>
      <c r="H290" s="44">
        <f>VLOOKUP(C290,Tabela4[],4,FALSE)</f>
        <v>45408</v>
      </c>
      <c r="I290">
        <f t="shared" si="41"/>
        <v>0</v>
      </c>
    </row>
    <row r="291" spans="2:9" x14ac:dyDescent="0.25">
      <c r="B291" t="s">
        <v>88</v>
      </c>
      <c r="C291" t="s">
        <v>357</v>
      </c>
      <c r="E291" s="44">
        <v>45408</v>
      </c>
      <c r="F291" t="str">
        <f t="shared" si="39"/>
        <v>abril</v>
      </c>
      <c r="G291">
        <f t="shared" ca="1" si="40"/>
        <v>45484</v>
      </c>
      <c r="H291" s="44">
        <v>45408</v>
      </c>
      <c r="I291">
        <f t="shared" si="41"/>
        <v>0</v>
      </c>
    </row>
    <row r="292" spans="2:9" x14ac:dyDescent="0.25">
      <c r="B292" t="s">
        <v>166</v>
      </c>
      <c r="C292" t="s">
        <v>409</v>
      </c>
      <c r="E292" s="44">
        <v>45408</v>
      </c>
      <c r="F292" t="str">
        <f t="shared" si="39"/>
        <v>abril</v>
      </c>
      <c r="G292">
        <f t="shared" ca="1" si="40"/>
        <v>45484</v>
      </c>
      <c r="H292" s="44">
        <f>VLOOKUP(C292,Tabela4[],4,FALSE)</f>
        <v>45416</v>
      </c>
      <c r="I292">
        <f t="shared" si="41"/>
        <v>8</v>
      </c>
    </row>
    <row r="293" spans="2:9" x14ac:dyDescent="0.25">
      <c r="B293" t="s">
        <v>142</v>
      </c>
      <c r="C293" t="s">
        <v>410</v>
      </c>
      <c r="E293" s="44">
        <v>45408</v>
      </c>
      <c r="F293" t="str">
        <f t="shared" si="39"/>
        <v>abril</v>
      </c>
      <c r="G293">
        <f t="shared" ca="1" si="40"/>
        <v>45484</v>
      </c>
      <c r="H293" s="44"/>
      <c r="I293">
        <f t="shared" ca="1" si="41"/>
        <v>76</v>
      </c>
    </row>
    <row r="294" spans="2:9" x14ac:dyDescent="0.25">
      <c r="B294" t="s">
        <v>67</v>
      </c>
      <c r="C294" t="s">
        <v>336</v>
      </c>
      <c r="E294" s="44">
        <v>45409</v>
      </c>
      <c r="F294" t="str">
        <f t="shared" si="39"/>
        <v>abril</v>
      </c>
      <c r="G294">
        <f t="shared" ca="1" si="40"/>
        <v>45484</v>
      </c>
      <c r="H294" s="44">
        <v>45409</v>
      </c>
      <c r="I294">
        <f t="shared" si="41"/>
        <v>0</v>
      </c>
    </row>
    <row r="295" spans="2:9" x14ac:dyDescent="0.25">
      <c r="B295" t="s">
        <v>182</v>
      </c>
      <c r="C295" t="s">
        <v>411</v>
      </c>
      <c r="E295" s="44">
        <v>45409</v>
      </c>
      <c r="F295" t="str">
        <f t="shared" si="39"/>
        <v>abril</v>
      </c>
      <c r="G295">
        <f t="shared" ca="1" si="40"/>
        <v>45484</v>
      </c>
      <c r="H295" s="44">
        <f>VLOOKUP(C295,Tabela4[],4,FALSE)</f>
        <v>45409</v>
      </c>
      <c r="I295">
        <f t="shared" si="41"/>
        <v>0</v>
      </c>
    </row>
    <row r="296" spans="2:9" x14ac:dyDescent="0.25">
      <c r="B296" t="s">
        <v>98</v>
      </c>
      <c r="C296" t="s">
        <v>412</v>
      </c>
      <c r="E296" s="44">
        <v>45409</v>
      </c>
      <c r="F296" t="str">
        <f t="shared" si="39"/>
        <v>abril</v>
      </c>
      <c r="G296">
        <f t="shared" ca="1" si="40"/>
        <v>45484</v>
      </c>
      <c r="H296" s="44">
        <f>VLOOKUP(C296,Tabela4[],4,FALSE)</f>
        <v>45409</v>
      </c>
      <c r="I296">
        <f t="shared" si="41"/>
        <v>0</v>
      </c>
    </row>
    <row r="297" spans="2:9" x14ac:dyDescent="0.25">
      <c r="B297" t="s">
        <v>86</v>
      </c>
      <c r="C297" t="s">
        <v>211</v>
      </c>
      <c r="E297" s="44">
        <v>45409</v>
      </c>
      <c r="F297" t="str">
        <f t="shared" si="39"/>
        <v>abril</v>
      </c>
      <c r="G297">
        <f t="shared" ca="1" si="40"/>
        <v>45484</v>
      </c>
      <c r="H297" s="44">
        <v>45411</v>
      </c>
      <c r="I297">
        <f t="shared" si="41"/>
        <v>2</v>
      </c>
    </row>
    <row r="298" spans="2:9" x14ac:dyDescent="0.25">
      <c r="B298" t="s">
        <v>67</v>
      </c>
      <c r="C298" t="s">
        <v>413</v>
      </c>
      <c r="E298" s="44">
        <v>45409</v>
      </c>
      <c r="F298" t="str">
        <f t="shared" si="39"/>
        <v>abril</v>
      </c>
      <c r="G298">
        <f t="shared" ca="1" si="40"/>
        <v>45484</v>
      </c>
      <c r="H298" s="44">
        <v>45411</v>
      </c>
      <c r="I298">
        <f t="shared" si="41"/>
        <v>2</v>
      </c>
    </row>
    <row r="299" spans="2:9" x14ac:dyDescent="0.25">
      <c r="B299" t="s">
        <v>93</v>
      </c>
      <c r="C299" t="s">
        <v>414</v>
      </c>
      <c r="E299" s="44">
        <v>45409</v>
      </c>
      <c r="F299" t="str">
        <f t="shared" si="39"/>
        <v>abril</v>
      </c>
      <c r="G299">
        <f t="shared" ca="1" si="40"/>
        <v>45484</v>
      </c>
      <c r="H299" s="44">
        <f>VLOOKUP(C299,Tabela4[],4,FALSE)</f>
        <v>45411</v>
      </c>
      <c r="I299">
        <f t="shared" si="41"/>
        <v>2</v>
      </c>
    </row>
    <row r="300" spans="2:9" x14ac:dyDescent="0.25">
      <c r="B300" t="s">
        <v>415</v>
      </c>
      <c r="C300" t="s">
        <v>416</v>
      </c>
      <c r="E300" s="44">
        <v>45409</v>
      </c>
      <c r="F300" t="str">
        <f t="shared" ref="F300:F324" si="42">TEXT(DATE(YEAR(E300),MONTH(E300),DAY(E300)),"MMMM")</f>
        <v>abril</v>
      </c>
      <c r="G300">
        <f t="shared" ref="G300:G324" ca="1" si="43">DATE(YEAR(TODAY()), MONTH(TODAY()),DAY(TODAY()))</f>
        <v>45484</v>
      </c>
      <c r="H300" s="44">
        <f>VLOOKUP(C300,Tabela4[],4,FALSE)</f>
        <v>45411</v>
      </c>
      <c r="I300">
        <f t="shared" ref="I300:I324" si="44">IF(H300&lt;&gt;"",H300-E300,G300-E300)</f>
        <v>2</v>
      </c>
    </row>
    <row r="301" spans="2:9" x14ac:dyDescent="0.25">
      <c r="B301" t="s">
        <v>219</v>
      </c>
      <c r="C301" t="s">
        <v>417</v>
      </c>
      <c r="E301" s="44">
        <v>45409</v>
      </c>
      <c r="F301" t="str">
        <f t="shared" si="42"/>
        <v>abril</v>
      </c>
      <c r="G301">
        <f t="shared" ca="1" si="43"/>
        <v>45484</v>
      </c>
      <c r="H301" s="44">
        <f>VLOOKUP(C301,Tabela4[],4,FALSE)</f>
        <v>45412</v>
      </c>
      <c r="I301">
        <f t="shared" si="44"/>
        <v>3</v>
      </c>
    </row>
    <row r="302" spans="2:9" x14ac:dyDescent="0.25">
      <c r="B302" t="s">
        <v>282</v>
      </c>
      <c r="C302" t="s">
        <v>418</v>
      </c>
      <c r="E302" s="44">
        <v>45409</v>
      </c>
      <c r="F302" t="str">
        <f t="shared" si="42"/>
        <v>abril</v>
      </c>
      <c r="G302">
        <f t="shared" ca="1" si="43"/>
        <v>45484</v>
      </c>
      <c r="H302" s="44">
        <f>VLOOKUP(C302,Tabela4[],4,FALSE)</f>
        <v>45415</v>
      </c>
      <c r="I302">
        <f t="shared" si="44"/>
        <v>6</v>
      </c>
    </row>
    <row r="303" spans="2:9" x14ac:dyDescent="0.25">
      <c r="B303">
        <v>207</v>
      </c>
      <c r="C303" t="s">
        <v>419</v>
      </c>
      <c r="E303" s="44">
        <v>45409</v>
      </c>
      <c r="F303" t="str">
        <f t="shared" si="42"/>
        <v>abril</v>
      </c>
      <c r="G303">
        <f t="shared" ca="1" si="43"/>
        <v>45484</v>
      </c>
      <c r="H303" s="44">
        <f>VLOOKUP(C303,Tabela4[],4,FALSE)</f>
        <v>45412</v>
      </c>
      <c r="I303">
        <f t="shared" si="44"/>
        <v>3</v>
      </c>
    </row>
    <row r="304" spans="2:9" x14ac:dyDescent="0.25">
      <c r="B304" t="s">
        <v>182</v>
      </c>
      <c r="C304" t="s">
        <v>183</v>
      </c>
      <c r="E304" s="44">
        <v>45411</v>
      </c>
      <c r="F304" t="str">
        <f t="shared" si="42"/>
        <v>abril</v>
      </c>
      <c r="G304">
        <f t="shared" ca="1" si="43"/>
        <v>45484</v>
      </c>
      <c r="H304" s="44">
        <f>VLOOKUP(C304,Tabela4[],4,FALSE)</f>
        <v>45343</v>
      </c>
      <c r="I304">
        <f t="shared" si="44"/>
        <v>-68</v>
      </c>
    </row>
    <row r="305" spans="2:9" x14ac:dyDescent="0.25">
      <c r="B305" t="s">
        <v>353</v>
      </c>
      <c r="C305" t="s">
        <v>420</v>
      </c>
      <c r="E305" s="44">
        <v>45411</v>
      </c>
      <c r="F305" t="str">
        <f t="shared" si="42"/>
        <v>abril</v>
      </c>
      <c r="G305">
        <f t="shared" ca="1" si="43"/>
        <v>45484</v>
      </c>
      <c r="H305" s="44">
        <f>VLOOKUP(C305,Tabela4[],4,FALSE)</f>
        <v>45434</v>
      </c>
      <c r="I305">
        <f t="shared" si="44"/>
        <v>23</v>
      </c>
    </row>
    <row r="306" spans="2:9" x14ac:dyDescent="0.25">
      <c r="B306" t="s">
        <v>190</v>
      </c>
      <c r="C306" t="s">
        <v>421</v>
      </c>
      <c r="E306" s="44">
        <v>45388</v>
      </c>
      <c r="F306" t="str">
        <f t="shared" si="42"/>
        <v>abril</v>
      </c>
      <c r="G306">
        <f t="shared" ca="1" si="43"/>
        <v>45484</v>
      </c>
      <c r="H306" s="44">
        <f>VLOOKUP(C306,Tabela4[],4,FALSE)</f>
        <v>45420</v>
      </c>
      <c r="I306">
        <f t="shared" si="44"/>
        <v>32</v>
      </c>
    </row>
    <row r="307" spans="2:9" x14ac:dyDescent="0.25">
      <c r="B307" t="s">
        <v>364</v>
      </c>
      <c r="C307" t="s">
        <v>422</v>
      </c>
      <c r="E307" s="44">
        <v>45414</v>
      </c>
      <c r="F307" t="str">
        <f t="shared" si="42"/>
        <v>maio</v>
      </c>
      <c r="G307">
        <f t="shared" ca="1" si="43"/>
        <v>45484</v>
      </c>
      <c r="H307" s="44">
        <v>45414</v>
      </c>
      <c r="I307">
        <f t="shared" si="44"/>
        <v>0</v>
      </c>
    </row>
    <row r="308" spans="2:9" x14ac:dyDescent="0.25">
      <c r="B308" t="s">
        <v>148</v>
      </c>
      <c r="C308" t="s">
        <v>423</v>
      </c>
      <c r="E308" s="44">
        <v>45414</v>
      </c>
      <c r="F308" t="str">
        <f t="shared" si="42"/>
        <v>maio</v>
      </c>
      <c r="G308">
        <f t="shared" ca="1" si="43"/>
        <v>45484</v>
      </c>
      <c r="H308" s="44">
        <v>45416</v>
      </c>
      <c r="I308">
        <f t="shared" si="44"/>
        <v>2</v>
      </c>
    </row>
    <row r="309" spans="2:9" x14ac:dyDescent="0.25">
      <c r="B309" t="s">
        <v>282</v>
      </c>
      <c r="C309" t="s">
        <v>424</v>
      </c>
      <c r="E309" s="44">
        <v>45414</v>
      </c>
      <c r="F309" t="str">
        <f t="shared" si="42"/>
        <v>maio</v>
      </c>
      <c r="G309">
        <f t="shared" ca="1" si="43"/>
        <v>45484</v>
      </c>
      <c r="H309" s="44">
        <f>VLOOKUP(C309,Tabela4[],4,FALSE)</f>
        <v>45414</v>
      </c>
      <c r="I309">
        <f t="shared" si="44"/>
        <v>0</v>
      </c>
    </row>
    <row r="310" spans="2:9" x14ac:dyDescent="0.25">
      <c r="B310" t="s">
        <v>425</v>
      </c>
      <c r="C310" t="s">
        <v>426</v>
      </c>
      <c r="E310" s="44">
        <v>45414</v>
      </c>
      <c r="F310" t="str">
        <f t="shared" si="42"/>
        <v>maio</v>
      </c>
      <c r="G310">
        <f t="shared" ca="1" si="43"/>
        <v>45484</v>
      </c>
      <c r="H310" s="44">
        <v>45416</v>
      </c>
      <c r="I310">
        <f t="shared" si="44"/>
        <v>2</v>
      </c>
    </row>
    <row r="311" spans="2:9" x14ac:dyDescent="0.25">
      <c r="B311" t="s">
        <v>236</v>
      </c>
      <c r="C311" t="s">
        <v>237</v>
      </c>
      <c r="E311" s="44">
        <v>45414</v>
      </c>
      <c r="F311" t="str">
        <f t="shared" si="42"/>
        <v>maio</v>
      </c>
      <c r="G311">
        <f t="shared" ca="1" si="43"/>
        <v>45484</v>
      </c>
      <c r="H311" s="44">
        <v>45414</v>
      </c>
      <c r="I311">
        <f t="shared" si="44"/>
        <v>0</v>
      </c>
    </row>
    <row r="312" spans="2:9" x14ac:dyDescent="0.25">
      <c r="B312" t="s">
        <v>98</v>
      </c>
      <c r="C312" t="s">
        <v>427</v>
      </c>
      <c r="E312" s="44">
        <v>45415</v>
      </c>
      <c r="F312" t="str">
        <f t="shared" si="42"/>
        <v>maio</v>
      </c>
      <c r="G312">
        <f t="shared" ca="1" si="43"/>
        <v>45484</v>
      </c>
      <c r="H312" s="44">
        <f>VLOOKUP(C312,Tabela4[],4,FALSE)</f>
        <v>45419</v>
      </c>
      <c r="I312">
        <f t="shared" si="44"/>
        <v>4</v>
      </c>
    </row>
    <row r="313" spans="2:9" x14ac:dyDescent="0.25">
      <c r="B313" t="s">
        <v>91</v>
      </c>
      <c r="C313" t="s">
        <v>428</v>
      </c>
      <c r="E313" s="44">
        <v>45415</v>
      </c>
      <c r="F313" t="str">
        <f t="shared" si="42"/>
        <v>maio</v>
      </c>
      <c r="G313">
        <f t="shared" ca="1" si="43"/>
        <v>45484</v>
      </c>
      <c r="H313" s="44">
        <v>45415</v>
      </c>
      <c r="I313">
        <f t="shared" si="44"/>
        <v>0</v>
      </c>
    </row>
    <row r="314" spans="2:9" x14ac:dyDescent="0.25">
      <c r="B314" t="s">
        <v>323</v>
      </c>
      <c r="C314" t="s">
        <v>429</v>
      </c>
      <c r="E314" s="44">
        <v>45415</v>
      </c>
      <c r="F314" t="str">
        <f t="shared" si="42"/>
        <v>maio</v>
      </c>
      <c r="G314">
        <f t="shared" ca="1" si="43"/>
        <v>45484</v>
      </c>
      <c r="H314" s="44">
        <f>VLOOKUP(C314,Tabela4[],4,FALSE)</f>
        <v>45415</v>
      </c>
      <c r="I314">
        <f t="shared" si="44"/>
        <v>0</v>
      </c>
    </row>
    <row r="315" spans="2:9" x14ac:dyDescent="0.25">
      <c r="B315" t="s">
        <v>430</v>
      </c>
      <c r="C315" t="s">
        <v>431</v>
      </c>
      <c r="E315" s="44">
        <v>45415</v>
      </c>
      <c r="F315" t="str">
        <f t="shared" si="42"/>
        <v>maio</v>
      </c>
      <c r="G315">
        <f t="shared" ca="1" si="43"/>
        <v>45484</v>
      </c>
      <c r="H315" s="44" t="e">
        <f>VLOOKUP(C315,Tabela4[],4,FALSE)</f>
        <v>#N/A</v>
      </c>
      <c r="I315" t="e">
        <f t="shared" si="44"/>
        <v>#N/A</v>
      </c>
    </row>
    <row r="316" spans="2:9" x14ac:dyDescent="0.25">
      <c r="B316" t="s">
        <v>432</v>
      </c>
      <c r="C316" t="s">
        <v>433</v>
      </c>
      <c r="E316" s="44">
        <v>45415</v>
      </c>
      <c r="F316" t="str">
        <f t="shared" si="42"/>
        <v>maio</v>
      </c>
      <c r="G316">
        <f t="shared" ca="1" si="43"/>
        <v>45484</v>
      </c>
      <c r="H316" s="44">
        <f>VLOOKUP(C316,Tabela4[],4,FALSE)</f>
        <v>45426</v>
      </c>
      <c r="I316">
        <f t="shared" si="44"/>
        <v>11</v>
      </c>
    </row>
    <row r="317" spans="2:9" x14ac:dyDescent="0.25">
      <c r="B317" t="s">
        <v>65</v>
      </c>
      <c r="C317" t="s">
        <v>434</v>
      </c>
      <c r="E317" s="44">
        <v>45415</v>
      </c>
      <c r="F317" t="str">
        <f t="shared" si="42"/>
        <v>maio</v>
      </c>
      <c r="G317">
        <f t="shared" ca="1" si="43"/>
        <v>45484</v>
      </c>
      <c r="H317" s="44">
        <f>VLOOKUP(C317,Tabela4[],4,FALSE)</f>
        <v>45415</v>
      </c>
      <c r="I317">
        <f t="shared" si="44"/>
        <v>0</v>
      </c>
    </row>
    <row r="318" spans="2:9" x14ac:dyDescent="0.25">
      <c r="B318" t="s">
        <v>282</v>
      </c>
      <c r="C318" t="s">
        <v>435</v>
      </c>
      <c r="E318" s="44">
        <v>45415</v>
      </c>
      <c r="F318" t="str">
        <f t="shared" si="42"/>
        <v>maio</v>
      </c>
      <c r="G318">
        <f t="shared" ca="1" si="43"/>
        <v>45484</v>
      </c>
      <c r="H318" s="44">
        <f>VLOOKUP(C318,Tabela4[],4,FALSE)</f>
        <v>45415</v>
      </c>
      <c r="I318">
        <f t="shared" si="44"/>
        <v>0</v>
      </c>
    </row>
    <row r="319" spans="2:9" x14ac:dyDescent="0.25">
      <c r="B319" t="s">
        <v>209</v>
      </c>
      <c r="C319" t="s">
        <v>436</v>
      </c>
      <c r="E319" s="44">
        <v>45416</v>
      </c>
      <c r="F319" t="str">
        <f t="shared" si="42"/>
        <v>maio</v>
      </c>
      <c r="G319">
        <f t="shared" ca="1" si="43"/>
        <v>45484</v>
      </c>
      <c r="H319" s="44" t="e">
        <f>VLOOKUP(C319,Tabela4[],4,FALSE)</f>
        <v>#N/A</v>
      </c>
      <c r="I319" t="e">
        <f t="shared" si="44"/>
        <v>#N/A</v>
      </c>
    </row>
    <row r="320" spans="2:9" x14ac:dyDescent="0.25">
      <c r="B320" t="s">
        <v>437</v>
      </c>
      <c r="C320" s="41" t="s">
        <v>438</v>
      </c>
      <c r="E320" s="44">
        <v>45415</v>
      </c>
      <c r="F320" t="str">
        <f t="shared" si="42"/>
        <v>maio</v>
      </c>
      <c r="G320">
        <f t="shared" ca="1" si="43"/>
        <v>45484</v>
      </c>
      <c r="H320" s="44">
        <f>VLOOKUP(C320,Tabela4[],4,FALSE)</f>
        <v>45422</v>
      </c>
      <c r="I320">
        <f t="shared" si="44"/>
        <v>7</v>
      </c>
    </row>
    <row r="321" spans="2:9" x14ac:dyDescent="0.25">
      <c r="B321" t="s">
        <v>98</v>
      </c>
      <c r="C321" t="s">
        <v>439</v>
      </c>
      <c r="E321" s="44">
        <v>45416</v>
      </c>
      <c r="F321" t="str">
        <f t="shared" si="42"/>
        <v>maio</v>
      </c>
      <c r="G321">
        <f t="shared" ca="1" si="43"/>
        <v>45484</v>
      </c>
      <c r="H321" s="44" t="e">
        <f>VLOOKUP(C321,Tabela4[],4,FALSE)</f>
        <v>#N/A</v>
      </c>
      <c r="I321" t="e">
        <f t="shared" si="44"/>
        <v>#N/A</v>
      </c>
    </row>
    <row r="322" spans="2:9" x14ac:dyDescent="0.25">
      <c r="B322" t="s">
        <v>110</v>
      </c>
      <c r="C322" t="s">
        <v>389</v>
      </c>
      <c r="E322" s="44">
        <v>45418</v>
      </c>
      <c r="F322" t="str">
        <f t="shared" si="42"/>
        <v>maio</v>
      </c>
      <c r="G322">
        <f t="shared" ca="1" si="43"/>
        <v>45484</v>
      </c>
      <c r="H322" s="44"/>
      <c r="I322">
        <f t="shared" ca="1" si="44"/>
        <v>66</v>
      </c>
    </row>
    <row r="323" spans="2:9" x14ac:dyDescent="0.25">
      <c r="B323" t="s">
        <v>260</v>
      </c>
      <c r="C323" t="s">
        <v>440</v>
      </c>
      <c r="E323" s="44">
        <v>45418</v>
      </c>
      <c r="F323" t="str">
        <f t="shared" si="42"/>
        <v>maio</v>
      </c>
      <c r="G323">
        <f t="shared" ca="1" si="43"/>
        <v>45484</v>
      </c>
      <c r="H323" s="44">
        <f>VLOOKUP(C323,Tabela4[],4,FALSE)</f>
        <v>45419</v>
      </c>
      <c r="I323">
        <f t="shared" si="44"/>
        <v>1</v>
      </c>
    </row>
    <row r="324" spans="2:9" x14ac:dyDescent="0.25">
      <c r="B324" t="s">
        <v>67</v>
      </c>
      <c r="C324" t="s">
        <v>441</v>
      </c>
      <c r="E324" s="44">
        <v>45419</v>
      </c>
      <c r="F324" t="str">
        <f t="shared" si="42"/>
        <v>maio</v>
      </c>
      <c r="G324">
        <f t="shared" ca="1" si="43"/>
        <v>45484</v>
      </c>
      <c r="H324" s="44"/>
      <c r="I324">
        <f t="shared" ca="1" si="44"/>
        <v>65</v>
      </c>
    </row>
    <row r="325" spans="2:9" x14ac:dyDescent="0.25">
      <c r="B325" t="s">
        <v>442</v>
      </c>
      <c r="C325" t="s">
        <v>443</v>
      </c>
      <c r="E325" s="44">
        <v>45419</v>
      </c>
      <c r="F325" t="str">
        <f t="shared" ref="F325:F330" si="45">TEXT(DATE(YEAR(E325),MONTH(E325),DAY(E325)),"MMMM")</f>
        <v>maio</v>
      </c>
      <c r="G325">
        <f t="shared" ref="G325:G330" ca="1" si="46">DATE(YEAR(TODAY()), MONTH(TODAY()),DAY(TODAY()))</f>
        <v>45484</v>
      </c>
      <c r="H325" s="44">
        <f>VLOOKUP(C325,Tabela4[],4,FALSE)</f>
        <v>45457</v>
      </c>
      <c r="I325">
        <f t="shared" ref="I325:I330" si="47">IF(H325&lt;&gt;"",H325-E325,G325-E325)</f>
        <v>38</v>
      </c>
    </row>
    <row r="326" spans="2:9" x14ac:dyDescent="0.25">
      <c r="B326" t="s">
        <v>67</v>
      </c>
      <c r="E326" s="44"/>
      <c r="F326" t="str">
        <f t="shared" si="45"/>
        <v>janeiro</v>
      </c>
      <c r="G326">
        <f t="shared" ca="1" si="46"/>
        <v>45484</v>
      </c>
      <c r="H326" s="44" t="e">
        <f>VLOOKUP(C326,Tabela4[],4,FALSE)</f>
        <v>#N/A</v>
      </c>
      <c r="I326" t="e">
        <f t="shared" si="47"/>
        <v>#N/A</v>
      </c>
    </row>
    <row r="327" spans="2:9" x14ac:dyDescent="0.25">
      <c r="B327" t="s">
        <v>63</v>
      </c>
      <c r="C327" t="s">
        <v>444</v>
      </c>
      <c r="E327" s="44">
        <v>45419</v>
      </c>
      <c r="F327" t="str">
        <f t="shared" si="45"/>
        <v>maio</v>
      </c>
      <c r="G327">
        <f t="shared" ca="1" si="46"/>
        <v>45484</v>
      </c>
      <c r="H327" s="44">
        <f>VLOOKUP(C327,Tabela4[],4,FALSE)</f>
        <v>45419</v>
      </c>
      <c r="I327">
        <f t="shared" si="47"/>
        <v>0</v>
      </c>
    </row>
    <row r="328" spans="2:9" x14ac:dyDescent="0.25">
      <c r="B328" t="s">
        <v>119</v>
      </c>
      <c r="C328" t="s">
        <v>120</v>
      </c>
      <c r="E328" s="44">
        <v>45419</v>
      </c>
      <c r="F328" t="str">
        <f t="shared" si="45"/>
        <v>maio</v>
      </c>
      <c r="G328">
        <f t="shared" ca="1" si="46"/>
        <v>45484</v>
      </c>
      <c r="H328" s="44">
        <f>VLOOKUP(C328,Tabela4[],4,FALSE)</f>
        <v>45446</v>
      </c>
      <c r="I328">
        <f t="shared" si="47"/>
        <v>27</v>
      </c>
    </row>
    <row r="329" spans="2:9" x14ac:dyDescent="0.25">
      <c r="B329" t="s">
        <v>445</v>
      </c>
      <c r="E329" s="44"/>
      <c r="F329" t="str">
        <f t="shared" si="45"/>
        <v>janeiro</v>
      </c>
      <c r="G329">
        <f t="shared" ca="1" si="46"/>
        <v>45484</v>
      </c>
      <c r="H329" s="44" t="e">
        <f>VLOOKUP(C329,Tabela4[],4,FALSE)</f>
        <v>#N/A</v>
      </c>
      <c r="I329" t="e">
        <f t="shared" si="47"/>
        <v>#N/A</v>
      </c>
    </row>
    <row r="330" spans="2:9" x14ac:dyDescent="0.25">
      <c r="B330">
        <v>207</v>
      </c>
      <c r="C330" t="s">
        <v>446</v>
      </c>
      <c r="E330" s="44">
        <v>45415</v>
      </c>
      <c r="F330" t="str">
        <f t="shared" si="45"/>
        <v>maio</v>
      </c>
      <c r="G330">
        <f t="shared" ca="1" si="46"/>
        <v>45484</v>
      </c>
      <c r="H330" s="44">
        <v>45420</v>
      </c>
      <c r="I330">
        <f t="shared" si="47"/>
        <v>5</v>
      </c>
    </row>
  </sheetData>
  <hyperlinks>
    <hyperlink ref="C38" r:id="rId1" xr:uid="{E0925AA0-5347-427D-8592-E9C461A4E27D}"/>
    <hyperlink ref="C136" r:id="rId2" xr:uid="{5AF4FA00-3E38-43ED-B0A2-951082835125}"/>
  </hyperlinks>
  <pageMargins left="0.511811024" right="0.511811024" top="0.78740157499999996" bottom="0.78740157499999996" header="0.31496062000000002" footer="0.3149606200000000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5972-A6C6-437F-AC8B-A3DFEB58AEA8}">
  <dimension ref="B1:N158"/>
  <sheetViews>
    <sheetView topLeftCell="A88" workbookViewId="0">
      <selection activeCell="N100" sqref="N100"/>
    </sheetView>
  </sheetViews>
  <sheetFormatPr defaultRowHeight="15" x14ac:dyDescent="0.25"/>
  <cols>
    <col min="3" max="3" width="11.5703125" style="40" customWidth="1"/>
    <col min="4" max="4" width="10.7109375" style="40" bestFit="1" customWidth="1"/>
  </cols>
  <sheetData>
    <row r="1" spans="2:5" x14ac:dyDescent="0.25">
      <c r="B1" t="s">
        <v>47</v>
      </c>
      <c r="C1" s="40" t="s">
        <v>447</v>
      </c>
      <c r="D1" s="40" t="s">
        <v>448</v>
      </c>
      <c r="E1" t="s">
        <v>59</v>
      </c>
    </row>
    <row r="2" spans="2:5" x14ac:dyDescent="0.25">
      <c r="B2" s="15" t="s">
        <v>449</v>
      </c>
      <c r="C2" s="40">
        <f>VLOOKUP(B2,Tabela4[],2,FALSE)</f>
        <v>0</v>
      </c>
      <c r="D2" s="40">
        <f>VLOOKUP(B2,Tabela4[],3,FALSE)</f>
        <v>45321</v>
      </c>
      <c r="E2">
        <f>D2-C2</f>
        <v>45321</v>
      </c>
    </row>
    <row r="3" spans="2:5" x14ac:dyDescent="0.25">
      <c r="B3" s="15" t="s">
        <v>450</v>
      </c>
      <c r="C3" s="40">
        <f>VLOOKUP(B3,Tabela4[],2,FALSE)</f>
        <v>0</v>
      </c>
      <c r="D3" s="40">
        <f>VLOOKUP(B3,Tabela4[],3,FALSE)</f>
        <v>45320</v>
      </c>
      <c r="E3">
        <f t="shared" ref="E3:E66" si="0">D3-C3</f>
        <v>45320</v>
      </c>
    </row>
    <row r="4" spans="2:5" x14ac:dyDescent="0.25">
      <c r="B4" s="15" t="s">
        <v>451</v>
      </c>
      <c r="C4" s="40">
        <f>VLOOKUP(B4,Tabela4[],2,FALSE)</f>
        <v>0</v>
      </c>
      <c r="D4" s="40">
        <f>VLOOKUP(B4,Tabela4[],3,FALSE)</f>
        <v>45323</v>
      </c>
      <c r="E4">
        <f t="shared" si="0"/>
        <v>45323</v>
      </c>
    </row>
    <row r="5" spans="2:5" x14ac:dyDescent="0.25">
      <c r="B5" s="15" t="s">
        <v>452</v>
      </c>
      <c r="C5" s="40">
        <f>VLOOKUP(B5,Tabela4[],2,FALSE)</f>
        <v>0</v>
      </c>
      <c r="D5" s="40">
        <f>VLOOKUP(B5,Tabela4[],3,FALSE)</f>
        <v>45301</v>
      </c>
      <c r="E5">
        <f t="shared" si="0"/>
        <v>45301</v>
      </c>
    </row>
    <row r="6" spans="2:5" x14ac:dyDescent="0.25">
      <c r="B6" s="15" t="s">
        <v>453</v>
      </c>
      <c r="C6" s="40">
        <f>VLOOKUP(B6,Tabela4[],2,FALSE)</f>
        <v>0</v>
      </c>
      <c r="D6" s="40">
        <f>VLOOKUP(B6,Tabela4[],3,FALSE)</f>
        <v>45324</v>
      </c>
      <c r="E6">
        <f t="shared" si="0"/>
        <v>45324</v>
      </c>
    </row>
    <row r="7" spans="2:5" x14ac:dyDescent="0.25">
      <c r="B7" s="15" t="s">
        <v>454</v>
      </c>
      <c r="C7" s="40">
        <f>VLOOKUP(B7,Tabela4[],2,FALSE)</f>
        <v>0</v>
      </c>
      <c r="D7" s="40">
        <f>VLOOKUP(B7,Tabela4[],3,FALSE)</f>
        <v>45309</v>
      </c>
      <c r="E7">
        <f t="shared" si="0"/>
        <v>45309</v>
      </c>
    </row>
    <row r="8" spans="2:5" x14ac:dyDescent="0.25">
      <c r="B8" s="15" t="s">
        <v>455</v>
      </c>
      <c r="C8" s="40">
        <f>VLOOKUP(B8,Tabela4[],2,FALSE)</f>
        <v>0</v>
      </c>
      <c r="D8" s="40">
        <f>VLOOKUP(B8,Tabela4[],3,FALSE)</f>
        <v>45310</v>
      </c>
      <c r="E8">
        <f t="shared" si="0"/>
        <v>45310</v>
      </c>
    </row>
    <row r="9" spans="2:5" x14ac:dyDescent="0.25">
      <c r="B9" s="15" t="s">
        <v>456</v>
      </c>
      <c r="C9" s="40">
        <f>VLOOKUP(B9,Tabela4[],2,FALSE)</f>
        <v>0</v>
      </c>
      <c r="D9" s="40">
        <f>VLOOKUP(B9,Tabela4[],3,FALSE)</f>
        <v>45313</v>
      </c>
      <c r="E9">
        <f t="shared" si="0"/>
        <v>45313</v>
      </c>
    </row>
    <row r="10" spans="2:5" x14ac:dyDescent="0.25">
      <c r="B10" s="15" t="s">
        <v>457</v>
      </c>
      <c r="C10" s="40">
        <f>VLOOKUP(B10,Tabela4[],2,FALSE)</f>
        <v>0</v>
      </c>
      <c r="D10" s="40">
        <f>VLOOKUP(B10,Tabela4[],3,FALSE)</f>
        <v>45322</v>
      </c>
      <c r="E10">
        <f t="shared" si="0"/>
        <v>45322</v>
      </c>
    </row>
    <row r="11" spans="2:5" x14ac:dyDescent="0.25">
      <c r="B11" s="15" t="s">
        <v>458</v>
      </c>
      <c r="C11" s="40">
        <f>VLOOKUP(B11,Tabela4[],2,FALSE)</f>
        <v>0</v>
      </c>
      <c r="D11" s="40">
        <f>VLOOKUP(B11,Tabela4[],3,FALSE)</f>
        <v>45324</v>
      </c>
      <c r="E11">
        <f t="shared" si="0"/>
        <v>45324</v>
      </c>
    </row>
    <row r="12" spans="2:5" x14ac:dyDescent="0.25">
      <c r="B12" s="15" t="s">
        <v>459</v>
      </c>
      <c r="C12" s="40">
        <f>VLOOKUP(B12,Tabela4[],2,FALSE)</f>
        <v>0</v>
      </c>
      <c r="D12" s="40">
        <f>VLOOKUP(B12,Tabela4[],3,FALSE)</f>
        <v>45324</v>
      </c>
      <c r="E12">
        <f t="shared" si="0"/>
        <v>45324</v>
      </c>
    </row>
    <row r="13" spans="2:5" x14ac:dyDescent="0.25">
      <c r="B13" s="15" t="s">
        <v>460</v>
      </c>
      <c r="C13" s="40">
        <f>VLOOKUP(B13,Tabela4[],2,FALSE)</f>
        <v>0</v>
      </c>
      <c r="D13" s="40">
        <f>VLOOKUP(B13,Tabela4[],3,FALSE)</f>
        <v>45322</v>
      </c>
      <c r="E13">
        <f t="shared" si="0"/>
        <v>45322</v>
      </c>
    </row>
    <row r="14" spans="2:5" x14ac:dyDescent="0.25">
      <c r="B14" s="15" t="s">
        <v>461</v>
      </c>
      <c r="C14" s="40">
        <f>VLOOKUP(B14,Tabela4[],2,FALSE)</f>
        <v>0</v>
      </c>
      <c r="D14" s="40">
        <f>VLOOKUP(B14,Tabela4[],3,FALSE)</f>
        <v>45324</v>
      </c>
      <c r="E14">
        <f t="shared" si="0"/>
        <v>45324</v>
      </c>
    </row>
    <row r="15" spans="2:5" x14ac:dyDescent="0.25">
      <c r="B15" s="15" t="s">
        <v>462</v>
      </c>
      <c r="C15" s="40">
        <f>VLOOKUP(B15,Tabela4[],2,FALSE)</f>
        <v>0</v>
      </c>
      <c r="D15" s="40">
        <f>VLOOKUP(B15,Tabela4[],3,FALSE)</f>
        <v>45323</v>
      </c>
      <c r="E15">
        <f t="shared" si="0"/>
        <v>45323</v>
      </c>
    </row>
    <row r="16" spans="2:5" x14ac:dyDescent="0.25">
      <c r="B16" s="15" t="s">
        <v>463</v>
      </c>
      <c r="C16" s="40">
        <f>VLOOKUP(B16,Tabela4[],2,FALSE)</f>
        <v>0</v>
      </c>
      <c r="D16" s="40">
        <f>VLOOKUP(B16,Tabela4[],3,FALSE)</f>
        <v>45327</v>
      </c>
      <c r="E16">
        <f t="shared" si="0"/>
        <v>45327</v>
      </c>
    </row>
    <row r="17" spans="2:5" x14ac:dyDescent="0.25">
      <c r="B17" s="15" t="s">
        <v>464</v>
      </c>
      <c r="C17" s="40">
        <f>VLOOKUP(B17,Tabela4[],2,FALSE)</f>
        <v>0</v>
      </c>
      <c r="D17" s="40">
        <f>VLOOKUP(B17,Tabela4[],3,FALSE)</f>
        <v>45327</v>
      </c>
      <c r="E17">
        <f t="shared" si="0"/>
        <v>45327</v>
      </c>
    </row>
    <row r="18" spans="2:5" x14ac:dyDescent="0.25">
      <c r="B18" s="15" t="s">
        <v>465</v>
      </c>
      <c r="C18" s="40">
        <f>VLOOKUP(B18,Tabela4[],2,FALSE)</f>
        <v>0</v>
      </c>
      <c r="D18" s="40">
        <f>VLOOKUP(B18,Tabela4[],3,FALSE)</f>
        <v>45327</v>
      </c>
      <c r="E18">
        <f t="shared" si="0"/>
        <v>45327</v>
      </c>
    </row>
    <row r="19" spans="2:5" x14ac:dyDescent="0.25">
      <c r="B19" s="15" t="s">
        <v>466</v>
      </c>
      <c r="C19" s="40">
        <f>VLOOKUP(B19,Tabela4[],2,FALSE)</f>
        <v>0</v>
      </c>
      <c r="D19" s="40">
        <f>VLOOKUP(B19,Tabela4[],3,FALSE)</f>
        <v>45323</v>
      </c>
      <c r="E19">
        <f t="shared" si="0"/>
        <v>45323</v>
      </c>
    </row>
    <row r="20" spans="2:5" x14ac:dyDescent="0.25">
      <c r="B20" s="15" t="s">
        <v>397</v>
      </c>
      <c r="C20" s="40">
        <f>VLOOKUP(B20,Tabela4[],2,FALSE)</f>
        <v>0</v>
      </c>
      <c r="D20" s="40">
        <f>VLOOKUP(B20,Tabela4[],3,FALSE)</f>
        <v>45310</v>
      </c>
      <c r="E20">
        <f t="shared" si="0"/>
        <v>45310</v>
      </c>
    </row>
    <row r="21" spans="2:5" x14ac:dyDescent="0.25">
      <c r="B21" s="15" t="s">
        <v>467</v>
      </c>
      <c r="C21" s="40">
        <f>VLOOKUP(B21,Tabela4[],2,FALSE)</f>
        <v>0</v>
      </c>
      <c r="D21" s="40">
        <f>VLOOKUP(B21,Tabela4[],3,FALSE)</f>
        <v>45324</v>
      </c>
      <c r="E21">
        <f t="shared" si="0"/>
        <v>45324</v>
      </c>
    </row>
    <row r="22" spans="2:5" x14ac:dyDescent="0.25">
      <c r="B22" s="15" t="s">
        <v>468</v>
      </c>
      <c r="C22" s="40">
        <f>VLOOKUP(B22,Tabela4[],2,FALSE)</f>
        <v>0</v>
      </c>
      <c r="D22" s="40">
        <f>VLOOKUP(B22,Tabela4[],3,FALSE)</f>
        <v>45327</v>
      </c>
      <c r="E22">
        <f t="shared" si="0"/>
        <v>45327</v>
      </c>
    </row>
    <row r="23" spans="2:5" x14ac:dyDescent="0.25">
      <c r="B23" s="15" t="s">
        <v>461</v>
      </c>
      <c r="C23" s="40">
        <f>VLOOKUP(B23,Tabela4[],2,FALSE)</f>
        <v>0</v>
      </c>
      <c r="D23" s="40">
        <f>VLOOKUP(B23,Tabela4[],3,FALSE)</f>
        <v>45324</v>
      </c>
      <c r="E23">
        <f t="shared" si="0"/>
        <v>45324</v>
      </c>
    </row>
    <row r="24" spans="2:5" x14ac:dyDescent="0.25">
      <c r="B24" s="15" t="s">
        <v>224</v>
      </c>
      <c r="C24" s="40">
        <f>VLOOKUP(B24,Tabela4[],2,FALSE)</f>
        <v>0</v>
      </c>
      <c r="D24" s="40">
        <f>VLOOKUP(B24,Tabela4[],3,FALSE)</f>
        <v>45328</v>
      </c>
      <c r="E24">
        <f t="shared" si="0"/>
        <v>45328</v>
      </c>
    </row>
    <row r="25" spans="2:5" x14ac:dyDescent="0.25">
      <c r="B25" s="15" t="s">
        <v>224</v>
      </c>
      <c r="C25" s="40">
        <f>VLOOKUP(B25,Tabela4[],2,FALSE)</f>
        <v>0</v>
      </c>
      <c r="D25" s="40">
        <f>VLOOKUP(B25,Tabela4[],3,FALSE)</f>
        <v>45328</v>
      </c>
      <c r="E25">
        <f t="shared" si="0"/>
        <v>45328</v>
      </c>
    </row>
    <row r="26" spans="2:5" x14ac:dyDescent="0.25">
      <c r="B26" s="15" t="s">
        <v>469</v>
      </c>
      <c r="C26" s="40">
        <f>VLOOKUP(B26,Tabela4[],2,FALSE)</f>
        <v>0</v>
      </c>
      <c r="D26" s="40">
        <f>VLOOKUP(B26,Tabela4[],3,FALSE)</f>
        <v>45321</v>
      </c>
      <c r="E26">
        <f t="shared" si="0"/>
        <v>45321</v>
      </c>
    </row>
    <row r="27" spans="2:5" x14ac:dyDescent="0.25">
      <c r="B27" s="15" t="s">
        <v>470</v>
      </c>
      <c r="C27" s="40">
        <f>VLOOKUP(B27,Tabela4[],2,FALSE)</f>
        <v>0</v>
      </c>
      <c r="D27" s="40">
        <f>VLOOKUP(B27,Tabela4[],3,FALSE)</f>
        <v>45324</v>
      </c>
      <c r="E27">
        <f t="shared" si="0"/>
        <v>45324</v>
      </c>
    </row>
    <row r="28" spans="2:5" x14ac:dyDescent="0.25">
      <c r="B28" s="15" t="s">
        <v>471</v>
      </c>
      <c r="C28" s="40">
        <f>VLOOKUP(B28,Tabela4[],2,FALSE)</f>
        <v>0</v>
      </c>
      <c r="D28" s="40">
        <f>VLOOKUP(B28,Tabela4[],3,FALSE)</f>
        <v>45329</v>
      </c>
      <c r="E28">
        <f t="shared" si="0"/>
        <v>45329</v>
      </c>
    </row>
    <row r="29" spans="2:5" x14ac:dyDescent="0.25">
      <c r="B29" s="15" t="s">
        <v>106</v>
      </c>
      <c r="C29" s="40">
        <f>VLOOKUP(B29,Tabela4[],2,FALSE)</f>
        <v>0</v>
      </c>
      <c r="D29" s="40">
        <f>VLOOKUP(B29,Tabela4[],3,FALSE)</f>
        <v>45329</v>
      </c>
      <c r="E29">
        <f t="shared" si="0"/>
        <v>45329</v>
      </c>
    </row>
    <row r="30" spans="2:5" x14ac:dyDescent="0.25">
      <c r="B30" s="25" t="s">
        <v>472</v>
      </c>
      <c r="C30" s="40">
        <f>VLOOKUP(B30,Tabela4[],2,FALSE)</f>
        <v>0</v>
      </c>
      <c r="D30" s="40">
        <f>VLOOKUP(B30,Tabela4[],3,FALSE)</f>
        <v>45328</v>
      </c>
      <c r="E30">
        <f t="shared" si="0"/>
        <v>45328</v>
      </c>
    </row>
    <row r="31" spans="2:5" x14ac:dyDescent="0.25">
      <c r="B31" s="25" t="s">
        <v>473</v>
      </c>
      <c r="C31" s="40">
        <f>VLOOKUP(B31,Tabela4[],2,FALSE)</f>
        <v>0</v>
      </c>
      <c r="D31" s="40">
        <f>VLOOKUP(B31,Tabela4[],3,FALSE)</f>
        <v>45327</v>
      </c>
      <c r="E31">
        <f t="shared" si="0"/>
        <v>45327</v>
      </c>
    </row>
    <row r="32" spans="2:5" x14ac:dyDescent="0.25">
      <c r="B32" s="25" t="s">
        <v>474</v>
      </c>
      <c r="C32" s="40">
        <f>VLOOKUP(B32,Tabela4[],2,FALSE)</f>
        <v>0</v>
      </c>
      <c r="D32" s="40">
        <f>VLOOKUP(B32,Tabela4[],3,FALSE)</f>
        <v>45330</v>
      </c>
      <c r="E32">
        <f t="shared" si="0"/>
        <v>45330</v>
      </c>
    </row>
    <row r="33" spans="2:5" x14ac:dyDescent="0.25">
      <c r="B33" s="25" t="s">
        <v>261</v>
      </c>
      <c r="C33" s="40">
        <f>VLOOKUP(B33,Tabela4[],2,FALSE)</f>
        <v>0</v>
      </c>
      <c r="D33" s="40">
        <f>VLOOKUP(B33,Tabela4[],3,FALSE)</f>
        <v>45329</v>
      </c>
      <c r="E33">
        <f t="shared" si="0"/>
        <v>45329</v>
      </c>
    </row>
    <row r="34" spans="2:5" x14ac:dyDescent="0.25">
      <c r="B34" s="25" t="s">
        <v>475</v>
      </c>
      <c r="C34" s="40">
        <f>VLOOKUP(B34,Tabela4[],2,FALSE)</f>
        <v>0</v>
      </c>
      <c r="D34" s="40">
        <f>VLOOKUP(B34,Tabela4[],3,FALSE)</f>
        <v>45329</v>
      </c>
      <c r="E34">
        <f t="shared" si="0"/>
        <v>45329</v>
      </c>
    </row>
    <row r="35" spans="2:5" x14ac:dyDescent="0.25">
      <c r="B35" s="25" t="s">
        <v>345</v>
      </c>
      <c r="C35" s="40">
        <f>VLOOKUP(B35,Tabela4[],2,FALSE)</f>
        <v>0</v>
      </c>
      <c r="D35" s="40">
        <f>VLOOKUP(B35,Tabela4[],3,FALSE)</f>
        <v>45329</v>
      </c>
      <c r="E35">
        <f t="shared" si="0"/>
        <v>45329</v>
      </c>
    </row>
    <row r="36" spans="2:5" x14ac:dyDescent="0.25">
      <c r="B36" s="25" t="s">
        <v>475</v>
      </c>
      <c r="C36" s="40">
        <f>VLOOKUP(B36,Tabela4[],2,FALSE)</f>
        <v>0</v>
      </c>
      <c r="D36" s="40">
        <f>VLOOKUP(B36,Tabela4[],3,FALSE)</f>
        <v>45329</v>
      </c>
      <c r="E36">
        <f t="shared" si="0"/>
        <v>45329</v>
      </c>
    </row>
    <row r="37" spans="2:5" x14ac:dyDescent="0.25">
      <c r="B37" s="25" t="s">
        <v>473</v>
      </c>
      <c r="C37" s="40">
        <f>VLOOKUP(B37,Tabela4[],2,FALSE)</f>
        <v>0</v>
      </c>
      <c r="D37" s="40">
        <f>VLOOKUP(B37,Tabela4[],3,FALSE)</f>
        <v>45327</v>
      </c>
      <c r="E37">
        <f t="shared" si="0"/>
        <v>45327</v>
      </c>
    </row>
    <row r="38" spans="2:5" x14ac:dyDescent="0.25">
      <c r="B38" s="25" t="s">
        <v>476</v>
      </c>
      <c r="C38" s="40">
        <f>VLOOKUP(B38,Tabela4[],2,FALSE)</f>
        <v>0</v>
      </c>
      <c r="D38" s="40">
        <f>VLOOKUP(B38,Tabela4[],3,FALSE)</f>
        <v>45329</v>
      </c>
      <c r="E38">
        <f t="shared" si="0"/>
        <v>45329</v>
      </c>
    </row>
    <row r="39" spans="2:5" x14ac:dyDescent="0.25">
      <c r="B39" s="25" t="s">
        <v>477</v>
      </c>
      <c r="C39" s="40">
        <f>VLOOKUP(B39,Tabela4[],2,FALSE)</f>
        <v>0</v>
      </c>
      <c r="D39" s="40">
        <f>VLOOKUP(B39,Tabela4[],3,FALSE)</f>
        <v>45330</v>
      </c>
      <c r="E39">
        <f t="shared" si="0"/>
        <v>45330</v>
      </c>
    </row>
    <row r="40" spans="2:5" x14ac:dyDescent="0.25">
      <c r="B40" s="25" t="s">
        <v>478</v>
      </c>
      <c r="C40" s="40">
        <f>VLOOKUP(B40,Tabela4[],2,FALSE)</f>
        <v>0</v>
      </c>
      <c r="D40" s="40">
        <f>VLOOKUP(B40,Tabela4[],3,FALSE)</f>
        <v>45330</v>
      </c>
      <c r="E40">
        <f t="shared" si="0"/>
        <v>45330</v>
      </c>
    </row>
    <row r="41" spans="2:5" x14ac:dyDescent="0.25">
      <c r="B41" s="25" t="s">
        <v>479</v>
      </c>
      <c r="C41" s="40">
        <f>VLOOKUP(B41,Tabela4[],2,FALSE)</f>
        <v>0</v>
      </c>
      <c r="D41" s="40">
        <f>VLOOKUP(B41,Tabela4[],3,FALSE)</f>
        <v>45302</v>
      </c>
      <c r="E41">
        <f t="shared" si="0"/>
        <v>45302</v>
      </c>
    </row>
    <row r="42" spans="2:5" x14ac:dyDescent="0.25">
      <c r="B42" s="25" t="s">
        <v>480</v>
      </c>
      <c r="C42" s="40">
        <f>VLOOKUP(B42,Tabela4[],2,FALSE)</f>
        <v>0</v>
      </c>
      <c r="D42" s="40">
        <f>VLOOKUP(B42,Tabela4[],3,FALSE)</f>
        <v>45320</v>
      </c>
      <c r="E42">
        <f t="shared" si="0"/>
        <v>45320</v>
      </c>
    </row>
    <row r="43" spans="2:5" x14ac:dyDescent="0.25">
      <c r="B43" s="26" t="s">
        <v>481</v>
      </c>
      <c r="C43" s="40">
        <f>VLOOKUP(B43,Tabela4[],2,FALSE)</f>
        <v>0</v>
      </c>
      <c r="D43" s="40">
        <f>VLOOKUP(B43,Tabela4[],3,FALSE)</f>
        <v>45321</v>
      </c>
      <c r="E43">
        <f t="shared" si="0"/>
        <v>45321</v>
      </c>
    </row>
    <row r="44" spans="2:5" x14ac:dyDescent="0.25">
      <c r="B44" s="25" t="s">
        <v>482</v>
      </c>
      <c r="C44" s="40">
        <f>VLOOKUP(B44,Tabela4[],2,FALSE)</f>
        <v>0</v>
      </c>
      <c r="D44" s="40">
        <f>VLOOKUP(B44,Tabela4[],3,FALSE)</f>
        <v>45327</v>
      </c>
      <c r="E44">
        <f t="shared" si="0"/>
        <v>45327</v>
      </c>
    </row>
    <row r="45" spans="2:5" x14ac:dyDescent="0.25">
      <c r="B45" s="25" t="s">
        <v>483</v>
      </c>
      <c r="C45" s="40">
        <f>VLOOKUP(B45,Tabela4[],2,FALSE)</f>
        <v>0</v>
      </c>
      <c r="D45" s="40">
        <f>VLOOKUP(B45,Tabela4[],3,FALSE)</f>
        <v>45321</v>
      </c>
      <c r="E45">
        <f t="shared" si="0"/>
        <v>45321</v>
      </c>
    </row>
    <row r="46" spans="2:5" x14ac:dyDescent="0.25">
      <c r="B46" s="25" t="s">
        <v>484</v>
      </c>
      <c r="C46" s="40">
        <f>VLOOKUP(B46,Tabela4[],2,FALSE)</f>
        <v>0</v>
      </c>
      <c r="D46" s="40">
        <f>VLOOKUP(B46,Tabela4[],3,FALSE)</f>
        <v>45328</v>
      </c>
      <c r="E46">
        <f t="shared" si="0"/>
        <v>45328</v>
      </c>
    </row>
    <row r="47" spans="2:5" x14ac:dyDescent="0.25">
      <c r="B47" s="25" t="s">
        <v>485</v>
      </c>
      <c r="C47" s="40">
        <f>VLOOKUP(B47,Tabela4[],2,FALSE)</f>
        <v>0</v>
      </c>
      <c r="D47" s="40">
        <f>VLOOKUP(B47,Tabela4[],3,FALSE)</f>
        <v>45329</v>
      </c>
      <c r="E47">
        <f t="shared" si="0"/>
        <v>45329</v>
      </c>
    </row>
    <row r="48" spans="2:5" x14ac:dyDescent="0.25">
      <c r="B48" s="25" t="s">
        <v>441</v>
      </c>
      <c r="C48" s="40">
        <f>VLOOKUP(B48,Tabela4[],2,FALSE)</f>
        <v>0</v>
      </c>
      <c r="D48" s="40">
        <f>VLOOKUP(B48,Tabela4[],3,FALSE)</f>
        <v>45330</v>
      </c>
      <c r="E48">
        <f t="shared" si="0"/>
        <v>45330</v>
      </c>
    </row>
    <row r="49" spans="2:5" x14ac:dyDescent="0.25">
      <c r="B49" s="25" t="s">
        <v>486</v>
      </c>
      <c r="C49" s="40">
        <f>VLOOKUP(B49,Tabela4[],2,FALSE)</f>
        <v>0</v>
      </c>
      <c r="D49" s="40">
        <f>VLOOKUP(B49,Tabela4[],3,FALSE)</f>
        <v>45330</v>
      </c>
      <c r="E49">
        <f t="shared" si="0"/>
        <v>45330</v>
      </c>
    </row>
    <row r="50" spans="2:5" x14ac:dyDescent="0.25">
      <c r="B50" s="25" t="s">
        <v>487</v>
      </c>
      <c r="C50" s="40">
        <f>VLOOKUP(B50,Tabela4[],2,FALSE)</f>
        <v>0</v>
      </c>
      <c r="D50" s="40">
        <f>VLOOKUP(B50,Tabela4[],3,FALSE)</f>
        <v>45331</v>
      </c>
      <c r="E50">
        <f t="shared" si="0"/>
        <v>45331</v>
      </c>
    </row>
    <row r="51" spans="2:5" x14ac:dyDescent="0.25">
      <c r="B51" s="25" t="s">
        <v>488</v>
      </c>
      <c r="C51" s="40">
        <f>VLOOKUP(B51,Tabela4[],2,FALSE)</f>
        <v>0</v>
      </c>
      <c r="D51" s="40">
        <f>VLOOKUP(B51,Tabela4[],3,FALSE)</f>
        <v>45328</v>
      </c>
      <c r="E51">
        <f t="shared" si="0"/>
        <v>45328</v>
      </c>
    </row>
    <row r="52" spans="2:5" x14ac:dyDescent="0.25">
      <c r="B52" s="25" t="s">
        <v>489</v>
      </c>
      <c r="C52" s="40">
        <f>VLOOKUP(B52,Tabela4[],2,FALSE)</f>
        <v>0</v>
      </c>
      <c r="D52" s="40">
        <f>VLOOKUP(B52,Tabela4[],3,FALSE)</f>
        <v>45331</v>
      </c>
      <c r="E52">
        <f t="shared" si="0"/>
        <v>45331</v>
      </c>
    </row>
    <row r="53" spans="2:5" x14ac:dyDescent="0.25">
      <c r="B53" s="25" t="s">
        <v>490</v>
      </c>
      <c r="C53" s="40">
        <f>VLOOKUP(B53,Tabela4[],2,FALSE)</f>
        <v>0</v>
      </c>
      <c r="D53" s="40">
        <f>VLOOKUP(B53,Tabela4[],3,FALSE)</f>
        <v>45330</v>
      </c>
      <c r="E53">
        <f t="shared" si="0"/>
        <v>45330</v>
      </c>
    </row>
    <row r="54" spans="2:5" x14ac:dyDescent="0.25">
      <c r="B54" s="25" t="s">
        <v>237</v>
      </c>
      <c r="C54" s="40">
        <f>VLOOKUP(B54,Tabela4[],2,FALSE)</f>
        <v>0</v>
      </c>
      <c r="D54" s="40">
        <f>VLOOKUP(B54,Tabela4[],3,FALSE)</f>
        <v>45330</v>
      </c>
      <c r="E54">
        <f t="shared" si="0"/>
        <v>45330</v>
      </c>
    </row>
    <row r="55" spans="2:5" x14ac:dyDescent="0.25">
      <c r="B55" s="25" t="s">
        <v>491</v>
      </c>
      <c r="C55" s="40">
        <f>VLOOKUP(B55,Tabela4[],2,FALSE)</f>
        <v>0</v>
      </c>
      <c r="D55" s="40">
        <f>VLOOKUP(B55,Tabela4[],3,FALSE)</f>
        <v>45331</v>
      </c>
      <c r="E55">
        <f t="shared" si="0"/>
        <v>45331</v>
      </c>
    </row>
    <row r="56" spans="2:5" x14ac:dyDescent="0.25">
      <c r="B56" s="25" t="s">
        <v>492</v>
      </c>
      <c r="C56" s="40">
        <f>VLOOKUP(B56,Tabela4[],2,FALSE)</f>
        <v>0</v>
      </c>
      <c r="D56" s="40">
        <f>VLOOKUP(B56,Tabela4[],3,FALSE)</f>
        <v>45332</v>
      </c>
      <c r="E56">
        <f t="shared" si="0"/>
        <v>45332</v>
      </c>
    </row>
    <row r="57" spans="2:5" x14ac:dyDescent="0.25">
      <c r="B57" s="25" t="s">
        <v>493</v>
      </c>
      <c r="C57" s="40">
        <f>VLOOKUP(B57,Tabela4[],2,FALSE)</f>
        <v>0</v>
      </c>
      <c r="D57" s="40">
        <f>VLOOKUP(B57,Tabela4[],3,FALSE)</f>
        <v>45332</v>
      </c>
      <c r="E57">
        <f t="shared" si="0"/>
        <v>45332</v>
      </c>
    </row>
    <row r="58" spans="2:5" x14ac:dyDescent="0.25">
      <c r="B58" s="25" t="s">
        <v>494</v>
      </c>
      <c r="C58" s="40">
        <f>VLOOKUP(B58,Tabela4[],2,FALSE)</f>
        <v>0</v>
      </c>
      <c r="D58" s="40">
        <f>VLOOKUP(B58,Tabela4[],3,FALSE)</f>
        <v>45336</v>
      </c>
      <c r="E58">
        <f t="shared" si="0"/>
        <v>45336</v>
      </c>
    </row>
    <row r="59" spans="2:5" x14ac:dyDescent="0.25">
      <c r="B59" s="25" t="s">
        <v>495</v>
      </c>
      <c r="C59" s="40">
        <f>VLOOKUP(B59,Tabela4[],2,FALSE)</f>
        <v>0</v>
      </c>
      <c r="D59" s="40">
        <f>VLOOKUP(B59,Tabela4[],3,FALSE)</f>
        <v>45336</v>
      </c>
      <c r="E59">
        <f t="shared" si="0"/>
        <v>45336</v>
      </c>
    </row>
    <row r="60" spans="2:5" x14ac:dyDescent="0.25">
      <c r="B60" s="25" t="s">
        <v>496</v>
      </c>
      <c r="C60" s="40">
        <f>VLOOKUP(B60,Tabela4[],2,FALSE)</f>
        <v>0</v>
      </c>
      <c r="D60" s="40">
        <f>VLOOKUP(B60,Tabela4[],3,FALSE)</f>
        <v>45336</v>
      </c>
      <c r="E60">
        <f t="shared" si="0"/>
        <v>45336</v>
      </c>
    </row>
    <row r="61" spans="2:5" x14ac:dyDescent="0.25">
      <c r="B61" s="25" t="s">
        <v>497</v>
      </c>
      <c r="C61" s="40">
        <f>VLOOKUP(B61,Tabela4[],2,FALSE)</f>
        <v>0</v>
      </c>
      <c r="D61" s="40">
        <f>VLOOKUP(B61,Tabela4[],3,FALSE)</f>
        <v>45336</v>
      </c>
      <c r="E61">
        <f t="shared" si="0"/>
        <v>45336</v>
      </c>
    </row>
    <row r="62" spans="2:5" x14ac:dyDescent="0.25">
      <c r="B62" s="25" t="s">
        <v>498</v>
      </c>
      <c r="C62" s="40">
        <f>VLOOKUP(B62,Tabela4[],2,FALSE)</f>
        <v>0</v>
      </c>
      <c r="D62" s="40">
        <f>VLOOKUP(B62,Tabela4[],3,FALSE)</f>
        <v>45336</v>
      </c>
      <c r="E62">
        <f t="shared" si="0"/>
        <v>45336</v>
      </c>
    </row>
    <row r="63" spans="2:5" x14ac:dyDescent="0.25">
      <c r="B63" s="25" t="s">
        <v>499</v>
      </c>
      <c r="C63" s="40">
        <f>VLOOKUP(B63,Tabela4[],2,FALSE)</f>
        <v>0</v>
      </c>
      <c r="D63" s="40">
        <f>VLOOKUP(B63,Tabela4[],3,FALSE)</f>
        <v>45331</v>
      </c>
      <c r="E63">
        <f t="shared" si="0"/>
        <v>45331</v>
      </c>
    </row>
    <row r="64" spans="2:5" x14ac:dyDescent="0.25">
      <c r="B64" s="25" t="s">
        <v>500</v>
      </c>
      <c r="C64" s="40">
        <f>VLOOKUP(B64,Tabela4[],2,FALSE)</f>
        <v>0</v>
      </c>
      <c r="D64" s="40">
        <f>VLOOKUP(B64,Tabela4[],3,FALSE)</f>
        <v>45336</v>
      </c>
      <c r="E64">
        <f t="shared" si="0"/>
        <v>45336</v>
      </c>
    </row>
    <row r="65" spans="2:5" x14ac:dyDescent="0.25">
      <c r="B65" s="25" t="s">
        <v>501</v>
      </c>
      <c r="C65" s="40">
        <f>VLOOKUP(B65,Tabela4[],2,FALSE)</f>
        <v>0</v>
      </c>
      <c r="D65" s="40">
        <f>VLOOKUP(B65,Tabela4[],3,FALSE)</f>
        <v>45337</v>
      </c>
      <c r="E65">
        <f t="shared" si="0"/>
        <v>45337</v>
      </c>
    </row>
    <row r="66" spans="2:5" x14ac:dyDescent="0.25">
      <c r="B66" s="25" t="s">
        <v>326</v>
      </c>
      <c r="C66" s="40">
        <f>VLOOKUP(B66,Tabela4[],2,FALSE)</f>
        <v>0</v>
      </c>
      <c r="D66" s="40">
        <f>VLOOKUP(B66,Tabela4[],3,FALSE)</f>
        <v>45329</v>
      </c>
      <c r="E66">
        <f t="shared" si="0"/>
        <v>45329</v>
      </c>
    </row>
    <row r="67" spans="2:5" x14ac:dyDescent="0.25">
      <c r="B67" s="25" t="s">
        <v>502</v>
      </c>
      <c r="C67" s="40">
        <f>VLOOKUP(B67,Tabela4[],2,FALSE)</f>
        <v>0</v>
      </c>
      <c r="D67" s="40">
        <f>VLOOKUP(B67,Tabela4[],3,FALSE)</f>
        <v>45330</v>
      </c>
      <c r="E67">
        <f t="shared" ref="E67:E130" si="1">D67-C67</f>
        <v>45330</v>
      </c>
    </row>
    <row r="68" spans="2:5" x14ac:dyDescent="0.25">
      <c r="B68" s="25" t="s">
        <v>503</v>
      </c>
      <c r="C68" s="40">
        <f>VLOOKUP(B68,Tabela4[],2,FALSE)</f>
        <v>0</v>
      </c>
      <c r="D68" s="40">
        <f>VLOOKUP(B68,Tabela4[],3,FALSE)</f>
        <v>45337</v>
      </c>
      <c r="E68">
        <f t="shared" si="1"/>
        <v>45337</v>
      </c>
    </row>
    <row r="69" spans="2:5" x14ac:dyDescent="0.25">
      <c r="B69" s="25" t="s">
        <v>504</v>
      </c>
      <c r="C69" s="40">
        <f>VLOOKUP(B69,Tabela4[],2,FALSE)</f>
        <v>0</v>
      </c>
      <c r="D69" s="40">
        <f>VLOOKUP(B69,Tabela4[],3,FALSE)</f>
        <v>45338</v>
      </c>
      <c r="E69">
        <f t="shared" si="1"/>
        <v>45338</v>
      </c>
    </row>
    <row r="70" spans="2:5" x14ac:dyDescent="0.25">
      <c r="B70" s="25" t="s">
        <v>505</v>
      </c>
      <c r="C70" s="40">
        <f>VLOOKUP(B70,Tabela4[],2,FALSE)</f>
        <v>0</v>
      </c>
      <c r="D70" s="40">
        <f>VLOOKUP(B70,Tabela4[],3,FALSE)</f>
        <v>45331</v>
      </c>
      <c r="E70">
        <f t="shared" si="1"/>
        <v>45331</v>
      </c>
    </row>
    <row r="71" spans="2:5" x14ac:dyDescent="0.25">
      <c r="B71" s="25" t="s">
        <v>506</v>
      </c>
      <c r="C71" s="40">
        <f>VLOOKUP(B71,Tabela4[],2,FALSE)</f>
        <v>0</v>
      </c>
      <c r="D71" s="40">
        <f>VLOOKUP(B71,Tabela4[],3,FALSE)</f>
        <v>45337</v>
      </c>
      <c r="E71">
        <f t="shared" si="1"/>
        <v>45337</v>
      </c>
    </row>
    <row r="72" spans="2:5" x14ac:dyDescent="0.25">
      <c r="B72" s="25" t="s">
        <v>507</v>
      </c>
      <c r="C72" s="40">
        <f>VLOOKUP(B72,Tabela4[],2,FALSE)</f>
        <v>0</v>
      </c>
      <c r="D72" s="40">
        <f>VLOOKUP(B72,Tabela4[],3,FALSE)</f>
        <v>45337</v>
      </c>
      <c r="E72">
        <f t="shared" si="1"/>
        <v>45337</v>
      </c>
    </row>
    <row r="73" spans="2:5" x14ac:dyDescent="0.25">
      <c r="B73" s="25" t="s">
        <v>508</v>
      </c>
      <c r="C73" s="40">
        <f>VLOOKUP(B73,Tabela4[],2,FALSE)</f>
        <v>0</v>
      </c>
      <c r="D73" s="40">
        <f>VLOOKUP(B73,Tabela4[],3,FALSE)</f>
        <v>45338</v>
      </c>
      <c r="E73">
        <f t="shared" si="1"/>
        <v>45338</v>
      </c>
    </row>
    <row r="74" spans="2:5" x14ac:dyDescent="0.25">
      <c r="B74" s="25" t="s">
        <v>497</v>
      </c>
      <c r="C74" s="40">
        <f>VLOOKUP(B74,Tabela4[],2,FALSE)</f>
        <v>0</v>
      </c>
      <c r="D74" s="40">
        <f>VLOOKUP(B74,Tabela4[],3,FALSE)</f>
        <v>45336</v>
      </c>
      <c r="E74">
        <f t="shared" si="1"/>
        <v>45336</v>
      </c>
    </row>
    <row r="75" spans="2:5" x14ac:dyDescent="0.25">
      <c r="B75" s="25" t="s">
        <v>509</v>
      </c>
      <c r="C75" s="40">
        <f>VLOOKUP(B75,Tabela4[],2,FALSE)</f>
        <v>0</v>
      </c>
      <c r="D75" s="40">
        <f>VLOOKUP(B75,Tabela4[],3,FALSE)</f>
        <v>45339</v>
      </c>
      <c r="E75">
        <f t="shared" si="1"/>
        <v>45339</v>
      </c>
    </row>
    <row r="76" spans="2:5" x14ac:dyDescent="0.25">
      <c r="B76" s="25" t="s">
        <v>510</v>
      </c>
      <c r="C76" s="40">
        <f>VLOOKUP(B76,Tabela4[],2,FALSE)</f>
        <v>0</v>
      </c>
      <c r="D76" s="40">
        <f>VLOOKUP(B76,Tabela4[],3,FALSE)</f>
        <v>45339</v>
      </c>
      <c r="E76">
        <f t="shared" si="1"/>
        <v>45339</v>
      </c>
    </row>
    <row r="77" spans="2:5" x14ac:dyDescent="0.25">
      <c r="B77" s="25" t="s">
        <v>389</v>
      </c>
      <c r="C77" s="40">
        <f>VLOOKUP(B77,Tabela4[],2,FALSE)</f>
        <v>0</v>
      </c>
      <c r="D77" s="40">
        <f>VLOOKUP(B77,Tabela4[],3,FALSE)</f>
        <v>45338</v>
      </c>
      <c r="E77">
        <f t="shared" si="1"/>
        <v>45338</v>
      </c>
    </row>
    <row r="78" spans="2:5" x14ac:dyDescent="0.25">
      <c r="B78" s="25" t="s">
        <v>511</v>
      </c>
      <c r="C78" s="40">
        <f>VLOOKUP(B78,Tabela4[],2,FALSE)</f>
        <v>0</v>
      </c>
      <c r="D78" s="40">
        <f>VLOOKUP(B78,Tabela4[],3,FALSE)</f>
        <v>45341</v>
      </c>
      <c r="E78">
        <f t="shared" si="1"/>
        <v>45341</v>
      </c>
    </row>
    <row r="79" spans="2:5" x14ac:dyDescent="0.25">
      <c r="B79" s="25" t="s">
        <v>512</v>
      </c>
      <c r="C79" s="40">
        <f>VLOOKUP(B79,Tabela4[],2,FALSE)</f>
        <v>0</v>
      </c>
      <c r="D79" s="40">
        <f>VLOOKUP(B79,Tabela4[],3,FALSE)</f>
        <v>45341</v>
      </c>
      <c r="E79">
        <f t="shared" si="1"/>
        <v>45341</v>
      </c>
    </row>
    <row r="80" spans="2:5" x14ac:dyDescent="0.25">
      <c r="B80" s="25" t="s">
        <v>223</v>
      </c>
      <c r="C80" s="40">
        <f>VLOOKUP(B80,Tabela4[],2,FALSE)</f>
        <v>0</v>
      </c>
      <c r="D80" s="40">
        <f>VLOOKUP(B80,Tabela4[],3,FALSE)</f>
        <v>45339</v>
      </c>
      <c r="E80">
        <f t="shared" si="1"/>
        <v>45339</v>
      </c>
    </row>
    <row r="81" spans="2:5" x14ac:dyDescent="0.25">
      <c r="B81" s="25" t="s">
        <v>513</v>
      </c>
      <c r="C81" s="40">
        <f>VLOOKUP(B81,Tabela4[],2,FALSE)</f>
        <v>0</v>
      </c>
      <c r="D81" s="40">
        <f>VLOOKUP(B81,Tabela4[],3,FALSE)</f>
        <v>45337</v>
      </c>
      <c r="E81">
        <f t="shared" si="1"/>
        <v>45337</v>
      </c>
    </row>
    <row r="82" spans="2:5" x14ac:dyDescent="0.25">
      <c r="B82" s="25" t="s">
        <v>514</v>
      </c>
      <c r="C82" s="40">
        <f>VLOOKUP(B82,Tabela4[],2,FALSE)</f>
        <v>0</v>
      </c>
      <c r="D82" s="40">
        <f>VLOOKUP(B82,Tabela4[],3,FALSE)</f>
        <v>45341</v>
      </c>
      <c r="E82">
        <f t="shared" si="1"/>
        <v>45341</v>
      </c>
    </row>
    <row r="83" spans="2:5" x14ac:dyDescent="0.25">
      <c r="B83" s="25" t="s">
        <v>515</v>
      </c>
      <c r="C83" s="40">
        <f>VLOOKUP(B83,Tabela4[],2,FALSE)</f>
        <v>0</v>
      </c>
      <c r="D83" s="40">
        <f>VLOOKUP(B83,Tabela4[],3,FALSE)</f>
        <v>45342</v>
      </c>
      <c r="E83">
        <f t="shared" si="1"/>
        <v>45342</v>
      </c>
    </row>
    <row r="84" spans="2:5" x14ac:dyDescent="0.25">
      <c r="B84" s="25" t="s">
        <v>516</v>
      </c>
      <c r="C84" s="40">
        <f>VLOOKUP(B84,Tabela4[],2,FALSE)</f>
        <v>0</v>
      </c>
      <c r="D84" s="40">
        <f>VLOOKUP(B84,Tabela4[],3,FALSE)</f>
        <v>45342</v>
      </c>
      <c r="E84">
        <f t="shared" si="1"/>
        <v>45342</v>
      </c>
    </row>
    <row r="85" spans="2:5" x14ac:dyDescent="0.25">
      <c r="B85" s="25" t="s">
        <v>517</v>
      </c>
      <c r="C85" s="40">
        <f>VLOOKUP(B85,Tabela4[],2,FALSE)</f>
        <v>0</v>
      </c>
      <c r="D85" s="40">
        <f>VLOOKUP(B85,Tabela4[],3,FALSE)</f>
        <v>45323</v>
      </c>
      <c r="E85">
        <f t="shared" si="1"/>
        <v>45323</v>
      </c>
    </row>
    <row r="86" spans="2:5" x14ac:dyDescent="0.25">
      <c r="B86" s="25" t="s">
        <v>518</v>
      </c>
      <c r="C86" s="40">
        <f>VLOOKUP(B86,Tabela4[],2,FALSE)</f>
        <v>0</v>
      </c>
      <c r="D86" s="40">
        <f>VLOOKUP(B86,Tabela4[],3,FALSE)</f>
        <v>45329</v>
      </c>
      <c r="E86">
        <f t="shared" si="1"/>
        <v>45329</v>
      </c>
    </row>
    <row r="87" spans="2:5" x14ac:dyDescent="0.25">
      <c r="B87" s="25" t="s">
        <v>519</v>
      </c>
      <c r="C87" s="40">
        <f>VLOOKUP(B87,Tabela4[],2,FALSE)</f>
        <v>0</v>
      </c>
      <c r="D87" s="40">
        <f>VLOOKUP(B87,Tabela4[],3,FALSE)</f>
        <v>45341</v>
      </c>
      <c r="E87">
        <f t="shared" si="1"/>
        <v>45341</v>
      </c>
    </row>
    <row r="88" spans="2:5" x14ac:dyDescent="0.25">
      <c r="B88" s="25" t="s">
        <v>173</v>
      </c>
      <c r="C88" s="40">
        <f>VLOOKUP(B88,Tabela4[],2,FALSE)</f>
        <v>0</v>
      </c>
      <c r="D88" s="40">
        <f>VLOOKUP(B88,Tabela4[],3,FALSE)</f>
        <v>45310</v>
      </c>
      <c r="E88">
        <f t="shared" si="1"/>
        <v>45310</v>
      </c>
    </row>
    <row r="89" spans="2:5" x14ac:dyDescent="0.25">
      <c r="B89" s="25" t="s">
        <v>520</v>
      </c>
      <c r="C89" s="40">
        <f>VLOOKUP(B89,Tabela4[],2,FALSE)</f>
        <v>0</v>
      </c>
      <c r="D89" s="40">
        <f>VLOOKUP(B89,Tabela4[],3,FALSE)</f>
        <v>45342</v>
      </c>
      <c r="E89">
        <f t="shared" si="1"/>
        <v>45342</v>
      </c>
    </row>
    <row r="90" spans="2:5" x14ac:dyDescent="0.25">
      <c r="B90" s="25" t="s">
        <v>521</v>
      </c>
      <c r="C90" s="40">
        <f>VLOOKUP(B90,Tabela4[],2,FALSE)</f>
        <v>0</v>
      </c>
      <c r="D90" s="40">
        <f>VLOOKUP(B90,Tabela4[],3,FALSE)</f>
        <v>45342</v>
      </c>
      <c r="E90">
        <f t="shared" si="1"/>
        <v>45342</v>
      </c>
    </row>
    <row r="91" spans="2:5" x14ac:dyDescent="0.25">
      <c r="B91" s="25" t="s">
        <v>522</v>
      </c>
      <c r="C91" s="40">
        <f>VLOOKUP(B91,Tabela4[],2,FALSE)</f>
        <v>0</v>
      </c>
      <c r="D91" s="40">
        <f>VLOOKUP(B91,Tabela4[],3,FALSE)</f>
        <v>45343</v>
      </c>
      <c r="E91">
        <f t="shared" si="1"/>
        <v>45343</v>
      </c>
    </row>
    <row r="92" spans="2:5" x14ac:dyDescent="0.25">
      <c r="B92" s="25" t="s">
        <v>183</v>
      </c>
      <c r="C92" s="40">
        <f>VLOOKUP(B92,Tabela4[],2,FALSE)</f>
        <v>0</v>
      </c>
      <c r="D92" s="40">
        <f>VLOOKUP(B92,Tabela4[],3,FALSE)</f>
        <v>45343</v>
      </c>
      <c r="E92">
        <f t="shared" si="1"/>
        <v>45343</v>
      </c>
    </row>
    <row r="93" spans="2:5" x14ac:dyDescent="0.25">
      <c r="B93" s="25" t="s">
        <v>149</v>
      </c>
      <c r="C93" s="40">
        <f>VLOOKUP(B93,Tabela4[],2,FALSE)</f>
        <v>0</v>
      </c>
      <c r="D93" s="40">
        <f>VLOOKUP(B93,Tabela4[],3,FALSE)</f>
        <v>45343</v>
      </c>
      <c r="E93">
        <f t="shared" si="1"/>
        <v>45343</v>
      </c>
    </row>
    <row r="94" spans="2:5" x14ac:dyDescent="0.25">
      <c r="B94" s="25" t="s">
        <v>523</v>
      </c>
      <c r="C94" s="40">
        <f>VLOOKUP(B94,Tabela4[],2,FALSE)</f>
        <v>0</v>
      </c>
      <c r="D94" s="40">
        <f>VLOOKUP(B94,Tabela4[],3,FALSE)</f>
        <v>45343</v>
      </c>
      <c r="E94">
        <f t="shared" si="1"/>
        <v>45343</v>
      </c>
    </row>
    <row r="95" spans="2:5" x14ac:dyDescent="0.25">
      <c r="B95" s="25" t="s">
        <v>524</v>
      </c>
      <c r="C95" s="40">
        <f>VLOOKUP(B95,Tabela4[],2,FALSE)</f>
        <v>0</v>
      </c>
      <c r="D95" s="40">
        <f>VLOOKUP(B95,Tabela4[],3,FALSE)</f>
        <v>45320</v>
      </c>
      <c r="E95">
        <f t="shared" si="1"/>
        <v>45320</v>
      </c>
    </row>
    <row r="96" spans="2:5" x14ac:dyDescent="0.25">
      <c r="B96" s="25" t="s">
        <v>525</v>
      </c>
      <c r="C96" s="40">
        <f>VLOOKUP(B96,Tabela4[],2,FALSE)</f>
        <v>0</v>
      </c>
      <c r="D96" s="40">
        <f>VLOOKUP(B96,Tabela4[],3,FALSE)</f>
        <v>45341</v>
      </c>
      <c r="E96">
        <f t="shared" si="1"/>
        <v>45341</v>
      </c>
    </row>
    <row r="97" spans="2:14" x14ac:dyDescent="0.25">
      <c r="B97" s="25" t="s">
        <v>526</v>
      </c>
      <c r="C97" s="40">
        <f>VLOOKUP(B97,Tabela4[],2,FALSE)</f>
        <v>0</v>
      </c>
      <c r="D97" s="40">
        <f>VLOOKUP(B97,Tabela4[],3,FALSE)</f>
        <v>45342</v>
      </c>
      <c r="E97">
        <f t="shared" si="1"/>
        <v>45342</v>
      </c>
    </row>
    <row r="98" spans="2:14" x14ac:dyDescent="0.25">
      <c r="B98" s="25" t="s">
        <v>527</v>
      </c>
      <c r="C98" s="40">
        <f>VLOOKUP(B98,Tabela4[],2,FALSE)</f>
        <v>0</v>
      </c>
      <c r="D98" s="40">
        <f>VLOOKUP(B98,Tabela4[],3,FALSE)</f>
        <v>45342</v>
      </c>
      <c r="E98">
        <f t="shared" si="1"/>
        <v>45342</v>
      </c>
    </row>
    <row r="99" spans="2:14" x14ac:dyDescent="0.25">
      <c r="B99" s="25" t="s">
        <v>528</v>
      </c>
      <c r="C99" s="40">
        <f>VLOOKUP(B99,Tabela4[],2,FALSE)</f>
        <v>0</v>
      </c>
      <c r="D99" s="40">
        <f>VLOOKUP(B99,Tabela4[],3,FALSE)</f>
        <v>45344</v>
      </c>
      <c r="E99">
        <f t="shared" si="1"/>
        <v>45344</v>
      </c>
    </row>
    <row r="100" spans="2:14" x14ac:dyDescent="0.25">
      <c r="B100" s="25" t="s">
        <v>529</v>
      </c>
      <c r="C100" s="40">
        <f>VLOOKUP(B100,Tabela4[],2,FALSE)</f>
        <v>0</v>
      </c>
      <c r="D100" s="40">
        <f>VLOOKUP(B100,Tabela4[],3,FALSE)</f>
        <v>45344</v>
      </c>
      <c r="E100">
        <f t="shared" si="1"/>
        <v>45344</v>
      </c>
      <c r="N100" s="46">
        <f>2/2</f>
        <v>1</v>
      </c>
    </row>
    <row r="101" spans="2:14" x14ac:dyDescent="0.25">
      <c r="B101" s="25" t="s">
        <v>530</v>
      </c>
      <c r="C101" s="40">
        <f>VLOOKUP(B101,Tabela4[],2,FALSE)</f>
        <v>0</v>
      </c>
      <c r="D101" s="40">
        <f>VLOOKUP(B101,Tabela4[],3,FALSE)</f>
        <v>45344</v>
      </c>
      <c r="E101">
        <f t="shared" si="1"/>
        <v>45344</v>
      </c>
    </row>
    <row r="102" spans="2:14" x14ac:dyDescent="0.25">
      <c r="B102" s="25" t="s">
        <v>531</v>
      </c>
      <c r="C102" s="40">
        <f>VLOOKUP(B102,Tabela4[],2,FALSE)</f>
        <v>0</v>
      </c>
      <c r="D102" s="40">
        <f>VLOOKUP(B102,Tabela4[],3,FALSE)</f>
        <v>45344</v>
      </c>
      <c r="E102">
        <f t="shared" si="1"/>
        <v>45344</v>
      </c>
    </row>
    <row r="103" spans="2:14" x14ac:dyDescent="0.25">
      <c r="B103" s="25" t="s">
        <v>532</v>
      </c>
      <c r="C103" s="40">
        <f>VLOOKUP(B103,Tabela4[],2,FALSE)</f>
        <v>0</v>
      </c>
      <c r="D103" s="40">
        <f>VLOOKUP(B103,Tabela4[],3,FALSE)</f>
        <v>45344</v>
      </c>
      <c r="E103">
        <f t="shared" si="1"/>
        <v>45344</v>
      </c>
    </row>
    <row r="104" spans="2:14" x14ac:dyDescent="0.25">
      <c r="B104" s="25" t="s">
        <v>245</v>
      </c>
      <c r="C104" s="40">
        <f>VLOOKUP(B104,Tabela4[],2,FALSE)</f>
        <v>0</v>
      </c>
      <c r="D104" s="40">
        <f>VLOOKUP(B104,Tabela4[],3,FALSE)</f>
        <v>45344</v>
      </c>
      <c r="E104">
        <f t="shared" si="1"/>
        <v>45344</v>
      </c>
    </row>
    <row r="105" spans="2:14" x14ac:dyDescent="0.25">
      <c r="B105" s="25" t="s">
        <v>533</v>
      </c>
      <c r="C105" s="40">
        <f>VLOOKUP(B105,Tabela4[],2,FALSE)</f>
        <v>0</v>
      </c>
      <c r="D105" s="40">
        <f>VLOOKUP(B105,Tabela4[],3,FALSE)</f>
        <v>45344</v>
      </c>
      <c r="E105">
        <f t="shared" si="1"/>
        <v>45344</v>
      </c>
    </row>
    <row r="106" spans="2:14" x14ac:dyDescent="0.25">
      <c r="B106" s="25" t="s">
        <v>376</v>
      </c>
      <c r="C106" s="40">
        <f>VLOOKUP(B106,Tabela4[],2,FALSE)</f>
        <v>0</v>
      </c>
      <c r="D106" s="40">
        <f>VLOOKUP(B106,Tabela4[],3,FALSE)</f>
        <v>45344</v>
      </c>
      <c r="E106">
        <f t="shared" si="1"/>
        <v>45344</v>
      </c>
    </row>
    <row r="107" spans="2:14" x14ac:dyDescent="0.25">
      <c r="B107" s="25" t="s">
        <v>534</v>
      </c>
      <c r="C107" s="40">
        <f>VLOOKUP(B107,Tabela4[],2,FALSE)</f>
        <v>0</v>
      </c>
      <c r="D107" s="40">
        <f>VLOOKUP(B107,Tabela4[],3,FALSE)</f>
        <v>45315</v>
      </c>
      <c r="E107">
        <f t="shared" si="1"/>
        <v>45315</v>
      </c>
    </row>
    <row r="108" spans="2:14" x14ac:dyDescent="0.25">
      <c r="B108" s="25" t="s">
        <v>535</v>
      </c>
      <c r="C108" s="40">
        <f>VLOOKUP(B108,Tabela4[],2,FALSE)</f>
        <v>0</v>
      </c>
      <c r="D108" s="40">
        <f>VLOOKUP(B108,Tabela4[],3,FALSE)</f>
        <v>45344</v>
      </c>
      <c r="E108">
        <f t="shared" si="1"/>
        <v>45344</v>
      </c>
    </row>
    <row r="109" spans="2:14" x14ac:dyDescent="0.25">
      <c r="B109" s="25" t="s">
        <v>536</v>
      </c>
      <c r="C109" s="40">
        <f>VLOOKUP(B109,Tabela4[],2,FALSE)</f>
        <v>0</v>
      </c>
      <c r="D109" s="40">
        <f>VLOOKUP(B109,Tabela4[],3,FALSE)</f>
        <v>45344</v>
      </c>
      <c r="E109">
        <f t="shared" si="1"/>
        <v>45344</v>
      </c>
    </row>
    <row r="110" spans="2:14" x14ac:dyDescent="0.25">
      <c r="B110" s="25" t="s">
        <v>521</v>
      </c>
      <c r="C110" s="40">
        <f>VLOOKUP(B110,Tabela4[],2,FALSE)</f>
        <v>0</v>
      </c>
      <c r="D110" s="40">
        <f>VLOOKUP(B110,Tabela4[],3,FALSE)</f>
        <v>45342</v>
      </c>
      <c r="E110">
        <f t="shared" si="1"/>
        <v>45342</v>
      </c>
    </row>
    <row r="111" spans="2:14" x14ac:dyDescent="0.25">
      <c r="B111" s="25" t="s">
        <v>537</v>
      </c>
      <c r="C111" s="40">
        <v>45295</v>
      </c>
      <c r="D111" s="40">
        <f>VLOOKUP(B111,Tabela4[],3,FALSE)</f>
        <v>45321</v>
      </c>
      <c r="E111">
        <f t="shared" si="1"/>
        <v>26</v>
      </c>
    </row>
    <row r="112" spans="2:14" x14ac:dyDescent="0.25">
      <c r="B112" s="25" t="s">
        <v>538</v>
      </c>
      <c r="C112" s="40">
        <f>VLOOKUP(B112,Tabela4[],2,FALSE)</f>
        <v>0</v>
      </c>
      <c r="D112" s="40">
        <f>VLOOKUP(B112,Tabela4[],3,FALSE)</f>
        <v>45331</v>
      </c>
      <c r="E112">
        <f t="shared" si="1"/>
        <v>45331</v>
      </c>
    </row>
    <row r="113" spans="2:5" x14ac:dyDescent="0.25">
      <c r="B113" s="39" t="s">
        <v>539</v>
      </c>
      <c r="C113" s="40">
        <f>VLOOKUP(B113,Tabela4[],2,FALSE)</f>
        <v>0</v>
      </c>
      <c r="D113" s="40">
        <f>VLOOKUP(B113,Tabela4[],3,FALSE)</f>
        <v>45337</v>
      </c>
      <c r="E113">
        <f t="shared" si="1"/>
        <v>45337</v>
      </c>
    </row>
    <row r="114" spans="2:5" x14ac:dyDescent="0.25">
      <c r="B114" s="25" t="s">
        <v>540</v>
      </c>
      <c r="C114" s="40">
        <f>VLOOKUP(B114,Tabela4[],2,FALSE)</f>
        <v>0</v>
      </c>
      <c r="D114" s="40">
        <f>VLOOKUP(B114,Tabela4[],3,FALSE)</f>
        <v>45337</v>
      </c>
      <c r="E114">
        <f t="shared" si="1"/>
        <v>45337</v>
      </c>
    </row>
    <row r="115" spans="2:5" x14ac:dyDescent="0.25">
      <c r="B115" s="25" t="s">
        <v>541</v>
      </c>
      <c r="C115" s="40">
        <f>VLOOKUP(B115,Tabela4[],2,FALSE)</f>
        <v>0</v>
      </c>
      <c r="D115" s="40">
        <f>VLOOKUP(B115,Tabela4[],3,FALSE)</f>
        <v>45344</v>
      </c>
      <c r="E115">
        <f t="shared" si="1"/>
        <v>45344</v>
      </c>
    </row>
    <row r="116" spans="2:5" x14ac:dyDescent="0.25">
      <c r="B116" s="25" t="s">
        <v>542</v>
      </c>
      <c r="C116" s="40">
        <f>VLOOKUP(B116,Tabela4[],2,FALSE)</f>
        <v>0</v>
      </c>
      <c r="D116" s="40">
        <f>VLOOKUP(B116,Tabela4[],3,FALSE)</f>
        <v>45308</v>
      </c>
      <c r="E116">
        <f t="shared" si="1"/>
        <v>45308</v>
      </c>
    </row>
    <row r="117" spans="2:5" x14ac:dyDescent="0.25">
      <c r="B117" s="25" t="s">
        <v>543</v>
      </c>
      <c r="C117" s="40">
        <f>VLOOKUP(B117,Tabela4[],2,FALSE)</f>
        <v>0</v>
      </c>
      <c r="D117" s="40">
        <f>VLOOKUP(B117,Tabela4[],3,FALSE)</f>
        <v>45344</v>
      </c>
      <c r="E117">
        <f t="shared" si="1"/>
        <v>45344</v>
      </c>
    </row>
    <row r="118" spans="2:5" x14ac:dyDescent="0.25">
      <c r="B118" s="25" t="s">
        <v>103</v>
      </c>
      <c r="C118" s="40">
        <f>VLOOKUP(B118,Tabela4[],2,FALSE)</f>
        <v>0</v>
      </c>
      <c r="D118" s="40">
        <f>VLOOKUP(B118,Tabela4[],3,FALSE)</f>
        <v>45295</v>
      </c>
      <c r="E118">
        <f t="shared" si="1"/>
        <v>45295</v>
      </c>
    </row>
    <row r="119" spans="2:5" x14ac:dyDescent="0.25">
      <c r="B119" s="25" t="s">
        <v>544</v>
      </c>
      <c r="C119" s="40">
        <f>VLOOKUP(B119,Tabela4[],2,FALSE)</f>
        <v>0</v>
      </c>
      <c r="D119" s="40">
        <f>VLOOKUP(B119,Tabela4[],3,FALSE)</f>
        <v>45345</v>
      </c>
      <c r="E119">
        <f t="shared" si="1"/>
        <v>45345</v>
      </c>
    </row>
    <row r="120" spans="2:5" x14ac:dyDescent="0.25">
      <c r="B120" s="25" t="s">
        <v>74</v>
      </c>
      <c r="C120" s="40">
        <f>VLOOKUP(B120,Tabela4[],2,FALSE)</f>
        <v>0</v>
      </c>
      <c r="D120" s="40">
        <f>VLOOKUP(B120,Tabela4[],3,FALSE)</f>
        <v>45345</v>
      </c>
      <c r="E120">
        <f t="shared" si="1"/>
        <v>45345</v>
      </c>
    </row>
    <row r="121" spans="2:5" x14ac:dyDescent="0.25">
      <c r="B121" s="25" t="s">
        <v>545</v>
      </c>
      <c r="C121" s="40">
        <f>VLOOKUP(B121,Tabela4[],2,FALSE)</f>
        <v>0</v>
      </c>
      <c r="D121" s="40">
        <f>VLOOKUP(B121,Tabela4[],3,FALSE)</f>
        <v>45343</v>
      </c>
      <c r="E121">
        <f t="shared" si="1"/>
        <v>45343</v>
      </c>
    </row>
    <row r="122" spans="2:5" x14ac:dyDescent="0.25">
      <c r="B122" s="25" t="s">
        <v>546</v>
      </c>
      <c r="C122" s="40">
        <f>VLOOKUP(B122,Tabela4[],2,FALSE)</f>
        <v>0</v>
      </c>
      <c r="D122" s="40">
        <f>VLOOKUP(B122,Tabela4[],3,FALSE)</f>
        <v>45345</v>
      </c>
      <c r="E122">
        <f t="shared" si="1"/>
        <v>45345</v>
      </c>
    </row>
    <row r="123" spans="2:5" x14ac:dyDescent="0.25">
      <c r="B123" s="25" t="s">
        <v>547</v>
      </c>
      <c r="C123" s="40">
        <f>VLOOKUP(B123,Tabela4[],2,FALSE)</f>
        <v>0</v>
      </c>
      <c r="D123" s="40">
        <f>VLOOKUP(B123,Tabela4[],3,FALSE)</f>
        <v>45346</v>
      </c>
      <c r="E123">
        <f t="shared" si="1"/>
        <v>45346</v>
      </c>
    </row>
    <row r="124" spans="2:5" x14ac:dyDescent="0.25">
      <c r="B124" s="25" t="s">
        <v>548</v>
      </c>
      <c r="C124" s="40">
        <f>VLOOKUP(B124,Tabela4[],2,FALSE)</f>
        <v>0</v>
      </c>
      <c r="D124" s="40">
        <f>VLOOKUP(B124,Tabela4[],3,FALSE)</f>
        <v>45346</v>
      </c>
      <c r="E124">
        <f t="shared" si="1"/>
        <v>45346</v>
      </c>
    </row>
    <row r="125" spans="2:5" x14ac:dyDescent="0.25">
      <c r="B125" s="25" t="s">
        <v>549</v>
      </c>
      <c r="C125" s="40">
        <f>VLOOKUP(B125,Tabela4[],2,FALSE)</f>
        <v>0</v>
      </c>
      <c r="D125" s="40">
        <f>VLOOKUP(B125,Tabela4[],3,FALSE)</f>
        <v>45346</v>
      </c>
      <c r="E125">
        <f t="shared" si="1"/>
        <v>45346</v>
      </c>
    </row>
    <row r="126" spans="2:5" x14ac:dyDescent="0.25">
      <c r="B126" s="25" t="s">
        <v>371</v>
      </c>
      <c r="C126" s="40">
        <f>VLOOKUP(B126,Tabela4[],2,FALSE)</f>
        <v>0</v>
      </c>
      <c r="D126" s="40">
        <f>VLOOKUP(B126,Tabela4[],3,FALSE)</f>
        <v>45346</v>
      </c>
      <c r="E126">
        <f t="shared" si="1"/>
        <v>45346</v>
      </c>
    </row>
    <row r="127" spans="2:5" x14ac:dyDescent="0.25">
      <c r="B127" s="25" t="s">
        <v>550</v>
      </c>
      <c r="C127" s="40">
        <f>VLOOKUP(B127,Tabela4[],2,FALSE)</f>
        <v>0</v>
      </c>
      <c r="D127" s="40">
        <f>VLOOKUP(B127,Tabela4[],3,FALSE)</f>
        <v>45345</v>
      </c>
      <c r="E127">
        <f t="shared" si="1"/>
        <v>45345</v>
      </c>
    </row>
    <row r="128" spans="2:5" x14ac:dyDescent="0.25">
      <c r="B128" s="25" t="s">
        <v>551</v>
      </c>
      <c r="C128" s="40">
        <f>VLOOKUP(B128,Tabela4[],2,FALSE)</f>
        <v>0</v>
      </c>
      <c r="D128" s="40">
        <f>VLOOKUP(B128,Tabela4[],3,FALSE)</f>
        <v>45348</v>
      </c>
      <c r="E128">
        <f t="shared" si="1"/>
        <v>45348</v>
      </c>
    </row>
    <row r="129" spans="2:5" x14ac:dyDescent="0.25">
      <c r="B129" s="25" t="s">
        <v>552</v>
      </c>
      <c r="C129" s="40">
        <f>VLOOKUP(B129,Tabela4[],2,FALSE)</f>
        <v>0</v>
      </c>
      <c r="D129" s="40">
        <f>VLOOKUP(B129,Tabela4[],3,FALSE)</f>
        <v>45348</v>
      </c>
      <c r="E129">
        <f t="shared" si="1"/>
        <v>45348</v>
      </c>
    </row>
    <row r="130" spans="2:5" x14ac:dyDescent="0.25">
      <c r="B130" s="25" t="s">
        <v>74</v>
      </c>
      <c r="C130" s="40">
        <f>VLOOKUP(B130,Tabela4[],2,FALSE)</f>
        <v>0</v>
      </c>
      <c r="D130" s="40">
        <f>VLOOKUP(B130,Tabela4[],3,FALSE)</f>
        <v>45345</v>
      </c>
      <c r="E130">
        <f t="shared" si="1"/>
        <v>45345</v>
      </c>
    </row>
    <row r="131" spans="2:5" x14ac:dyDescent="0.25">
      <c r="B131" s="25" t="s">
        <v>533</v>
      </c>
      <c r="C131" s="40">
        <f>VLOOKUP(B131,Tabela4[],2,FALSE)</f>
        <v>0</v>
      </c>
      <c r="D131" s="40">
        <f>VLOOKUP(B131,Tabela4[],3,FALSE)</f>
        <v>45344</v>
      </c>
      <c r="E131">
        <f t="shared" ref="E131:E158" si="2">D131-C131</f>
        <v>45344</v>
      </c>
    </row>
    <row r="132" spans="2:5" x14ac:dyDescent="0.25">
      <c r="B132" s="25" t="s">
        <v>553</v>
      </c>
      <c r="C132" s="40">
        <f>VLOOKUP(B132,Tabela4[],2,FALSE)</f>
        <v>0</v>
      </c>
      <c r="D132" s="40">
        <f>VLOOKUP(B132,Tabela4[],3,FALSE)</f>
        <v>45348</v>
      </c>
      <c r="E132">
        <f t="shared" si="2"/>
        <v>45348</v>
      </c>
    </row>
    <row r="133" spans="2:5" x14ac:dyDescent="0.25">
      <c r="B133" s="25" t="s">
        <v>554</v>
      </c>
      <c r="C133" s="40">
        <f>VLOOKUP(B133,Tabela4[],2,FALSE)</f>
        <v>0</v>
      </c>
      <c r="D133" s="40">
        <f>VLOOKUP(B133,Tabela4[],3,FALSE)</f>
        <v>45342</v>
      </c>
      <c r="E133">
        <f t="shared" si="2"/>
        <v>45342</v>
      </c>
    </row>
    <row r="134" spans="2:5" x14ac:dyDescent="0.25">
      <c r="B134" s="25" t="s">
        <v>555</v>
      </c>
      <c r="C134" s="40">
        <f>VLOOKUP(B134,Tabela4[],2,FALSE)</f>
        <v>0</v>
      </c>
      <c r="D134" s="40">
        <f>VLOOKUP(B134,Tabela4[],3,FALSE)</f>
        <v>45348</v>
      </c>
      <c r="E134">
        <f t="shared" si="2"/>
        <v>45348</v>
      </c>
    </row>
    <row r="135" spans="2:5" x14ac:dyDescent="0.25">
      <c r="B135" s="25" t="s">
        <v>556</v>
      </c>
      <c r="C135" s="40">
        <f>VLOOKUP(B135,Tabela4[],2,FALSE)</f>
        <v>0</v>
      </c>
      <c r="D135" s="40">
        <f>VLOOKUP(B135,Tabela4[],3,FALSE)</f>
        <v>45322</v>
      </c>
      <c r="E135">
        <f t="shared" si="2"/>
        <v>45322</v>
      </c>
    </row>
    <row r="136" spans="2:5" x14ac:dyDescent="0.25">
      <c r="B136" s="25" t="s">
        <v>557</v>
      </c>
      <c r="C136" s="40">
        <f>VLOOKUP(B136,Tabela4[],2,FALSE)</f>
        <v>0</v>
      </c>
      <c r="D136" s="40">
        <f>VLOOKUP(B136,Tabela4[],3,FALSE)</f>
        <v>45349</v>
      </c>
      <c r="E136">
        <f t="shared" si="2"/>
        <v>45349</v>
      </c>
    </row>
    <row r="137" spans="2:5" x14ac:dyDescent="0.25">
      <c r="B137" s="25" t="s">
        <v>558</v>
      </c>
      <c r="C137" s="40">
        <f>VLOOKUP(B137,Tabela4[],2,FALSE)</f>
        <v>0</v>
      </c>
      <c r="D137" s="40">
        <f>VLOOKUP(B137,Tabela4[],3,FALSE)</f>
        <v>45349</v>
      </c>
      <c r="E137">
        <f t="shared" si="2"/>
        <v>45349</v>
      </c>
    </row>
    <row r="138" spans="2:5" x14ac:dyDescent="0.25">
      <c r="B138" s="25" t="s">
        <v>559</v>
      </c>
      <c r="C138" s="40">
        <f>VLOOKUP(B138,Tabela4[],2,FALSE)</f>
        <v>0</v>
      </c>
      <c r="D138" s="40">
        <f>VLOOKUP(B138,Tabela4[],3,FALSE)</f>
        <v>45349</v>
      </c>
      <c r="E138">
        <f t="shared" si="2"/>
        <v>45349</v>
      </c>
    </row>
    <row r="139" spans="2:5" x14ac:dyDescent="0.25">
      <c r="B139" s="25" t="s">
        <v>560</v>
      </c>
      <c r="C139" s="40">
        <f>VLOOKUP(B139,Tabela4[],2,FALSE)</f>
        <v>0</v>
      </c>
      <c r="D139" s="40">
        <f>VLOOKUP(B139,Tabela4[],3,FALSE)</f>
        <v>45349</v>
      </c>
      <c r="E139">
        <f t="shared" si="2"/>
        <v>45349</v>
      </c>
    </row>
    <row r="140" spans="2:5" x14ac:dyDescent="0.25">
      <c r="B140" s="25" t="s">
        <v>561</v>
      </c>
      <c r="C140" s="40">
        <f>VLOOKUP(B140,Tabela4[],2,FALSE)</f>
        <v>0</v>
      </c>
      <c r="D140" s="40">
        <f>VLOOKUP(B140,Tabela4[],3,FALSE)</f>
        <v>45349</v>
      </c>
      <c r="E140">
        <f t="shared" si="2"/>
        <v>45349</v>
      </c>
    </row>
    <row r="141" spans="2:5" x14ac:dyDescent="0.25">
      <c r="B141" s="25" t="s">
        <v>562</v>
      </c>
      <c r="C141" s="40">
        <f>VLOOKUP(B141,Tabela4[],2,FALSE)</f>
        <v>0</v>
      </c>
      <c r="D141" s="40">
        <f>VLOOKUP(B141,Tabela4[],3,FALSE)</f>
        <v>45350</v>
      </c>
      <c r="E141">
        <f t="shared" si="2"/>
        <v>45350</v>
      </c>
    </row>
    <row r="142" spans="2:5" x14ac:dyDescent="0.25">
      <c r="B142" s="25" t="s">
        <v>563</v>
      </c>
      <c r="C142" s="40">
        <f>VLOOKUP(B142,Tabela4[],2,FALSE)</f>
        <v>0</v>
      </c>
      <c r="D142" s="40">
        <f>VLOOKUP(B142,Tabela4[],3,FALSE)</f>
        <v>45350</v>
      </c>
      <c r="E142">
        <f t="shared" si="2"/>
        <v>45350</v>
      </c>
    </row>
    <row r="143" spans="2:5" x14ac:dyDescent="0.25">
      <c r="B143" s="25" t="s">
        <v>564</v>
      </c>
      <c r="C143" s="40">
        <f>VLOOKUP(B143,Tabela4[],2,FALSE)</f>
        <v>0</v>
      </c>
      <c r="D143" s="40">
        <f>VLOOKUP(B143,Tabela4[],3,FALSE)</f>
        <v>45350</v>
      </c>
      <c r="E143">
        <f t="shared" si="2"/>
        <v>45350</v>
      </c>
    </row>
    <row r="144" spans="2:5" x14ac:dyDescent="0.25">
      <c r="B144" s="25" t="s">
        <v>565</v>
      </c>
      <c r="C144" s="40">
        <f>VLOOKUP(B144,Tabela4[],2,FALSE)</f>
        <v>0</v>
      </c>
      <c r="D144" s="40">
        <f>VLOOKUP(B144,Tabela4[],3,FALSE)</f>
        <v>45350</v>
      </c>
      <c r="E144">
        <f t="shared" si="2"/>
        <v>45350</v>
      </c>
    </row>
    <row r="145" spans="2:5" x14ac:dyDescent="0.25">
      <c r="B145" s="25" t="s">
        <v>563</v>
      </c>
      <c r="C145" s="40">
        <f>VLOOKUP(B145,Tabela4[],2,FALSE)</f>
        <v>0</v>
      </c>
      <c r="D145" s="40">
        <f>VLOOKUP(B145,Tabela4[],3,FALSE)</f>
        <v>45350</v>
      </c>
      <c r="E145">
        <f t="shared" si="2"/>
        <v>45350</v>
      </c>
    </row>
    <row r="146" spans="2:5" x14ac:dyDescent="0.25">
      <c r="B146" s="25" t="s">
        <v>235</v>
      </c>
      <c r="C146" s="40">
        <f>VLOOKUP(B146,Tabela4[],2,FALSE)</f>
        <v>0</v>
      </c>
      <c r="D146" s="40">
        <f>VLOOKUP(B146,Tabela4[],3,FALSE)</f>
        <v>45350</v>
      </c>
      <c r="E146">
        <f t="shared" si="2"/>
        <v>45350</v>
      </c>
    </row>
    <row r="147" spans="2:5" x14ac:dyDescent="0.25">
      <c r="B147" s="25" t="s">
        <v>566</v>
      </c>
      <c r="C147" s="40">
        <f>VLOOKUP(B147,Tabela4[],2,FALSE)</f>
        <v>0</v>
      </c>
      <c r="D147" s="40">
        <f>VLOOKUP(B147,Tabela4[],3,FALSE)</f>
        <v>45323</v>
      </c>
      <c r="E147">
        <f t="shared" si="2"/>
        <v>45323</v>
      </c>
    </row>
    <row r="148" spans="2:5" x14ac:dyDescent="0.25">
      <c r="B148" s="25" t="s">
        <v>567</v>
      </c>
      <c r="C148" s="40">
        <f>VLOOKUP(B148,Tabela4[],2,FALSE)</f>
        <v>0</v>
      </c>
      <c r="D148" s="40">
        <f>VLOOKUP(B148,Tabela4[],3,FALSE)</f>
        <v>45328</v>
      </c>
      <c r="E148">
        <f t="shared" si="2"/>
        <v>45328</v>
      </c>
    </row>
    <row r="149" spans="2:5" x14ac:dyDescent="0.25">
      <c r="B149" s="25" t="s">
        <v>568</v>
      </c>
      <c r="C149" s="40">
        <f>VLOOKUP(B149,Tabela4[],2,FALSE)</f>
        <v>0</v>
      </c>
      <c r="D149" s="40">
        <f>VLOOKUP(B149,Tabela4[],3,FALSE)</f>
        <v>45331</v>
      </c>
      <c r="E149">
        <f t="shared" si="2"/>
        <v>45331</v>
      </c>
    </row>
    <row r="150" spans="2:5" x14ac:dyDescent="0.25">
      <c r="B150" s="25" t="s">
        <v>569</v>
      </c>
      <c r="C150" s="40">
        <f>VLOOKUP(B150,Tabela4[],2,FALSE)</f>
        <v>0</v>
      </c>
      <c r="D150" s="40">
        <f>VLOOKUP(B150,Tabela4[],3,FALSE)</f>
        <v>45337</v>
      </c>
      <c r="E150">
        <f t="shared" si="2"/>
        <v>45337</v>
      </c>
    </row>
    <row r="151" spans="2:5" x14ac:dyDescent="0.25">
      <c r="B151" s="25" t="s">
        <v>216</v>
      </c>
      <c r="C151" s="40">
        <f>VLOOKUP(B151,Tabela4[],2,FALSE)</f>
        <v>0</v>
      </c>
      <c r="D151" s="40">
        <f>VLOOKUP(B151,Tabela4[],3,FALSE)</f>
        <v>45341</v>
      </c>
      <c r="E151">
        <f t="shared" si="2"/>
        <v>45341</v>
      </c>
    </row>
    <row r="152" spans="2:5" x14ac:dyDescent="0.25">
      <c r="B152" s="25" t="s">
        <v>570</v>
      </c>
      <c r="C152" s="40">
        <f>VLOOKUP(B152,Tabela4[],2,FALSE)</f>
        <v>0</v>
      </c>
      <c r="D152" s="40">
        <f>VLOOKUP(B152,Tabela4[],3,FALSE)</f>
        <v>45348</v>
      </c>
      <c r="E152">
        <f t="shared" si="2"/>
        <v>45348</v>
      </c>
    </row>
    <row r="153" spans="2:5" x14ac:dyDescent="0.25">
      <c r="B153" s="25" t="s">
        <v>571</v>
      </c>
      <c r="C153" s="40">
        <f>VLOOKUP(B153,Tabela4[],2,FALSE)</f>
        <v>0</v>
      </c>
      <c r="D153" s="40">
        <f>VLOOKUP(B153,Tabela4[],3,FALSE)</f>
        <v>45349</v>
      </c>
      <c r="E153">
        <f t="shared" si="2"/>
        <v>45349</v>
      </c>
    </row>
    <row r="154" spans="2:5" x14ac:dyDescent="0.25">
      <c r="B154" s="25" t="s">
        <v>66</v>
      </c>
      <c r="C154" s="40">
        <f>VLOOKUP(B154,Tabela4[],2,FALSE)</f>
        <v>0</v>
      </c>
      <c r="D154" s="40">
        <f>VLOOKUP(B154,Tabela4[],3,FALSE)</f>
        <v>45351</v>
      </c>
      <c r="E154">
        <f t="shared" si="2"/>
        <v>45351</v>
      </c>
    </row>
    <row r="155" spans="2:5" x14ac:dyDescent="0.25">
      <c r="B155" s="25" t="s">
        <v>572</v>
      </c>
      <c r="C155" s="40">
        <f>VLOOKUP(B155,Tabela4[],2,FALSE)</f>
        <v>0</v>
      </c>
      <c r="D155" s="40">
        <f>VLOOKUP(B155,Tabela4[],3,FALSE)</f>
        <v>45350</v>
      </c>
      <c r="E155">
        <f t="shared" si="2"/>
        <v>45350</v>
      </c>
    </row>
    <row r="156" spans="2:5" x14ac:dyDescent="0.25">
      <c r="B156" s="25" t="s">
        <v>284</v>
      </c>
      <c r="C156" s="40">
        <f>VLOOKUP(B156,Tabela4[],2,FALSE)</f>
        <v>0</v>
      </c>
      <c r="D156" s="40">
        <f>VLOOKUP(B156,Tabela4[],3,FALSE)</f>
        <v>45350</v>
      </c>
      <c r="E156">
        <f t="shared" si="2"/>
        <v>45350</v>
      </c>
    </row>
    <row r="157" spans="2:5" x14ac:dyDescent="0.25">
      <c r="B157" s="25" t="s">
        <v>68</v>
      </c>
      <c r="C157" s="40">
        <f>VLOOKUP(B157,Tabela4[],2,FALSE)</f>
        <v>0</v>
      </c>
      <c r="D157" s="40">
        <f>VLOOKUP(B157,Tabela4[],3,FALSE)</f>
        <v>45351</v>
      </c>
      <c r="E157">
        <f t="shared" si="2"/>
        <v>45351</v>
      </c>
    </row>
    <row r="158" spans="2:5" x14ac:dyDescent="0.25">
      <c r="B158" s="25" t="s">
        <v>573</v>
      </c>
      <c r="C158" s="40">
        <f>VLOOKUP(B158,Tabela4[],2,FALSE)</f>
        <v>0</v>
      </c>
      <c r="D158" s="40">
        <f>VLOOKUP(B158,Tabela4[],3,FALSE)</f>
        <v>45351</v>
      </c>
      <c r="E158">
        <f t="shared" si="2"/>
        <v>45351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F63C-ADDF-4C8C-A422-EB877999ED7A}">
  <sheetPr codeName="Planilha2"/>
  <dimension ref="A1"/>
  <sheetViews>
    <sheetView showGridLines="0" workbookViewId="0">
      <selection activeCell="H28" sqref="H28"/>
    </sheetView>
  </sheetViews>
  <sheetFormatPr defaultRowHeight="15" x14ac:dyDescent="0.25"/>
  <cols>
    <col min="1" max="16384" width="9.140625" style="33"/>
  </cols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7070-D349-48EE-81CC-8F55E76042E4}">
  <sheetPr codeName="Planilha3"/>
  <dimension ref="A1:T80"/>
  <sheetViews>
    <sheetView zoomScale="80" zoomScaleNormal="80" workbookViewId="0">
      <selection activeCell="D1" sqref="D1:D4"/>
    </sheetView>
  </sheetViews>
  <sheetFormatPr defaultRowHeight="15" x14ac:dyDescent="0.25"/>
  <cols>
    <col min="1" max="1" width="18.85546875" customWidth="1"/>
    <col min="2" max="2" width="21.85546875" customWidth="1"/>
    <col min="3" max="3" width="24.7109375" customWidth="1"/>
    <col min="4" max="4" width="21.5703125" customWidth="1"/>
    <col min="6" max="6" width="15" bestFit="1" customWidth="1"/>
    <col min="13" max="13" width="9.140625" customWidth="1"/>
    <col min="14" max="14" width="10.140625" bestFit="1" customWidth="1"/>
  </cols>
  <sheetData>
    <row r="1" spans="1:20" ht="28.5" customHeight="1" x14ac:dyDescent="0.25">
      <c r="A1" s="88" t="s">
        <v>574</v>
      </c>
      <c r="B1" s="91">
        <f ca="1">YEAR(TODAY())</f>
        <v>2024</v>
      </c>
      <c r="C1" s="88" t="s">
        <v>575</v>
      </c>
      <c r="D1" s="94" t="str">
        <f ca="1">UPPER(TEXT(DATE(YEAR(TODAY()), MONTH(TODAY()), DAY(TODAY())), "MMMM"))</f>
        <v>JULHO</v>
      </c>
      <c r="E1" s="97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9"/>
    </row>
    <row r="2" spans="1:20" ht="15" customHeight="1" x14ac:dyDescent="0.25">
      <c r="A2" s="89"/>
      <c r="B2" s="92"/>
      <c r="C2" s="89"/>
      <c r="D2" s="95"/>
      <c r="E2" s="100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2"/>
    </row>
    <row r="3" spans="1:20" ht="15" customHeight="1" x14ac:dyDescent="0.25">
      <c r="A3" s="89"/>
      <c r="B3" s="92"/>
      <c r="C3" s="89"/>
      <c r="D3" s="95"/>
      <c r="E3" s="100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2"/>
    </row>
    <row r="4" spans="1:20" ht="15" customHeight="1" thickBot="1" x14ac:dyDescent="0.3">
      <c r="A4" s="90"/>
      <c r="B4" s="93"/>
      <c r="C4" s="90"/>
      <c r="D4" s="96"/>
      <c r="E4" s="103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5"/>
    </row>
    <row r="5" spans="1:20" x14ac:dyDescent="0.25">
      <c r="A5" s="97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9"/>
    </row>
    <row r="6" spans="1:20" x14ac:dyDescent="0.25">
      <c r="A6" s="100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2"/>
    </row>
    <row r="7" spans="1:20" x14ac:dyDescent="0.25">
      <c r="A7" s="100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2"/>
    </row>
    <row r="8" spans="1:20" x14ac:dyDescent="0.25">
      <c r="A8" s="100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2"/>
    </row>
    <row r="9" spans="1:20" x14ac:dyDescent="0.25">
      <c r="A9" s="100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2"/>
    </row>
    <row r="10" spans="1:20" x14ac:dyDescent="0.25">
      <c r="A10" s="100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2"/>
    </row>
    <row r="11" spans="1:20" x14ac:dyDescent="0.25">
      <c r="A11" s="100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2"/>
    </row>
    <row r="12" spans="1:20" x14ac:dyDescent="0.25">
      <c r="A12" s="100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</row>
    <row r="13" spans="1:20" x14ac:dyDescent="0.25">
      <c r="A13" s="100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2"/>
    </row>
    <row r="14" spans="1:20" x14ac:dyDescent="0.25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2"/>
    </row>
    <row r="15" spans="1:20" ht="15.75" thickBot="1" x14ac:dyDescent="0.3">
      <c r="A15" s="103"/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5"/>
    </row>
    <row r="16" spans="1:20" ht="32.25" thickBot="1" x14ac:dyDescent="0.55000000000000004">
      <c r="A16" s="109" t="s">
        <v>576</v>
      </c>
      <c r="B16" s="110"/>
      <c r="C16" s="110"/>
      <c r="D16" s="110"/>
      <c r="E16" s="110"/>
      <c r="F16" s="110"/>
      <c r="G16" s="110"/>
      <c r="H16" s="110"/>
      <c r="I16" s="110"/>
      <c r="J16" s="110"/>
      <c r="K16" s="111"/>
      <c r="L16" s="106" t="s">
        <v>577</v>
      </c>
      <c r="M16" s="107"/>
      <c r="N16" s="107"/>
      <c r="O16" s="107"/>
      <c r="P16" s="107"/>
      <c r="Q16" s="107"/>
      <c r="R16" s="107"/>
      <c r="S16" s="107"/>
      <c r="T16" s="108"/>
    </row>
    <row r="17" spans="1:20" x14ac:dyDescent="0.25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4"/>
      <c r="L17" s="97"/>
      <c r="M17" s="98"/>
      <c r="N17" s="98"/>
      <c r="O17" s="98"/>
      <c r="P17" s="98"/>
      <c r="Q17" s="98"/>
      <c r="R17" s="98"/>
      <c r="S17" s="98"/>
      <c r="T17" s="99"/>
    </row>
    <row r="18" spans="1:20" x14ac:dyDescent="0.25">
      <c r="A18" s="115"/>
      <c r="B18" s="116"/>
      <c r="C18" s="116"/>
      <c r="D18" s="116"/>
      <c r="E18" s="116"/>
      <c r="F18" s="116"/>
      <c r="G18" s="116"/>
      <c r="H18" s="116"/>
      <c r="I18" s="116"/>
      <c r="J18" s="116"/>
      <c r="K18" s="117"/>
      <c r="L18" s="100"/>
      <c r="M18" s="101"/>
      <c r="N18" s="101"/>
      <c r="O18" s="101"/>
      <c r="P18" s="101"/>
      <c r="Q18" s="101"/>
      <c r="R18" s="101"/>
      <c r="S18" s="101"/>
      <c r="T18" s="102"/>
    </row>
    <row r="19" spans="1:20" x14ac:dyDescent="0.25">
      <c r="A19" s="115"/>
      <c r="B19" s="116"/>
      <c r="C19" s="116"/>
      <c r="D19" s="116"/>
      <c r="E19" s="116"/>
      <c r="F19" s="116"/>
      <c r="G19" s="116"/>
      <c r="H19" s="116"/>
      <c r="I19" s="116"/>
      <c r="J19" s="116"/>
      <c r="K19" s="117"/>
      <c r="L19" s="100"/>
      <c r="M19" s="101"/>
      <c r="N19" s="101"/>
      <c r="O19" s="101"/>
      <c r="P19" s="101"/>
      <c r="Q19" s="101"/>
      <c r="R19" s="101"/>
      <c r="S19" s="101"/>
      <c r="T19" s="102"/>
    </row>
    <row r="20" spans="1:20" x14ac:dyDescent="0.25">
      <c r="A20" s="115"/>
      <c r="B20" s="116"/>
      <c r="C20" s="116"/>
      <c r="D20" s="116"/>
      <c r="E20" s="116"/>
      <c r="F20" s="116"/>
      <c r="G20" s="116"/>
      <c r="H20" s="116"/>
      <c r="I20" s="116"/>
      <c r="J20" s="116"/>
      <c r="K20" s="117"/>
      <c r="L20" s="100"/>
      <c r="M20" s="101"/>
      <c r="N20" s="101"/>
      <c r="O20" s="101"/>
      <c r="P20" s="101"/>
      <c r="Q20" s="101"/>
      <c r="R20" s="101"/>
      <c r="S20" s="101"/>
      <c r="T20" s="102"/>
    </row>
    <row r="21" spans="1:20" ht="15.75" thickBot="1" x14ac:dyDescent="0.3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20"/>
      <c r="L21" s="103"/>
      <c r="M21" s="104"/>
      <c r="N21" s="104"/>
      <c r="O21" s="104"/>
      <c r="P21" s="104"/>
      <c r="Q21" s="104"/>
      <c r="R21" s="104"/>
      <c r="S21" s="104"/>
      <c r="T21" s="105"/>
    </row>
    <row r="22" spans="1:20" ht="15" customHeight="1" x14ac:dyDescent="0.25">
      <c r="A22" s="73" t="s">
        <v>578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5"/>
    </row>
    <row r="23" spans="1:20" ht="15.75" customHeight="1" thickBot="1" x14ac:dyDescent="0.3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8"/>
    </row>
    <row r="24" spans="1:20" x14ac:dyDescent="0.25">
      <c r="A24" s="97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9"/>
    </row>
    <row r="25" spans="1:20" x14ac:dyDescent="0.25">
      <c r="A25" s="100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2"/>
    </row>
    <row r="26" spans="1:20" x14ac:dyDescent="0.25">
      <c r="A26" s="100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2"/>
    </row>
    <row r="27" spans="1:20" x14ac:dyDescent="0.25">
      <c r="A27" s="100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2"/>
    </row>
    <row r="28" spans="1:20" x14ac:dyDescent="0.25">
      <c r="A28" s="100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2"/>
    </row>
    <row r="29" spans="1:20" x14ac:dyDescent="0.25">
      <c r="A29" s="10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2"/>
    </row>
    <row r="30" spans="1:20" x14ac:dyDescent="0.25">
      <c r="A30" s="100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2"/>
    </row>
    <row r="31" spans="1:20" x14ac:dyDescent="0.25">
      <c r="A31" s="100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2"/>
    </row>
    <row r="32" spans="1:20" x14ac:dyDescent="0.25">
      <c r="A32" s="100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2"/>
    </row>
    <row r="33" spans="1:20" ht="15.75" thickBot="1" x14ac:dyDescent="0.3">
      <c r="A33" s="103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5"/>
    </row>
    <row r="34" spans="1:20" ht="15" customHeight="1" x14ac:dyDescent="0.25">
      <c r="A34" s="73" t="s">
        <v>579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5"/>
    </row>
    <row r="35" spans="1:20" ht="15.75" customHeight="1" thickBot="1" x14ac:dyDescent="0.3">
      <c r="A35" s="7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8"/>
    </row>
    <row r="36" spans="1:20" x14ac:dyDescent="0.25">
      <c r="A36" s="97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9"/>
    </row>
    <row r="37" spans="1:20" x14ac:dyDescent="0.25">
      <c r="A37" s="100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2"/>
    </row>
    <row r="38" spans="1:20" x14ac:dyDescent="0.25">
      <c r="A38" s="100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2"/>
    </row>
    <row r="39" spans="1:20" x14ac:dyDescent="0.25">
      <c r="A39" s="100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2"/>
    </row>
    <row r="40" spans="1:20" x14ac:dyDescent="0.25">
      <c r="A40" s="100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2"/>
    </row>
    <row r="41" spans="1:20" ht="31.5" customHeight="1" thickBot="1" x14ac:dyDescent="0.3">
      <c r="A41" s="103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5"/>
    </row>
    <row r="42" spans="1:20" ht="31.5" customHeight="1" x14ac:dyDescent="0.25">
      <c r="A42" s="73" t="s">
        <v>580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1:20" ht="31.5" customHeight="1" thickBot="1" x14ac:dyDescent="0.3">
      <c r="A43" s="76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8"/>
    </row>
    <row r="44" spans="1:20" x14ac:dyDescent="0.25">
      <c r="A44" s="79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1"/>
    </row>
    <row r="45" spans="1:20" x14ac:dyDescent="0.25">
      <c r="A45" s="82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4"/>
    </row>
    <row r="46" spans="1:20" x14ac:dyDescent="0.25">
      <c r="A46" s="82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4"/>
    </row>
    <row r="47" spans="1:20" x14ac:dyDescent="0.25">
      <c r="A47" s="82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4"/>
    </row>
    <row r="48" spans="1:20" x14ac:dyDescent="0.25">
      <c r="A48" s="82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4"/>
    </row>
    <row r="49" spans="1:20" x14ac:dyDescent="0.25">
      <c r="A49" s="82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4"/>
    </row>
    <row r="50" spans="1:20" x14ac:dyDescent="0.25">
      <c r="A50" s="82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4"/>
    </row>
    <row r="51" spans="1:20" ht="15" customHeight="1" x14ac:dyDescent="0.25">
      <c r="A51" s="82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4"/>
    </row>
    <row r="52" spans="1:20" ht="15" customHeight="1" x14ac:dyDescent="0.25">
      <c r="A52" s="82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4"/>
    </row>
    <row r="53" spans="1:20" ht="15" customHeight="1" x14ac:dyDescent="0.25">
      <c r="A53" s="82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4"/>
    </row>
    <row r="54" spans="1:20" ht="15" customHeight="1" x14ac:dyDescent="0.25">
      <c r="A54" s="82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4"/>
    </row>
    <row r="55" spans="1:20" x14ac:dyDescent="0.25">
      <c r="A55" s="82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4"/>
    </row>
    <row r="56" spans="1:20" x14ac:dyDescent="0.25">
      <c r="A56" s="82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4"/>
    </row>
    <row r="57" spans="1:20" x14ac:dyDescent="0.25">
      <c r="A57" s="8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4"/>
    </row>
    <row r="58" spans="1:20" x14ac:dyDescent="0.25">
      <c r="A58" s="82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4"/>
    </row>
    <row r="59" spans="1:20" x14ac:dyDescent="0.25">
      <c r="A59" s="82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4"/>
    </row>
    <row r="60" spans="1:20" ht="15.75" thickBot="1" x14ac:dyDescent="0.3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7"/>
    </row>
    <row r="79" spans="6:6" x14ac:dyDescent="0.25">
      <c r="F79" s="1"/>
    </row>
    <row r="80" spans="6:6" x14ac:dyDescent="0.25">
      <c r="F80" s="1"/>
    </row>
  </sheetData>
  <mergeCells count="16">
    <mergeCell ref="A42:T43"/>
    <mergeCell ref="A44:T60"/>
    <mergeCell ref="A1:A4"/>
    <mergeCell ref="B1:B4"/>
    <mergeCell ref="C1:C4"/>
    <mergeCell ref="D1:D4"/>
    <mergeCell ref="E1:T4"/>
    <mergeCell ref="A22:T23"/>
    <mergeCell ref="A24:T33"/>
    <mergeCell ref="A5:T15"/>
    <mergeCell ref="L16:T16"/>
    <mergeCell ref="L17:T21"/>
    <mergeCell ref="A16:K16"/>
    <mergeCell ref="A17:K21"/>
    <mergeCell ref="A34:T35"/>
    <mergeCell ref="A36:T4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25C7-171A-4CF1-9B5F-D1A94EF82CA1}">
  <sheetPr codeName="Planilha5"/>
  <dimension ref="A1"/>
  <sheetViews>
    <sheetView workbookViewId="0">
      <selection activeCell="T8" sqref="T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D357-9B0B-410B-8E3E-635EB367C5E8}">
  <sheetPr codeName="Planilha6"/>
  <dimension ref="A1"/>
  <sheetViews>
    <sheetView workbookViewId="0">
      <selection activeCell="I25" sqref="I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EDDE-ACD9-4355-A8F8-2063255CD6C8}">
  <dimension ref="B2:F109"/>
  <sheetViews>
    <sheetView topLeftCell="A106" workbookViewId="0">
      <selection activeCell="J12" sqref="J12"/>
    </sheetView>
  </sheetViews>
  <sheetFormatPr defaultRowHeight="15" x14ac:dyDescent="0.25"/>
  <cols>
    <col min="3" max="3" width="14.28515625" customWidth="1"/>
    <col min="4" max="4" width="12.140625" bestFit="1" customWidth="1"/>
    <col min="5" max="5" width="10.7109375" bestFit="1" customWidth="1"/>
  </cols>
  <sheetData>
    <row r="2" spans="2:6" x14ac:dyDescent="0.25">
      <c r="B2" t="s">
        <v>581</v>
      </c>
      <c r="C2" t="s">
        <v>54</v>
      </c>
      <c r="D2" t="s">
        <v>56</v>
      </c>
      <c r="E2" t="s">
        <v>58</v>
      </c>
      <c r="F2" t="s">
        <v>59</v>
      </c>
    </row>
    <row r="3" spans="2:6" x14ac:dyDescent="0.25">
      <c r="B3" t="s">
        <v>67</v>
      </c>
      <c r="C3" t="s">
        <v>469</v>
      </c>
      <c r="D3" s="40">
        <f>VLOOKUP(C3,Tabela4[],2,FALSE)</f>
        <v>0</v>
      </c>
      <c r="E3" s="40">
        <f>VLOOKUP(C3,Tabela4[],3,FALSE)</f>
        <v>45321</v>
      </c>
      <c r="F3">
        <f t="shared" ref="F3:F34" si="0">E3-D3</f>
        <v>45321</v>
      </c>
    </row>
    <row r="4" spans="2:6" x14ac:dyDescent="0.25">
      <c r="B4" t="s">
        <v>113</v>
      </c>
      <c r="C4" t="s">
        <v>449</v>
      </c>
      <c r="D4" s="40">
        <f>VLOOKUP(C4,Tabela4[],2,FALSE)</f>
        <v>0</v>
      </c>
      <c r="E4" s="40">
        <f>VLOOKUP(C4,Tabela4[],3,FALSE)</f>
        <v>45321</v>
      </c>
      <c r="F4">
        <f t="shared" si="0"/>
        <v>45321</v>
      </c>
    </row>
    <row r="5" spans="2:6" x14ac:dyDescent="0.25">
      <c r="B5" t="s">
        <v>160</v>
      </c>
      <c r="C5" t="s">
        <v>460</v>
      </c>
      <c r="D5" s="40">
        <f>VLOOKUP(C5,Tabela4[],2,FALSE)</f>
        <v>0</v>
      </c>
      <c r="E5" s="40">
        <f>VLOOKUP(C5,Tabela4[],3,FALSE)</f>
        <v>45322</v>
      </c>
      <c r="F5">
        <f t="shared" si="0"/>
        <v>45322</v>
      </c>
    </row>
    <row r="6" spans="2:6" x14ac:dyDescent="0.25">
      <c r="B6" t="s">
        <v>445</v>
      </c>
      <c r="C6" t="s">
        <v>480</v>
      </c>
      <c r="D6" s="40">
        <f>VLOOKUP(C6,Tabela4[],2,FALSE)</f>
        <v>0</v>
      </c>
      <c r="E6" s="40">
        <f>VLOOKUP(C6,Tabela4[],3,FALSE)</f>
        <v>45320</v>
      </c>
      <c r="F6">
        <f t="shared" si="0"/>
        <v>45320</v>
      </c>
    </row>
    <row r="7" spans="2:6" x14ac:dyDescent="0.25">
      <c r="B7" t="s">
        <v>166</v>
      </c>
      <c r="C7" t="s">
        <v>461</v>
      </c>
      <c r="D7" s="40">
        <f>VLOOKUP(C7,Tabela4[],2,FALSE)</f>
        <v>0</v>
      </c>
      <c r="E7" s="40">
        <f>VLOOKUP(C7,Tabela4[],3,FALSE)</f>
        <v>45324</v>
      </c>
      <c r="F7">
        <f t="shared" si="0"/>
        <v>45324</v>
      </c>
    </row>
    <row r="8" spans="2:6" x14ac:dyDescent="0.25">
      <c r="B8" t="s">
        <v>67</v>
      </c>
      <c r="C8" t="s">
        <v>466</v>
      </c>
      <c r="D8" s="40">
        <f>VLOOKUP(C8,Tabela4[],2,FALSE)</f>
        <v>0</v>
      </c>
      <c r="E8" s="40">
        <f>VLOOKUP(C8,Tabela4[],3,FALSE)</f>
        <v>45323</v>
      </c>
      <c r="F8">
        <f t="shared" si="0"/>
        <v>45323</v>
      </c>
    </row>
    <row r="9" spans="2:6" x14ac:dyDescent="0.25">
      <c r="B9" t="s">
        <v>166</v>
      </c>
      <c r="C9" t="s">
        <v>462</v>
      </c>
      <c r="D9" s="40">
        <f>VLOOKUP(C9,Tabela4[],2,FALSE)</f>
        <v>0</v>
      </c>
      <c r="E9" s="40">
        <f>VLOOKUP(C9,Tabela4[],3,FALSE)</f>
        <v>45323</v>
      </c>
      <c r="F9">
        <f t="shared" si="0"/>
        <v>45323</v>
      </c>
    </row>
    <row r="10" spans="2:6" x14ac:dyDescent="0.25">
      <c r="B10" t="s">
        <v>119</v>
      </c>
      <c r="C10" t="s">
        <v>470</v>
      </c>
      <c r="D10" s="40">
        <f>VLOOKUP(C10,Tabela4[],2,FALSE)</f>
        <v>0</v>
      </c>
      <c r="E10" s="40">
        <f>VLOOKUP(C10,Tabela4[],3,FALSE)</f>
        <v>45324</v>
      </c>
      <c r="F10">
        <f t="shared" si="0"/>
        <v>45324</v>
      </c>
    </row>
    <row r="11" spans="2:6" x14ac:dyDescent="0.25">
      <c r="B11" t="s">
        <v>150</v>
      </c>
      <c r="C11" t="s">
        <v>451</v>
      </c>
      <c r="D11" s="40">
        <f>VLOOKUP(C11,Tabela4[],2,FALSE)</f>
        <v>0</v>
      </c>
      <c r="E11" s="40">
        <f>VLOOKUP(C11,Tabela4[],3,FALSE)</f>
        <v>45323</v>
      </c>
      <c r="F11">
        <f t="shared" si="0"/>
        <v>45323</v>
      </c>
    </row>
    <row r="12" spans="2:6" x14ac:dyDescent="0.25">
      <c r="B12" t="s">
        <v>267</v>
      </c>
      <c r="C12" t="s">
        <v>397</v>
      </c>
      <c r="D12" s="40">
        <v>45324</v>
      </c>
      <c r="E12" s="40">
        <v>45328</v>
      </c>
      <c r="F12">
        <f t="shared" si="0"/>
        <v>4</v>
      </c>
    </row>
    <row r="13" spans="2:6" x14ac:dyDescent="0.25">
      <c r="B13" t="s">
        <v>260</v>
      </c>
      <c r="C13" t="s">
        <v>453</v>
      </c>
      <c r="D13" s="40">
        <f>VLOOKUP(C13,Tabela4[],2,FALSE)</f>
        <v>0</v>
      </c>
      <c r="E13" s="40">
        <f>VLOOKUP(C13,Tabela4[],3,FALSE)</f>
        <v>45324</v>
      </c>
      <c r="F13">
        <f t="shared" si="0"/>
        <v>45324</v>
      </c>
    </row>
    <row r="14" spans="2:6" x14ac:dyDescent="0.25">
      <c r="B14" t="s">
        <v>166</v>
      </c>
      <c r="C14" t="s">
        <v>458</v>
      </c>
      <c r="D14" s="40">
        <f>VLOOKUP(C14,Tabela4[],2,FALSE)</f>
        <v>0</v>
      </c>
      <c r="E14" s="40">
        <f>VLOOKUP(C14,Tabela4[],3,FALSE)</f>
        <v>45324</v>
      </c>
      <c r="F14">
        <f t="shared" si="0"/>
        <v>45324</v>
      </c>
    </row>
    <row r="15" spans="2:6" x14ac:dyDescent="0.25">
      <c r="B15" t="s">
        <v>93</v>
      </c>
      <c r="C15" t="s">
        <v>459</v>
      </c>
      <c r="D15" s="40">
        <f>VLOOKUP(C15,Tabela4[],2,FALSE)</f>
        <v>0</v>
      </c>
      <c r="E15" s="40">
        <f>VLOOKUP(C15,Tabela4[],3,FALSE)</f>
        <v>45324</v>
      </c>
      <c r="F15">
        <f t="shared" si="0"/>
        <v>45324</v>
      </c>
    </row>
    <row r="16" spans="2:6" x14ac:dyDescent="0.25">
      <c r="B16" t="s">
        <v>98</v>
      </c>
      <c r="C16" t="s">
        <v>464</v>
      </c>
      <c r="D16" s="40">
        <f>VLOOKUP(C16,Tabela4[],2,FALSE)</f>
        <v>0</v>
      </c>
      <c r="E16" s="40">
        <f>VLOOKUP(C16,Tabela4[],3,FALSE)</f>
        <v>45327</v>
      </c>
      <c r="F16">
        <f t="shared" si="0"/>
        <v>45327</v>
      </c>
    </row>
    <row r="17" spans="2:6" x14ac:dyDescent="0.25">
      <c r="B17" t="s">
        <v>65</v>
      </c>
      <c r="C17" t="s">
        <v>467</v>
      </c>
      <c r="D17" s="40">
        <f>VLOOKUP(C17,Tabela4[],2,FALSE)</f>
        <v>0</v>
      </c>
      <c r="E17" s="40">
        <f>VLOOKUP(C17,Tabela4[],3,FALSE)</f>
        <v>45324</v>
      </c>
      <c r="F17">
        <f t="shared" si="0"/>
        <v>45324</v>
      </c>
    </row>
    <row r="18" spans="2:6" x14ac:dyDescent="0.25">
      <c r="B18" t="s">
        <v>150</v>
      </c>
      <c r="C18" t="s">
        <v>472</v>
      </c>
      <c r="D18" s="40">
        <f>VLOOKUP(C18,Tabela4[],2,FALSE)</f>
        <v>0</v>
      </c>
      <c r="E18" s="40">
        <f>VLOOKUP(C18,Tabela4[],3,FALSE)</f>
        <v>45328</v>
      </c>
      <c r="F18">
        <f t="shared" si="0"/>
        <v>45328</v>
      </c>
    </row>
    <row r="19" spans="2:6" x14ac:dyDescent="0.25">
      <c r="B19" t="s">
        <v>164</v>
      </c>
      <c r="C19" t="s">
        <v>463</v>
      </c>
      <c r="D19" s="40">
        <f>VLOOKUP(C19,Tabela4[],2,FALSE)</f>
        <v>0</v>
      </c>
      <c r="E19" s="40">
        <f>VLOOKUP(C19,Tabela4[],3,FALSE)</f>
        <v>45327</v>
      </c>
      <c r="F19">
        <f t="shared" si="0"/>
        <v>45327</v>
      </c>
    </row>
    <row r="20" spans="2:6" x14ac:dyDescent="0.25">
      <c r="B20" t="s">
        <v>117</v>
      </c>
      <c r="C20" t="s">
        <v>468</v>
      </c>
      <c r="D20" s="40">
        <f>VLOOKUP(C20,Tabela4[],2,FALSE)</f>
        <v>0</v>
      </c>
      <c r="E20" s="40">
        <f>VLOOKUP(C20,Tabela4[],3,FALSE)</f>
        <v>45327</v>
      </c>
      <c r="F20">
        <f t="shared" si="0"/>
        <v>45327</v>
      </c>
    </row>
    <row r="21" spans="2:6" x14ac:dyDescent="0.25">
      <c r="B21" t="s">
        <v>267</v>
      </c>
      <c r="C21" t="s">
        <v>481</v>
      </c>
      <c r="D21" s="40">
        <f>VLOOKUP(C21,Tabela4[],2,FALSE)</f>
        <v>0</v>
      </c>
      <c r="E21" s="40">
        <f>VLOOKUP(C21,Tabela4[],3,FALSE)</f>
        <v>45321</v>
      </c>
      <c r="F21">
        <f t="shared" si="0"/>
        <v>45321</v>
      </c>
    </row>
    <row r="22" spans="2:6" x14ac:dyDescent="0.25">
      <c r="B22" t="s">
        <v>166</v>
      </c>
      <c r="C22" t="s">
        <v>473</v>
      </c>
      <c r="D22" s="40">
        <f>VLOOKUP(C22,Tabela4[],2,FALSE)</f>
        <v>0</v>
      </c>
      <c r="E22" s="40">
        <f>VLOOKUP(C22,Tabela4[],3,FALSE)</f>
        <v>45327</v>
      </c>
      <c r="F22">
        <f t="shared" si="0"/>
        <v>45327</v>
      </c>
    </row>
    <row r="23" spans="2:6" x14ac:dyDescent="0.25">
      <c r="B23" t="s">
        <v>190</v>
      </c>
      <c r="C23" t="s">
        <v>483</v>
      </c>
      <c r="D23" s="40">
        <f>VLOOKUP(C23,Tabela4[],2,FALSE)</f>
        <v>0</v>
      </c>
      <c r="E23" s="40">
        <f>VLOOKUP(C23,Tabela4[],3,FALSE)</f>
        <v>45321</v>
      </c>
      <c r="F23">
        <f t="shared" si="0"/>
        <v>45321</v>
      </c>
    </row>
    <row r="24" spans="2:6" x14ac:dyDescent="0.25">
      <c r="B24" t="s">
        <v>95</v>
      </c>
      <c r="C24" t="s">
        <v>224</v>
      </c>
      <c r="D24" s="40">
        <f>VLOOKUP(C24,Tabela4[],2,FALSE)</f>
        <v>0</v>
      </c>
      <c r="E24" s="40">
        <f>VLOOKUP(C24,Tabela4[],3,FALSE)</f>
        <v>45328</v>
      </c>
      <c r="F24">
        <f t="shared" si="0"/>
        <v>45328</v>
      </c>
    </row>
    <row r="25" spans="2:6" x14ac:dyDescent="0.25">
      <c r="B25" t="s">
        <v>102</v>
      </c>
      <c r="C25" t="s">
        <v>482</v>
      </c>
      <c r="D25" s="40">
        <f>VLOOKUP(C25,Tabela4[],2,FALSE)</f>
        <v>0</v>
      </c>
      <c r="E25" s="40">
        <f>VLOOKUP(C25,Tabela4[],3,FALSE)</f>
        <v>45327</v>
      </c>
      <c r="F25">
        <f t="shared" si="0"/>
        <v>45327</v>
      </c>
    </row>
    <row r="26" spans="2:6" x14ac:dyDescent="0.25">
      <c r="B26" t="s">
        <v>113</v>
      </c>
      <c r="C26" t="s">
        <v>488</v>
      </c>
      <c r="D26" s="40">
        <f>VLOOKUP(C26,Tabela4[],2,FALSE)</f>
        <v>0</v>
      </c>
      <c r="E26" s="40">
        <f>VLOOKUP(C26,Tabela4[],3,FALSE)</f>
        <v>45328</v>
      </c>
      <c r="F26">
        <f t="shared" si="0"/>
        <v>45328</v>
      </c>
    </row>
    <row r="27" spans="2:6" x14ac:dyDescent="0.25">
      <c r="B27" t="s">
        <v>67</v>
      </c>
      <c r="C27" t="s">
        <v>474</v>
      </c>
      <c r="D27" s="40">
        <f>VLOOKUP(C27,Tabela4[],2,FALSE)</f>
        <v>0</v>
      </c>
      <c r="E27" s="40">
        <f>VLOOKUP(C27,Tabela4[],3,FALSE)</f>
        <v>45330</v>
      </c>
      <c r="F27">
        <f t="shared" si="0"/>
        <v>45330</v>
      </c>
    </row>
    <row r="28" spans="2:6" x14ac:dyDescent="0.25">
      <c r="B28" t="s">
        <v>105</v>
      </c>
      <c r="C28" t="s">
        <v>106</v>
      </c>
      <c r="D28" s="40">
        <f>VLOOKUP(C28,Tabela4[],2,FALSE)</f>
        <v>0</v>
      </c>
      <c r="E28" s="40">
        <f>VLOOKUP(C28,Tabela4[],3,FALSE)</f>
        <v>45329</v>
      </c>
      <c r="F28">
        <f t="shared" si="0"/>
        <v>45329</v>
      </c>
    </row>
    <row r="29" spans="2:6" x14ac:dyDescent="0.25">
      <c r="B29" t="s">
        <v>260</v>
      </c>
      <c r="C29" t="s">
        <v>261</v>
      </c>
      <c r="D29" s="40">
        <f>VLOOKUP(C29,Tabela4[],2,FALSE)</f>
        <v>0</v>
      </c>
      <c r="E29" s="40">
        <f>VLOOKUP(C29,Tabela4[],3,FALSE)</f>
        <v>45329</v>
      </c>
      <c r="F29">
        <f t="shared" si="0"/>
        <v>45329</v>
      </c>
    </row>
    <row r="30" spans="2:6" x14ac:dyDescent="0.25">
      <c r="B30" t="s">
        <v>199</v>
      </c>
      <c r="C30" t="s">
        <v>345</v>
      </c>
      <c r="D30" s="40">
        <f>VLOOKUP(C30,Tabela4[],2,FALSE)</f>
        <v>0</v>
      </c>
      <c r="E30" s="40">
        <f>VLOOKUP(C30,Tabela4[],3,FALSE)</f>
        <v>45329</v>
      </c>
      <c r="F30">
        <f t="shared" si="0"/>
        <v>45329</v>
      </c>
    </row>
    <row r="31" spans="2:6" x14ac:dyDescent="0.25">
      <c r="B31" t="s">
        <v>82</v>
      </c>
      <c r="C31" t="s">
        <v>326</v>
      </c>
      <c r="D31" s="40">
        <f>VLOOKUP(C31,Tabela4[],2,FALSE)</f>
        <v>0</v>
      </c>
      <c r="E31" s="40">
        <f>VLOOKUP(C31,Tabela4[],3,FALSE)</f>
        <v>45329</v>
      </c>
      <c r="F31">
        <f t="shared" si="0"/>
        <v>45329</v>
      </c>
    </row>
    <row r="32" spans="2:6" x14ac:dyDescent="0.25">
      <c r="B32" t="s">
        <v>91</v>
      </c>
      <c r="C32" t="s">
        <v>485</v>
      </c>
      <c r="D32" s="40">
        <f>VLOOKUP(C32,Tabela4[],2,FALSE)</f>
        <v>0</v>
      </c>
      <c r="E32" s="40">
        <f>VLOOKUP(C32,Tabela4[],3,FALSE)</f>
        <v>45329</v>
      </c>
      <c r="F32">
        <f t="shared" si="0"/>
        <v>45329</v>
      </c>
    </row>
    <row r="33" spans="2:6" x14ac:dyDescent="0.25">
      <c r="B33" t="s">
        <v>190</v>
      </c>
      <c r="C33" t="s">
        <v>476</v>
      </c>
      <c r="D33" s="40">
        <f>VLOOKUP(C33,Tabela4[],2,FALSE)</f>
        <v>0</v>
      </c>
      <c r="E33" s="40">
        <f>VLOOKUP(C33,Tabela4[],3,FALSE)</f>
        <v>45329</v>
      </c>
      <c r="F33">
        <f t="shared" si="0"/>
        <v>45329</v>
      </c>
    </row>
    <row r="34" spans="2:6" x14ac:dyDescent="0.25">
      <c r="B34" t="s">
        <v>582</v>
      </c>
      <c r="C34" t="s">
        <v>502</v>
      </c>
      <c r="D34" s="40">
        <f>VLOOKUP(C34,Tabela4[],2,FALSE)</f>
        <v>0</v>
      </c>
      <c r="E34" s="40">
        <f>VLOOKUP(C34,Tabela4[],3,FALSE)</f>
        <v>45330</v>
      </c>
      <c r="F34">
        <f t="shared" si="0"/>
        <v>45330</v>
      </c>
    </row>
    <row r="35" spans="2:6" x14ac:dyDescent="0.25">
      <c r="B35" t="s">
        <v>583</v>
      </c>
      <c r="C35" t="s">
        <v>477</v>
      </c>
      <c r="D35" s="40">
        <f>VLOOKUP(C35,Tabela4[],2,FALSE)</f>
        <v>0</v>
      </c>
      <c r="E35" s="40">
        <f>VLOOKUP(C35,Tabela4[],3,FALSE)</f>
        <v>45330</v>
      </c>
      <c r="F35">
        <f t="shared" ref="F35:F66" si="1">E35-D35</f>
        <v>45330</v>
      </c>
    </row>
    <row r="36" spans="2:6" x14ac:dyDescent="0.25">
      <c r="B36" t="s">
        <v>164</v>
      </c>
      <c r="C36" t="s">
        <v>489</v>
      </c>
      <c r="D36" s="40">
        <f>VLOOKUP(C36,Tabela4[],2,FALSE)</f>
        <v>0</v>
      </c>
      <c r="E36" s="40">
        <f>VLOOKUP(C36,Tabela4[],3,FALSE)</f>
        <v>45331</v>
      </c>
      <c r="F36">
        <f t="shared" si="1"/>
        <v>45331</v>
      </c>
    </row>
    <row r="37" spans="2:6" x14ac:dyDescent="0.25">
      <c r="B37" t="s">
        <v>584</v>
      </c>
      <c r="C37" t="s">
        <v>490</v>
      </c>
      <c r="D37" s="40">
        <f>VLOOKUP(C37,Tabela4[],2,FALSE)</f>
        <v>0</v>
      </c>
      <c r="E37" s="40">
        <f>VLOOKUP(C37,Tabela4[],3,FALSE)</f>
        <v>45330</v>
      </c>
      <c r="F37">
        <f t="shared" si="1"/>
        <v>45330</v>
      </c>
    </row>
    <row r="38" spans="2:6" x14ac:dyDescent="0.25">
      <c r="B38" t="s">
        <v>164</v>
      </c>
      <c r="C38" t="s">
        <v>463</v>
      </c>
      <c r="D38" s="40">
        <f>VLOOKUP(C38,Tabela4[],2,FALSE)</f>
        <v>0</v>
      </c>
      <c r="E38" s="40">
        <f>VLOOKUP(C38,Tabela4[],3,FALSE)</f>
        <v>45327</v>
      </c>
      <c r="F38">
        <f t="shared" si="1"/>
        <v>45327</v>
      </c>
    </row>
    <row r="39" spans="2:6" x14ac:dyDescent="0.25">
      <c r="B39" t="s">
        <v>282</v>
      </c>
      <c r="C39" t="s">
        <v>478</v>
      </c>
      <c r="D39" s="40">
        <f>VLOOKUP(C39,Tabela4[],2,FALSE)</f>
        <v>0</v>
      </c>
      <c r="E39" s="40">
        <f>VLOOKUP(C39,Tabela4[],3,FALSE)</f>
        <v>45330</v>
      </c>
      <c r="F39">
        <f t="shared" si="1"/>
        <v>45330</v>
      </c>
    </row>
    <row r="40" spans="2:6" x14ac:dyDescent="0.25">
      <c r="B40" t="s">
        <v>148</v>
      </c>
      <c r="C40" t="s">
        <v>475</v>
      </c>
      <c r="D40" s="40">
        <f>VLOOKUP(C40,Tabela4[],2,FALSE)</f>
        <v>0</v>
      </c>
      <c r="E40" s="40">
        <f>VLOOKUP(C40,Tabela4[],3,FALSE)</f>
        <v>45329</v>
      </c>
      <c r="F40">
        <f t="shared" si="1"/>
        <v>45329</v>
      </c>
    </row>
    <row r="41" spans="2:6" x14ac:dyDescent="0.25">
      <c r="B41" t="s">
        <v>67</v>
      </c>
      <c r="C41" t="s">
        <v>441</v>
      </c>
      <c r="D41" s="40">
        <f>VLOOKUP(C41,Tabela4[],2,FALSE)</f>
        <v>0</v>
      </c>
      <c r="E41" s="40">
        <f>VLOOKUP(C41,Tabela4[],3,FALSE)</f>
        <v>45330</v>
      </c>
      <c r="F41">
        <f t="shared" si="1"/>
        <v>45330</v>
      </c>
    </row>
    <row r="42" spans="2:6" x14ac:dyDescent="0.25">
      <c r="B42" t="s">
        <v>585</v>
      </c>
      <c r="C42" t="s">
        <v>499</v>
      </c>
      <c r="D42" s="40">
        <f>VLOOKUP(C42,Tabela4[],2,FALSE)</f>
        <v>0</v>
      </c>
      <c r="E42" s="40">
        <f>VLOOKUP(C42,Tabela4[],3,FALSE)</f>
        <v>45331</v>
      </c>
      <c r="F42">
        <f t="shared" si="1"/>
        <v>45331</v>
      </c>
    </row>
    <row r="43" spans="2:6" x14ac:dyDescent="0.25">
      <c r="B43" t="s">
        <v>236</v>
      </c>
      <c r="C43" t="s">
        <v>237</v>
      </c>
      <c r="D43" s="40">
        <f>VLOOKUP(C43,Tabela4[],2,FALSE)</f>
        <v>0</v>
      </c>
      <c r="E43" s="40">
        <f>VLOOKUP(C43,Tabela4[],3,FALSE)</f>
        <v>45330</v>
      </c>
      <c r="F43">
        <f t="shared" si="1"/>
        <v>45330</v>
      </c>
    </row>
    <row r="44" spans="2:6" x14ac:dyDescent="0.25">
      <c r="B44" t="s">
        <v>119</v>
      </c>
      <c r="C44" t="s">
        <v>479</v>
      </c>
      <c r="D44" s="40">
        <f>VLOOKUP(C44,Tabela4[],2,FALSE)</f>
        <v>0</v>
      </c>
      <c r="E44" s="40">
        <f>VLOOKUP(C44,Tabela4[],3,FALSE)</f>
        <v>45302</v>
      </c>
      <c r="F44">
        <f t="shared" si="1"/>
        <v>45302</v>
      </c>
    </row>
    <row r="45" spans="2:6" x14ac:dyDescent="0.25">
      <c r="B45" t="s">
        <v>190</v>
      </c>
      <c r="C45" t="s">
        <v>483</v>
      </c>
      <c r="D45" s="40">
        <v>45328</v>
      </c>
      <c r="E45" s="40">
        <v>45331</v>
      </c>
      <c r="F45">
        <f t="shared" si="1"/>
        <v>3</v>
      </c>
    </row>
    <row r="46" spans="2:6" x14ac:dyDescent="0.25">
      <c r="B46" t="s">
        <v>119</v>
      </c>
      <c r="C46" t="s">
        <v>486</v>
      </c>
      <c r="D46" s="40">
        <f>VLOOKUP(C46,Tabela4[],2,FALSE)</f>
        <v>0</v>
      </c>
      <c r="E46" s="40">
        <f>VLOOKUP(C46,Tabela4[],3,FALSE)</f>
        <v>45330</v>
      </c>
      <c r="F46">
        <f t="shared" si="1"/>
        <v>45330</v>
      </c>
    </row>
    <row r="47" spans="2:6" x14ac:dyDescent="0.25">
      <c r="B47" t="s">
        <v>82</v>
      </c>
      <c r="C47" t="s">
        <v>538</v>
      </c>
      <c r="D47" s="40">
        <f>VLOOKUP(C47,Tabela4[],2,FALSE)</f>
        <v>0</v>
      </c>
      <c r="E47" s="40">
        <f>VLOOKUP(C47,Tabela4[],3,FALSE)</f>
        <v>45331</v>
      </c>
      <c r="F47">
        <f t="shared" si="1"/>
        <v>45331</v>
      </c>
    </row>
    <row r="48" spans="2:6" x14ac:dyDescent="0.25">
      <c r="B48" t="s">
        <v>586</v>
      </c>
      <c r="C48" t="s">
        <v>491</v>
      </c>
      <c r="D48" s="40">
        <f>VLOOKUP(C48,Tabela4[],2,FALSE)</f>
        <v>0</v>
      </c>
      <c r="E48" s="40">
        <f>VLOOKUP(C48,Tabela4[],3,FALSE)</f>
        <v>45331</v>
      </c>
      <c r="F48">
        <f t="shared" si="1"/>
        <v>45331</v>
      </c>
    </row>
    <row r="49" spans="2:6" x14ac:dyDescent="0.25">
      <c r="B49" t="s">
        <v>67</v>
      </c>
      <c r="C49" t="s">
        <v>505</v>
      </c>
      <c r="D49" s="40">
        <f>VLOOKUP(C49,Tabela4[],2,FALSE)</f>
        <v>0</v>
      </c>
      <c r="E49" s="40">
        <f>VLOOKUP(C49,Tabela4[],3,FALSE)</f>
        <v>45331</v>
      </c>
      <c r="F49">
        <f t="shared" si="1"/>
        <v>45331</v>
      </c>
    </row>
    <row r="50" spans="2:6" x14ac:dyDescent="0.25">
      <c r="B50" t="s">
        <v>288</v>
      </c>
      <c r="C50" t="s">
        <v>493</v>
      </c>
      <c r="D50" s="40">
        <f>VLOOKUP(C50,Tabela4[],2,FALSE)</f>
        <v>0</v>
      </c>
      <c r="E50" s="40">
        <f>VLOOKUP(C50,Tabela4[],3,FALSE)</f>
        <v>45332</v>
      </c>
      <c r="F50">
        <f t="shared" si="1"/>
        <v>45332</v>
      </c>
    </row>
    <row r="51" spans="2:6" x14ac:dyDescent="0.25">
      <c r="B51" t="s">
        <v>586</v>
      </c>
      <c r="C51" t="s">
        <v>496</v>
      </c>
      <c r="D51" s="40">
        <f>VLOOKUP(C51,Tabela4[],2,FALSE)</f>
        <v>0</v>
      </c>
      <c r="E51" s="40">
        <f>VLOOKUP(C51,Tabela4[],3,FALSE)</f>
        <v>45336</v>
      </c>
      <c r="F51">
        <f t="shared" si="1"/>
        <v>45336</v>
      </c>
    </row>
    <row r="52" spans="2:6" x14ac:dyDescent="0.25">
      <c r="B52" t="s">
        <v>67</v>
      </c>
      <c r="C52" t="s">
        <v>500</v>
      </c>
      <c r="D52" s="40">
        <f>VLOOKUP(C52,Tabela4[],2,FALSE)</f>
        <v>0</v>
      </c>
      <c r="E52" s="40">
        <f>VLOOKUP(C52,Tabela4[],3,FALSE)</f>
        <v>45336</v>
      </c>
      <c r="F52">
        <f t="shared" si="1"/>
        <v>45336</v>
      </c>
    </row>
    <row r="53" spans="2:6" x14ac:dyDescent="0.25">
      <c r="B53" t="s">
        <v>135</v>
      </c>
      <c r="C53" t="s">
        <v>497</v>
      </c>
      <c r="D53" s="40">
        <f>VLOOKUP(C53,Tabela4[],2,FALSE)</f>
        <v>0</v>
      </c>
      <c r="E53" s="40">
        <f>VLOOKUP(C53,Tabela4[],3,FALSE)</f>
        <v>45336</v>
      </c>
      <c r="F53">
        <f t="shared" si="1"/>
        <v>45336</v>
      </c>
    </row>
    <row r="54" spans="2:6" x14ac:dyDescent="0.25">
      <c r="B54" t="s">
        <v>587</v>
      </c>
      <c r="C54" t="s">
        <v>503</v>
      </c>
      <c r="D54" s="40">
        <f>VLOOKUP(C54,Tabela4[],2,FALSE)</f>
        <v>0</v>
      </c>
      <c r="E54" s="40">
        <f>VLOOKUP(C54,Tabela4[],3,FALSE)</f>
        <v>45337</v>
      </c>
      <c r="F54">
        <f t="shared" si="1"/>
        <v>45337</v>
      </c>
    </row>
    <row r="55" spans="2:6" x14ac:dyDescent="0.25">
      <c r="B55" t="s">
        <v>148</v>
      </c>
      <c r="C55" t="s">
        <v>507</v>
      </c>
      <c r="D55" s="40">
        <f>VLOOKUP(C55,Tabela4[],2,FALSE)</f>
        <v>0</v>
      </c>
      <c r="E55" s="40">
        <f>VLOOKUP(C55,Tabela4[],3,FALSE)</f>
        <v>45337</v>
      </c>
      <c r="F55">
        <f t="shared" si="1"/>
        <v>45337</v>
      </c>
    </row>
    <row r="56" spans="2:6" x14ac:dyDescent="0.25">
      <c r="B56" t="s">
        <v>288</v>
      </c>
      <c r="C56" t="s">
        <v>540</v>
      </c>
      <c r="D56" s="40">
        <f>VLOOKUP(C56,Tabela4[],2,FALSE)</f>
        <v>0</v>
      </c>
      <c r="E56" s="40">
        <f>VLOOKUP(C56,Tabela4[],3,FALSE)</f>
        <v>45337</v>
      </c>
      <c r="F56">
        <f t="shared" si="1"/>
        <v>45337</v>
      </c>
    </row>
    <row r="57" spans="2:6" x14ac:dyDescent="0.25">
      <c r="B57" t="s">
        <v>445</v>
      </c>
      <c r="C57" t="s">
        <v>480</v>
      </c>
      <c r="D57" s="40">
        <f>VLOOKUP(C57,Tabela4[],2,FALSE)</f>
        <v>0</v>
      </c>
      <c r="E57" s="40">
        <f>VLOOKUP(C57,Tabela4[],3,FALSE)</f>
        <v>45320</v>
      </c>
      <c r="F57">
        <f t="shared" si="1"/>
        <v>45320</v>
      </c>
    </row>
    <row r="58" spans="2:6" x14ac:dyDescent="0.25">
      <c r="B58" t="s">
        <v>588</v>
      </c>
      <c r="C58" t="s">
        <v>506</v>
      </c>
      <c r="D58" s="40">
        <f>VLOOKUP(C58,Tabela4[],2,FALSE)</f>
        <v>0</v>
      </c>
      <c r="E58" s="40">
        <f>VLOOKUP(C58,Tabela4[],3,FALSE)</f>
        <v>45337</v>
      </c>
      <c r="F58">
        <f t="shared" si="1"/>
        <v>45337</v>
      </c>
    </row>
    <row r="59" spans="2:6" x14ac:dyDescent="0.25">
      <c r="B59" t="s">
        <v>589</v>
      </c>
      <c r="C59" t="s">
        <v>501</v>
      </c>
      <c r="D59" s="40">
        <f>VLOOKUP(C59,Tabela4[],2,FALSE)</f>
        <v>0</v>
      </c>
      <c r="E59" s="40">
        <f>VLOOKUP(C59,Tabela4[],3,FALSE)</f>
        <v>45337</v>
      </c>
      <c r="F59">
        <f t="shared" si="1"/>
        <v>45337</v>
      </c>
    </row>
    <row r="60" spans="2:6" x14ac:dyDescent="0.25">
      <c r="B60" t="s">
        <v>179</v>
      </c>
      <c r="C60" t="s">
        <v>513</v>
      </c>
      <c r="D60" s="40">
        <f>VLOOKUP(C60,Tabela4[],2,FALSE)</f>
        <v>0</v>
      </c>
      <c r="E60" s="40">
        <f>VLOOKUP(C60,Tabela4[],3,FALSE)</f>
        <v>45337</v>
      </c>
      <c r="F60">
        <f t="shared" si="1"/>
        <v>45337</v>
      </c>
    </row>
    <row r="61" spans="2:6" x14ac:dyDescent="0.25">
      <c r="B61" t="s">
        <v>88</v>
      </c>
      <c r="C61" t="s">
        <v>504</v>
      </c>
      <c r="D61" s="40">
        <f>VLOOKUP(C61,Tabela4[],2,FALSE)</f>
        <v>0</v>
      </c>
      <c r="E61" s="40">
        <f>VLOOKUP(C61,Tabela4[],3,FALSE)</f>
        <v>45338</v>
      </c>
      <c r="F61">
        <f t="shared" si="1"/>
        <v>45338</v>
      </c>
    </row>
    <row r="62" spans="2:6" x14ac:dyDescent="0.25">
      <c r="B62" t="s">
        <v>119</v>
      </c>
      <c r="C62" t="s">
        <v>389</v>
      </c>
      <c r="D62" s="40">
        <f>VLOOKUP(C62,Tabela4[],2,FALSE)</f>
        <v>0</v>
      </c>
      <c r="E62" s="40">
        <f>VLOOKUP(C62,Tabela4[],3,FALSE)</f>
        <v>45338</v>
      </c>
      <c r="F62">
        <f t="shared" si="1"/>
        <v>45338</v>
      </c>
    </row>
    <row r="63" spans="2:6" x14ac:dyDescent="0.25">
      <c r="B63" t="s">
        <v>88</v>
      </c>
      <c r="C63" t="s">
        <v>508</v>
      </c>
      <c r="D63" s="40">
        <f>VLOOKUP(C63,Tabela4[],2,FALSE)</f>
        <v>0</v>
      </c>
      <c r="E63" s="40">
        <f>VLOOKUP(C63,Tabela4[],3,FALSE)</f>
        <v>45338</v>
      </c>
      <c r="F63">
        <f t="shared" si="1"/>
        <v>45338</v>
      </c>
    </row>
    <row r="64" spans="2:6" x14ac:dyDescent="0.25">
      <c r="B64" t="s">
        <v>135</v>
      </c>
      <c r="C64" t="s">
        <v>497</v>
      </c>
      <c r="D64" s="40">
        <f>VLOOKUP(C64,Tabela4[],2,FALSE)</f>
        <v>0</v>
      </c>
      <c r="E64" s="40">
        <f>VLOOKUP(C64,Tabela4[],3,FALSE)</f>
        <v>45336</v>
      </c>
      <c r="F64">
        <f t="shared" si="1"/>
        <v>45336</v>
      </c>
    </row>
    <row r="65" spans="2:6" x14ac:dyDescent="0.25">
      <c r="B65" t="s">
        <v>95</v>
      </c>
      <c r="C65" t="s">
        <v>509</v>
      </c>
      <c r="D65" s="40">
        <f>VLOOKUP(C65,Tabela4[],2,FALSE)</f>
        <v>0</v>
      </c>
      <c r="E65" s="40">
        <f>VLOOKUP(C65,Tabela4[],3,FALSE)</f>
        <v>45339</v>
      </c>
      <c r="F65">
        <f t="shared" si="1"/>
        <v>45339</v>
      </c>
    </row>
    <row r="66" spans="2:6" x14ac:dyDescent="0.25">
      <c r="B66" t="s">
        <v>93</v>
      </c>
      <c r="C66" t="s">
        <v>223</v>
      </c>
      <c r="D66" s="40">
        <f>VLOOKUP(C66,Tabela4[],2,FALSE)</f>
        <v>0</v>
      </c>
      <c r="E66" s="40">
        <f>VLOOKUP(C66,Tabela4[],3,FALSE)</f>
        <v>45339</v>
      </c>
      <c r="F66">
        <f t="shared" si="1"/>
        <v>45339</v>
      </c>
    </row>
    <row r="67" spans="2:6" x14ac:dyDescent="0.25">
      <c r="B67" t="s">
        <v>95</v>
      </c>
      <c r="C67" t="s">
        <v>510</v>
      </c>
      <c r="D67" s="40">
        <f>VLOOKUP(C67,Tabela4[],2,FALSE)</f>
        <v>0</v>
      </c>
      <c r="E67" s="40">
        <f>VLOOKUP(C67,Tabela4[],3,FALSE)</f>
        <v>45339</v>
      </c>
      <c r="F67">
        <f t="shared" ref="F67:F98" si="2">E67-D67</f>
        <v>45339</v>
      </c>
    </row>
    <row r="68" spans="2:6" x14ac:dyDescent="0.25">
      <c r="B68" t="s">
        <v>135</v>
      </c>
      <c r="C68" t="s">
        <v>539</v>
      </c>
      <c r="D68" s="40">
        <f>VLOOKUP(C68,Tabela4[],2,FALSE)</f>
        <v>0</v>
      </c>
      <c r="E68" s="40">
        <f>VLOOKUP(C68,Tabela4[],3,FALSE)</f>
        <v>45337</v>
      </c>
      <c r="F68">
        <f t="shared" si="2"/>
        <v>45337</v>
      </c>
    </row>
    <row r="69" spans="2:6" x14ac:dyDescent="0.25">
      <c r="B69" t="s">
        <v>135</v>
      </c>
      <c r="C69" t="s">
        <v>525</v>
      </c>
      <c r="D69" s="40">
        <f>VLOOKUP(C69,Tabela4[],2,FALSE)</f>
        <v>0</v>
      </c>
      <c r="E69" s="40">
        <f>VLOOKUP(C69,Tabela4[],3,FALSE)</f>
        <v>45341</v>
      </c>
      <c r="F69">
        <f t="shared" si="2"/>
        <v>45341</v>
      </c>
    </row>
    <row r="70" spans="2:6" x14ac:dyDescent="0.25">
      <c r="B70" t="s">
        <v>285</v>
      </c>
      <c r="C70" t="s">
        <v>511</v>
      </c>
      <c r="D70" s="40">
        <f>VLOOKUP(C70,Tabela4[],2,FALSE)</f>
        <v>0</v>
      </c>
      <c r="E70" s="40">
        <f>VLOOKUP(C70,Tabela4[],3,FALSE)</f>
        <v>45341</v>
      </c>
      <c r="F70">
        <f t="shared" si="2"/>
        <v>45341</v>
      </c>
    </row>
    <row r="71" spans="2:6" x14ac:dyDescent="0.25">
      <c r="B71" t="s">
        <v>168</v>
      </c>
      <c r="C71" t="s">
        <v>554</v>
      </c>
      <c r="D71" s="40">
        <f>VLOOKUP(C71,Tabela4[],2,FALSE)</f>
        <v>0</v>
      </c>
      <c r="E71" s="40">
        <f>VLOOKUP(C71,Tabela4[],3,FALSE)</f>
        <v>45342</v>
      </c>
      <c r="F71">
        <f t="shared" si="2"/>
        <v>45342</v>
      </c>
    </row>
    <row r="72" spans="2:6" x14ac:dyDescent="0.25">
      <c r="B72" t="s">
        <v>67</v>
      </c>
      <c r="C72" t="s">
        <v>514</v>
      </c>
      <c r="D72" s="40">
        <f>VLOOKUP(C72,Tabela4[],2,FALSE)</f>
        <v>0</v>
      </c>
      <c r="E72" s="40">
        <f>VLOOKUP(C72,Tabela4[],3,FALSE)</f>
        <v>45341</v>
      </c>
      <c r="F72">
        <f t="shared" si="2"/>
        <v>45341</v>
      </c>
    </row>
    <row r="73" spans="2:6" x14ac:dyDescent="0.25">
      <c r="B73" t="s">
        <v>88</v>
      </c>
      <c r="C73" t="s">
        <v>173</v>
      </c>
      <c r="D73" s="40">
        <f>VLOOKUP(C73,Tabela4[],2,FALSE)</f>
        <v>0</v>
      </c>
      <c r="E73" s="40">
        <f>VLOOKUP(C73,Tabela4[],3,FALSE)</f>
        <v>45310</v>
      </c>
      <c r="F73">
        <f t="shared" si="2"/>
        <v>45310</v>
      </c>
    </row>
    <row r="74" spans="2:6" x14ac:dyDescent="0.25">
      <c r="B74" t="s">
        <v>586</v>
      </c>
      <c r="C74" t="s">
        <v>519</v>
      </c>
      <c r="D74" s="40">
        <f>VLOOKUP(C74,Tabela4[],2,FALSE)</f>
        <v>0</v>
      </c>
      <c r="E74" s="40">
        <f>VLOOKUP(C74,Tabela4[],3,FALSE)</f>
        <v>45341</v>
      </c>
      <c r="F74">
        <f t="shared" si="2"/>
        <v>45341</v>
      </c>
    </row>
    <row r="75" spans="2:6" x14ac:dyDescent="0.25">
      <c r="B75" t="s">
        <v>102</v>
      </c>
      <c r="C75" t="s">
        <v>482</v>
      </c>
      <c r="D75" s="40">
        <v>45342</v>
      </c>
      <c r="E75" s="40">
        <v>45342</v>
      </c>
      <c r="F75">
        <f t="shared" si="2"/>
        <v>0</v>
      </c>
    </row>
    <row r="76" spans="2:6" x14ac:dyDescent="0.25">
      <c r="B76" t="s">
        <v>150</v>
      </c>
      <c r="C76" t="s">
        <v>520</v>
      </c>
      <c r="D76" s="40">
        <f>VLOOKUP(C76,Tabela4[],2,FALSE)</f>
        <v>0</v>
      </c>
      <c r="E76" s="40">
        <f>VLOOKUP(C76,Tabela4[],3,FALSE)</f>
        <v>45342</v>
      </c>
      <c r="F76">
        <f t="shared" si="2"/>
        <v>45342</v>
      </c>
    </row>
    <row r="77" spans="2:6" x14ac:dyDescent="0.25">
      <c r="B77" t="s">
        <v>227</v>
      </c>
      <c r="C77" t="s">
        <v>515</v>
      </c>
      <c r="D77" s="40">
        <f>VLOOKUP(C77,Tabela4[],2,FALSE)</f>
        <v>0</v>
      </c>
      <c r="E77" s="40">
        <f>VLOOKUP(C77,Tabela4[],3,FALSE)</f>
        <v>45342</v>
      </c>
      <c r="F77">
        <f t="shared" si="2"/>
        <v>45342</v>
      </c>
    </row>
    <row r="78" spans="2:6" x14ac:dyDescent="0.25">
      <c r="B78" t="s">
        <v>102</v>
      </c>
      <c r="C78" t="s">
        <v>521</v>
      </c>
      <c r="D78" s="40">
        <f>VLOOKUP(C78,Tabela4[],2,FALSE)</f>
        <v>0</v>
      </c>
      <c r="E78" s="40">
        <f>VLOOKUP(C78,Tabela4[],3,FALSE)</f>
        <v>45342</v>
      </c>
      <c r="F78">
        <f t="shared" si="2"/>
        <v>45342</v>
      </c>
    </row>
    <row r="79" spans="2:6" x14ac:dyDescent="0.25">
      <c r="B79" t="s">
        <v>269</v>
      </c>
      <c r="C79" t="s">
        <v>541</v>
      </c>
      <c r="D79" s="40">
        <f>VLOOKUP(C79,Tabela4[],2,FALSE)</f>
        <v>0</v>
      </c>
      <c r="E79" s="40">
        <f>VLOOKUP(C79,Tabela4[],3,FALSE)</f>
        <v>45344</v>
      </c>
      <c r="F79">
        <f t="shared" si="2"/>
        <v>45344</v>
      </c>
    </row>
    <row r="80" spans="2:6" x14ac:dyDescent="0.25">
      <c r="B80" t="s">
        <v>182</v>
      </c>
      <c r="C80" t="s">
        <v>183</v>
      </c>
      <c r="D80" s="40">
        <f>VLOOKUP(C80,Tabela4[],2,FALSE)</f>
        <v>0</v>
      </c>
      <c r="E80" s="40">
        <f>VLOOKUP(C80,Tabela4[],3,FALSE)</f>
        <v>45343</v>
      </c>
      <c r="F80">
        <f t="shared" si="2"/>
        <v>45343</v>
      </c>
    </row>
    <row r="81" spans="2:6" x14ac:dyDescent="0.25">
      <c r="B81" t="s">
        <v>84</v>
      </c>
      <c r="C81" t="s">
        <v>542</v>
      </c>
      <c r="D81" s="40">
        <v>45343</v>
      </c>
      <c r="E81" s="40">
        <v>45345</v>
      </c>
      <c r="F81">
        <f t="shared" si="2"/>
        <v>2</v>
      </c>
    </row>
    <row r="82" spans="2:6" x14ac:dyDescent="0.25">
      <c r="B82" t="s">
        <v>250</v>
      </c>
      <c r="C82" t="s">
        <v>523</v>
      </c>
      <c r="D82" s="40">
        <f>VLOOKUP(C82,Tabela4[],2,FALSE)</f>
        <v>0</v>
      </c>
      <c r="E82" s="40">
        <f>VLOOKUP(C82,Tabela4[],3,FALSE)</f>
        <v>45343</v>
      </c>
      <c r="F82">
        <f t="shared" si="2"/>
        <v>45343</v>
      </c>
    </row>
    <row r="83" spans="2:6" x14ac:dyDescent="0.25">
      <c r="B83" t="s">
        <v>148</v>
      </c>
      <c r="C83" t="s">
        <v>149</v>
      </c>
      <c r="D83" s="40">
        <f>VLOOKUP(C83,Tabela4[],2,FALSE)</f>
        <v>0</v>
      </c>
      <c r="E83" s="40">
        <f>VLOOKUP(C83,Tabela4[],3,FALSE)</f>
        <v>45343</v>
      </c>
      <c r="F83">
        <f t="shared" si="2"/>
        <v>45343</v>
      </c>
    </row>
    <row r="84" spans="2:6" x14ac:dyDescent="0.25">
      <c r="B84" t="s">
        <v>364</v>
      </c>
      <c r="C84" t="s">
        <v>534</v>
      </c>
      <c r="D84" s="40">
        <v>45343</v>
      </c>
      <c r="E84" s="40">
        <v>45343</v>
      </c>
      <c r="F84">
        <f t="shared" si="2"/>
        <v>0</v>
      </c>
    </row>
    <row r="85" spans="2:6" x14ac:dyDescent="0.25">
      <c r="B85" t="s">
        <v>98</v>
      </c>
      <c r="C85" t="s">
        <v>533</v>
      </c>
      <c r="D85" s="40">
        <f>VLOOKUP(C85,Tabela4[],2,FALSE)</f>
        <v>0</v>
      </c>
      <c r="E85" s="40">
        <f>VLOOKUP(C85,Tabela4[],3,FALSE)</f>
        <v>45344</v>
      </c>
      <c r="F85">
        <f t="shared" si="2"/>
        <v>45344</v>
      </c>
    </row>
    <row r="86" spans="2:6" x14ac:dyDescent="0.25">
      <c r="B86" t="s">
        <v>126</v>
      </c>
      <c r="C86" t="s">
        <v>543</v>
      </c>
      <c r="D86" s="40">
        <f>VLOOKUP(C86,Tabela4[],2,FALSE)</f>
        <v>0</v>
      </c>
      <c r="E86" s="40">
        <f>VLOOKUP(C86,Tabela4[],3,FALSE)</f>
        <v>45344</v>
      </c>
      <c r="F86">
        <f t="shared" si="2"/>
        <v>45344</v>
      </c>
    </row>
    <row r="87" spans="2:6" x14ac:dyDescent="0.25">
      <c r="B87" t="s">
        <v>260</v>
      </c>
      <c r="C87" t="s">
        <v>535</v>
      </c>
      <c r="D87" s="40">
        <f>VLOOKUP(C87,Tabela4[],2,FALSE)</f>
        <v>0</v>
      </c>
      <c r="E87" s="40">
        <f>VLOOKUP(C87,Tabela4[],3,FALSE)</f>
        <v>45344</v>
      </c>
      <c r="F87">
        <f t="shared" si="2"/>
        <v>45344</v>
      </c>
    </row>
    <row r="88" spans="2:6" x14ac:dyDescent="0.25">
      <c r="B88" t="s">
        <v>590</v>
      </c>
      <c r="C88" t="s">
        <v>536</v>
      </c>
      <c r="D88" s="40">
        <f>VLOOKUP(C88,Tabela4[],2,FALSE)</f>
        <v>0</v>
      </c>
      <c r="E88" s="40">
        <f>VLOOKUP(C88,Tabela4[],3,FALSE)</f>
        <v>45344</v>
      </c>
      <c r="F88">
        <f t="shared" si="2"/>
        <v>45344</v>
      </c>
    </row>
    <row r="89" spans="2:6" x14ac:dyDescent="0.25">
      <c r="B89" t="s">
        <v>102</v>
      </c>
      <c r="C89" t="s">
        <v>103</v>
      </c>
      <c r="D89" s="40">
        <v>45345</v>
      </c>
      <c r="E89" s="40">
        <v>45345</v>
      </c>
      <c r="F89">
        <f t="shared" si="2"/>
        <v>0</v>
      </c>
    </row>
    <row r="90" spans="2:6" x14ac:dyDescent="0.25">
      <c r="B90" t="s">
        <v>88</v>
      </c>
      <c r="C90" t="s">
        <v>544</v>
      </c>
      <c r="D90" s="40">
        <f>VLOOKUP(C90,Tabela4[],2,FALSE)</f>
        <v>0</v>
      </c>
      <c r="E90" s="40">
        <f>VLOOKUP(C90,Tabela4[],3,FALSE)</f>
        <v>45345</v>
      </c>
      <c r="F90">
        <f t="shared" si="2"/>
        <v>45345</v>
      </c>
    </row>
    <row r="91" spans="2:6" x14ac:dyDescent="0.25">
      <c r="B91" t="s">
        <v>63</v>
      </c>
      <c r="C91" t="s">
        <v>74</v>
      </c>
      <c r="D91" s="40">
        <f>VLOOKUP(C91,Tabela4[],2,FALSE)</f>
        <v>0</v>
      </c>
      <c r="E91" s="40">
        <f>VLOOKUP(C91,Tabela4[],3,FALSE)</f>
        <v>45345</v>
      </c>
      <c r="F91">
        <f t="shared" si="2"/>
        <v>45345</v>
      </c>
    </row>
    <row r="92" spans="2:6" x14ac:dyDescent="0.25">
      <c r="B92" t="s">
        <v>591</v>
      </c>
      <c r="C92" t="s">
        <v>547</v>
      </c>
      <c r="D92" s="40">
        <f>VLOOKUP(C92,Tabela4[],2,FALSE)</f>
        <v>0</v>
      </c>
      <c r="E92" s="40">
        <f>VLOOKUP(C92,Tabela4[],3,FALSE)</f>
        <v>45346</v>
      </c>
      <c r="F92">
        <f t="shared" si="2"/>
        <v>45346</v>
      </c>
    </row>
    <row r="93" spans="2:6" x14ac:dyDescent="0.25">
      <c r="B93" t="s">
        <v>102</v>
      </c>
      <c r="C93" t="s">
        <v>548</v>
      </c>
      <c r="D93" s="40">
        <f>VLOOKUP(C93,Tabela4[],2,FALSE)</f>
        <v>0</v>
      </c>
      <c r="E93" s="40">
        <f>VLOOKUP(C93,Tabela4[],3,FALSE)</f>
        <v>45346</v>
      </c>
      <c r="F93">
        <f t="shared" si="2"/>
        <v>45346</v>
      </c>
    </row>
    <row r="94" spans="2:6" x14ac:dyDescent="0.25">
      <c r="B94" t="s">
        <v>117</v>
      </c>
      <c r="C94" t="s">
        <v>551</v>
      </c>
      <c r="D94" s="40">
        <f>VLOOKUP(C94,Tabela4[],2,FALSE)</f>
        <v>0</v>
      </c>
      <c r="E94" s="40">
        <f>VLOOKUP(C94,Tabela4[],3,FALSE)</f>
        <v>45348</v>
      </c>
      <c r="F94">
        <f t="shared" si="2"/>
        <v>45348</v>
      </c>
    </row>
    <row r="95" spans="2:6" x14ac:dyDescent="0.25">
      <c r="B95" t="s">
        <v>182</v>
      </c>
      <c r="C95" t="s">
        <v>552</v>
      </c>
      <c r="D95" s="40">
        <f>VLOOKUP(C95,Tabela4[],2,FALSE)</f>
        <v>0</v>
      </c>
      <c r="E95" s="40">
        <f>VLOOKUP(C95,Tabela4[],3,FALSE)</f>
        <v>45348</v>
      </c>
      <c r="F95">
        <f t="shared" si="2"/>
        <v>45348</v>
      </c>
    </row>
    <row r="96" spans="2:6" x14ac:dyDescent="0.25">
      <c r="B96" t="s">
        <v>179</v>
      </c>
      <c r="C96" t="s">
        <v>556</v>
      </c>
      <c r="D96" s="40">
        <v>45348</v>
      </c>
      <c r="E96" s="40">
        <v>45349</v>
      </c>
      <c r="F96">
        <f t="shared" si="2"/>
        <v>1</v>
      </c>
    </row>
    <row r="97" spans="2:6" x14ac:dyDescent="0.25">
      <c r="B97" t="s">
        <v>61</v>
      </c>
      <c r="C97" t="s">
        <v>555</v>
      </c>
      <c r="D97" s="40">
        <f>VLOOKUP(C97,Tabela4[],2,FALSE)</f>
        <v>0</v>
      </c>
      <c r="E97" s="40">
        <f>VLOOKUP(C97,Tabela4[],3,FALSE)</f>
        <v>45348</v>
      </c>
      <c r="F97">
        <f t="shared" si="2"/>
        <v>45348</v>
      </c>
    </row>
    <row r="98" spans="2:6" x14ac:dyDescent="0.25">
      <c r="B98" t="s">
        <v>98</v>
      </c>
      <c r="C98" t="s">
        <v>533</v>
      </c>
      <c r="D98" s="40">
        <v>45349</v>
      </c>
      <c r="E98" s="40">
        <v>45349</v>
      </c>
      <c r="F98">
        <f t="shared" si="2"/>
        <v>0</v>
      </c>
    </row>
    <row r="99" spans="2:6" x14ac:dyDescent="0.25">
      <c r="B99" t="s">
        <v>148</v>
      </c>
      <c r="C99" t="s">
        <v>553</v>
      </c>
      <c r="D99" s="40">
        <f>VLOOKUP(C99,Tabela4[],2,FALSE)</f>
        <v>0</v>
      </c>
      <c r="E99" s="40">
        <f>VLOOKUP(C99,Tabela4[],3,FALSE)</f>
        <v>45348</v>
      </c>
      <c r="F99">
        <f t="shared" ref="F99:F109" si="3">E99-D99</f>
        <v>45348</v>
      </c>
    </row>
    <row r="100" spans="2:6" x14ac:dyDescent="0.25">
      <c r="B100" t="s">
        <v>63</v>
      </c>
      <c r="C100" t="s">
        <v>557</v>
      </c>
      <c r="D100" s="40">
        <f>VLOOKUP(C100,Tabela4[],2,FALSE)</f>
        <v>0</v>
      </c>
      <c r="E100" s="40">
        <f>VLOOKUP(C100,Tabela4[],3,FALSE)</f>
        <v>45349</v>
      </c>
      <c r="F100">
        <f t="shared" si="3"/>
        <v>45349</v>
      </c>
    </row>
    <row r="101" spans="2:6" x14ac:dyDescent="0.25">
      <c r="B101" t="s">
        <v>67</v>
      </c>
      <c r="C101" t="s">
        <v>559</v>
      </c>
      <c r="D101" s="40">
        <f>VLOOKUP(C101,Tabela4[],2,FALSE)</f>
        <v>0</v>
      </c>
      <c r="E101" s="40">
        <f>VLOOKUP(C101,Tabela4[],3,FALSE)</f>
        <v>45349</v>
      </c>
      <c r="F101">
        <f t="shared" si="3"/>
        <v>45349</v>
      </c>
    </row>
    <row r="102" spans="2:6" x14ac:dyDescent="0.25">
      <c r="B102" t="s">
        <v>285</v>
      </c>
      <c r="C102" t="s">
        <v>558</v>
      </c>
      <c r="D102" s="40">
        <f>VLOOKUP(C102,Tabela4[],2,FALSE)</f>
        <v>0</v>
      </c>
      <c r="E102" s="40">
        <f>VLOOKUP(C102,Tabela4[],3,FALSE)</f>
        <v>45349</v>
      </c>
      <c r="F102">
        <f t="shared" si="3"/>
        <v>45349</v>
      </c>
    </row>
    <row r="103" spans="2:6" x14ac:dyDescent="0.25">
      <c r="B103" t="s">
        <v>113</v>
      </c>
      <c r="C103" t="s">
        <v>592</v>
      </c>
      <c r="D103" s="40">
        <v>45349</v>
      </c>
      <c r="E103" s="40">
        <v>45349</v>
      </c>
      <c r="F103">
        <f t="shared" si="3"/>
        <v>0</v>
      </c>
    </row>
    <row r="104" spans="2:6" x14ac:dyDescent="0.25">
      <c r="B104" t="s">
        <v>227</v>
      </c>
      <c r="C104" t="s">
        <v>563</v>
      </c>
      <c r="D104" s="40">
        <f>VLOOKUP(C104,Tabela4[],2,FALSE)</f>
        <v>0</v>
      </c>
      <c r="E104" s="40">
        <f>VLOOKUP(C104,Tabela4[],3,FALSE)</f>
        <v>45350</v>
      </c>
      <c r="F104">
        <f t="shared" si="3"/>
        <v>45350</v>
      </c>
    </row>
    <row r="105" spans="2:6" x14ac:dyDescent="0.25">
      <c r="B105">
        <v>2008</v>
      </c>
      <c r="C105" t="s">
        <v>564</v>
      </c>
      <c r="D105" s="40">
        <f>VLOOKUP(C105,Tabela4[],2,FALSE)</f>
        <v>0</v>
      </c>
      <c r="E105" s="40">
        <f>VLOOKUP(C105,Tabela4[],3,FALSE)</f>
        <v>45350</v>
      </c>
      <c r="F105">
        <f t="shared" si="3"/>
        <v>45350</v>
      </c>
    </row>
    <row r="106" spans="2:6" x14ac:dyDescent="0.25">
      <c r="B106" t="s">
        <v>593</v>
      </c>
      <c r="C106" t="s">
        <v>561</v>
      </c>
      <c r="D106" s="40">
        <f>VLOOKUP(C106,Tabela4[],2,FALSE)</f>
        <v>0</v>
      </c>
      <c r="E106" s="40">
        <f>VLOOKUP(C106,Tabela4[],3,FALSE)</f>
        <v>45349</v>
      </c>
      <c r="F106">
        <f t="shared" si="3"/>
        <v>45349</v>
      </c>
    </row>
    <row r="107" spans="2:6" x14ac:dyDescent="0.25">
      <c r="B107" t="s">
        <v>67</v>
      </c>
      <c r="C107" t="s">
        <v>565</v>
      </c>
      <c r="D107" s="40">
        <f>VLOOKUP(C107,Tabela4[],2,FALSE)</f>
        <v>0</v>
      </c>
      <c r="E107" s="40">
        <f>VLOOKUP(C107,Tabela4[],3,FALSE)</f>
        <v>45350</v>
      </c>
      <c r="F107">
        <f t="shared" si="3"/>
        <v>45350</v>
      </c>
    </row>
    <row r="108" spans="2:6" x14ac:dyDescent="0.25">
      <c r="B108" t="s">
        <v>199</v>
      </c>
      <c r="C108" t="s">
        <v>235</v>
      </c>
      <c r="D108" s="40">
        <f>VLOOKUP(C108,Tabela4[],2,FALSE)</f>
        <v>0</v>
      </c>
      <c r="E108" s="40">
        <f>VLOOKUP(C108,Tabela4[],3,FALSE)</f>
        <v>45350</v>
      </c>
      <c r="F108">
        <f t="shared" si="3"/>
        <v>45350</v>
      </c>
    </row>
    <row r="109" spans="2:6" x14ac:dyDescent="0.25">
      <c r="D109" s="40" t="e">
        <f>VLOOKUP(C109,Tabela4[],2,FALSE)</f>
        <v>#N/A</v>
      </c>
      <c r="E109" s="40" t="e">
        <f>VLOOKUP(C109,Tabela4[],3,FALSE)</f>
        <v>#N/A</v>
      </c>
      <c r="F109" t="e">
        <f t="shared" si="3"/>
        <v>#N/A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FE72-9907-4D50-8DBE-CF015D6968B6}">
  <sheetPr>
    <pageSetUpPr fitToPage="1"/>
  </sheetPr>
  <dimension ref="A1:L10"/>
  <sheetViews>
    <sheetView workbookViewId="0">
      <selection activeCell="B11" sqref="B11"/>
    </sheetView>
  </sheetViews>
  <sheetFormatPr defaultRowHeight="15" x14ac:dyDescent="0.25"/>
  <cols>
    <col min="1" max="1" width="35.7109375" bestFit="1" customWidth="1"/>
    <col min="2" max="2" width="23.28515625" bestFit="1" customWidth="1"/>
    <col min="3" max="3" width="10.85546875" bestFit="1" customWidth="1"/>
    <col min="4" max="4" width="16.140625" bestFit="1" customWidth="1"/>
    <col min="5" max="5" width="10.85546875" bestFit="1" customWidth="1"/>
    <col min="6" max="6" width="17" bestFit="1" customWidth="1"/>
    <col min="7" max="7" width="10.85546875" bestFit="1" customWidth="1"/>
    <col min="8" max="8" width="13.42578125" bestFit="1" customWidth="1"/>
    <col min="9" max="9" width="10.85546875" bestFit="1" customWidth="1"/>
    <col min="10" max="10" width="17.5703125" bestFit="1" customWidth="1"/>
    <col min="11" max="11" width="10.85546875" bestFit="1" customWidth="1"/>
  </cols>
  <sheetData>
    <row r="1" spans="1:12" ht="26.25" x14ac:dyDescent="0.4">
      <c r="A1" s="60" t="s">
        <v>8</v>
      </c>
      <c r="B1" s="60" t="s">
        <v>4</v>
      </c>
      <c r="C1" s="60" t="s">
        <v>20</v>
      </c>
      <c r="D1" s="60"/>
      <c r="E1" s="60" t="s">
        <v>20</v>
      </c>
      <c r="F1" s="60"/>
      <c r="G1" s="60" t="s">
        <v>20</v>
      </c>
      <c r="H1" s="60"/>
      <c r="I1" s="60" t="s">
        <v>20</v>
      </c>
      <c r="J1" s="60"/>
      <c r="K1" s="60" t="s">
        <v>20</v>
      </c>
    </row>
    <row r="2" spans="1:12" ht="26.25" x14ac:dyDescent="0.4">
      <c r="A2" s="60" t="s">
        <v>10</v>
      </c>
      <c r="B2" s="61" t="e">
        <f>SUMIFS(Tabela4[REVITALIZAÇÃO],#REF!,#REF!,#REF!,#REF!)</f>
        <v>#REF!</v>
      </c>
      <c r="C2" s="60" t="e">
        <f>COUNTIFS(#REF!,#REF!,Tabela4[REVITALIZAÇÃO],"&lt;&gt;0")</f>
        <v>#REF!</v>
      </c>
      <c r="D2" s="60"/>
      <c r="E2" s="60"/>
      <c r="F2" s="60"/>
      <c r="G2" s="60"/>
      <c r="H2" s="60"/>
      <c r="I2" s="60"/>
      <c r="J2" s="60"/>
      <c r="K2" s="60"/>
      <c r="L2" s="62"/>
    </row>
    <row r="3" spans="1:12" ht="26.25" x14ac:dyDescent="0.4">
      <c r="A3" s="60" t="s">
        <v>12</v>
      </c>
      <c r="B3" s="61" t="e">
        <f>SUMIFS(Tabela4[ADITIVO],#REF!,#REF!,#REF!,#REF!)</f>
        <v>#REF!</v>
      </c>
      <c r="C3" s="60" t="e">
        <f>COUNTIFS(#REF!,#REF!,Tabela4[ADITIVO],"&lt;&gt;0")</f>
        <v>#REF!</v>
      </c>
      <c r="D3" s="60"/>
      <c r="E3" s="60"/>
      <c r="F3" s="60"/>
      <c r="G3" s="60"/>
      <c r="H3" s="60"/>
      <c r="I3" s="60"/>
      <c r="J3" s="60"/>
      <c r="K3" s="60"/>
      <c r="L3" s="62"/>
    </row>
    <row r="4" spans="1:12" ht="26.25" x14ac:dyDescent="0.4">
      <c r="A4" s="60" t="s">
        <v>13</v>
      </c>
      <c r="B4" s="61" t="e">
        <f>SUMIFS(Tabela4[FLUIDO/SANGRIA],#REF!,#REF!,#REF!,#REF!)</f>
        <v>#REF!</v>
      </c>
      <c r="C4" s="60" t="e">
        <f>COUNTIFS(#REF!,#REF!,Tabela4[FLUIDO/SANGRIA],"&lt;&gt;0")</f>
        <v>#REF!</v>
      </c>
      <c r="D4" s="60"/>
      <c r="E4" s="60"/>
      <c r="F4" s="60"/>
      <c r="G4" s="60"/>
      <c r="H4" s="60"/>
      <c r="I4" s="60"/>
      <c r="J4" s="60"/>
      <c r="K4" s="60"/>
      <c r="L4" s="62"/>
    </row>
    <row r="5" spans="1:12" ht="26.25" x14ac:dyDescent="0.4">
      <c r="A5" s="60" t="s">
        <v>14</v>
      </c>
      <c r="B5" s="61" t="e">
        <f>SUMIFS(Tabela4[LIMPEZA DOS FREIOS],#REF!,#REF!,#REF!,#REF!)</f>
        <v>#REF!</v>
      </c>
      <c r="C5" s="60" t="e">
        <f>COUNTIFS(#REF!,#REF!,Tabela4[LIMPEZA DOS FREIOS],"&lt;&gt;0")</f>
        <v>#REF!</v>
      </c>
      <c r="D5" s="60"/>
      <c r="E5" s="60"/>
      <c r="F5" s="60"/>
      <c r="G5" s="60"/>
      <c r="H5" s="60"/>
      <c r="I5" s="60"/>
      <c r="J5" s="60"/>
      <c r="K5" s="60"/>
      <c r="L5" s="62"/>
    </row>
    <row r="6" spans="1:12" ht="26.25" x14ac:dyDescent="0.4">
      <c r="A6" s="60" t="s">
        <v>18</v>
      </c>
      <c r="B6" s="61" t="e">
        <f>SUMIFS(Tabela4[DETERGENTE DE PARABRISA],#REF!,#REF!,#REF!,#REF!)</f>
        <v>#REF!</v>
      </c>
      <c r="C6" s="60" t="e">
        <f>COUNTIFS(#REF!,#REF!,Tabela4[DETERGENTE DE PARABRISA],"&lt;&gt;0")</f>
        <v>#REF!</v>
      </c>
      <c r="D6" s="60"/>
      <c r="E6" s="60"/>
      <c r="F6" s="60"/>
      <c r="G6" s="60"/>
      <c r="H6" s="60"/>
      <c r="I6" s="60"/>
      <c r="J6" s="60"/>
      <c r="K6" s="60"/>
      <c r="L6" s="62"/>
    </row>
    <row r="7" spans="1:12" ht="26.25" x14ac:dyDescent="0.4">
      <c r="A7" s="60" t="s">
        <v>16</v>
      </c>
      <c r="B7" s="61" t="e">
        <f>SUMIFS(#REF!,#REF!,#REF!,#REF!,#REF!)</f>
        <v>#REF!</v>
      </c>
      <c r="C7" s="60" t="e">
        <f>COUNTIFS(#REF!,#REF!,#REF!,"&lt;&gt;0")</f>
        <v>#REF!</v>
      </c>
      <c r="D7" s="60" t="s">
        <v>594</v>
      </c>
      <c r="E7" s="60">
        <v>25</v>
      </c>
      <c r="F7" s="60" t="s">
        <v>27</v>
      </c>
      <c r="G7" s="60">
        <v>9</v>
      </c>
      <c r="H7" s="60" t="s">
        <v>34</v>
      </c>
      <c r="I7" s="60">
        <v>1</v>
      </c>
      <c r="J7" s="60" t="s">
        <v>595</v>
      </c>
      <c r="K7" s="60" t="e">
        <f>C7-E7-G7-I7</f>
        <v>#REF!</v>
      </c>
      <c r="L7" s="62"/>
    </row>
    <row r="8" spans="1:12" ht="26.25" x14ac:dyDescent="0.4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</row>
    <row r="9" spans="1:12" ht="26.25" x14ac:dyDescent="0.4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</row>
    <row r="10" spans="1:12" ht="26.25" x14ac:dyDescent="0.4">
      <c r="A10" s="62"/>
      <c r="B10" s="63" t="e">
        <f>B2-1714.8</f>
        <v>#REF!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</row>
  </sheetData>
  <pageMargins left="0.511811024" right="0.511811024" top="0.78740157499999996" bottom="0.78740157499999996" header="0.31496062000000002" footer="0.31496062000000002"/>
  <pageSetup paperSize="9" scale="77" fitToHeight="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4DE9-AD0C-4790-B8D2-A9172293D0F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EB2A-3A8B-4C12-B28B-D608725E11C2}">
  <sheetPr codeName="Planilha9"/>
  <dimension ref="A2:AJ1031"/>
  <sheetViews>
    <sheetView tabSelected="1" topLeftCell="A1010" zoomScaleNormal="100" workbookViewId="0">
      <selection activeCell="A1031" sqref="A1031"/>
    </sheetView>
  </sheetViews>
  <sheetFormatPr defaultRowHeight="15" x14ac:dyDescent="0.25"/>
  <cols>
    <col min="2" max="2" width="57.28515625" bestFit="1" customWidth="1"/>
    <col min="3" max="3" width="51" bestFit="1" customWidth="1"/>
    <col min="4" max="4" width="25" bestFit="1" customWidth="1"/>
    <col min="5" max="5" width="9.140625" customWidth="1"/>
    <col min="6" max="6" width="16" bestFit="1" customWidth="1"/>
    <col min="7" max="7" width="33.28515625" bestFit="1" customWidth="1"/>
    <col min="8" max="8" width="13.42578125" bestFit="1" customWidth="1"/>
    <col min="9" max="9" width="26.7109375" bestFit="1" customWidth="1"/>
    <col min="10" max="10" width="28.140625" bestFit="1" customWidth="1"/>
    <col min="11" max="11" width="13.28515625" bestFit="1" customWidth="1"/>
    <col min="12" max="12" width="13.140625" customWidth="1"/>
    <col min="13" max="13" width="16.42578125" customWidth="1"/>
    <col min="14" max="14" width="14.42578125" bestFit="1" customWidth="1"/>
    <col min="15" max="15" width="22.85546875" bestFit="1" customWidth="1"/>
    <col min="16" max="16" width="20.140625" customWidth="1"/>
    <col min="17" max="17" width="12.42578125" customWidth="1"/>
    <col min="18" max="18" width="23" customWidth="1"/>
    <col min="19" max="19" width="29" customWidth="1"/>
    <col min="20" max="20" width="15.42578125" bestFit="1" customWidth="1"/>
    <col min="21" max="21" width="11.85546875" customWidth="1"/>
    <col min="22" max="22" width="11" customWidth="1"/>
    <col min="23" max="23" width="20.85546875" customWidth="1"/>
    <col min="24" max="24" width="20.85546875" style="66" customWidth="1"/>
    <col min="25" max="25" width="14.85546875" customWidth="1"/>
    <col min="26" max="26" width="38.42578125" customWidth="1"/>
    <col min="27" max="28" width="35.140625" customWidth="1"/>
    <col min="29" max="29" width="16.85546875" customWidth="1"/>
    <col min="30" max="30" width="16.85546875" bestFit="1" customWidth="1"/>
    <col min="31" max="31" width="23.85546875" bestFit="1" customWidth="1"/>
    <col min="32" max="32" width="19.140625" customWidth="1"/>
    <col min="33" max="33" width="12.42578125" bestFit="1" customWidth="1"/>
    <col min="34" max="34" width="15.140625" bestFit="1" customWidth="1"/>
    <col min="35" max="35" width="21" bestFit="1" customWidth="1"/>
    <col min="36" max="36" width="38.85546875" bestFit="1" customWidth="1"/>
    <col min="37" max="37" width="10.85546875" bestFit="1" customWidth="1"/>
    <col min="38" max="38" width="12.140625" bestFit="1" customWidth="1"/>
    <col min="39" max="39" width="16.28515625" bestFit="1" customWidth="1"/>
  </cols>
  <sheetData>
    <row r="2" spans="1:36" x14ac:dyDescent="0.25">
      <c r="A2" s="9" t="s">
        <v>47</v>
      </c>
      <c r="B2" s="9" t="s">
        <v>614</v>
      </c>
      <c r="C2" s="8" t="s">
        <v>615</v>
      </c>
      <c r="D2" s="9" t="s">
        <v>616</v>
      </c>
      <c r="E2" s="9" t="s">
        <v>59</v>
      </c>
      <c r="F2" s="9" t="s">
        <v>617</v>
      </c>
      <c r="G2" s="9" t="s">
        <v>19</v>
      </c>
      <c r="H2" s="9" t="s">
        <v>618</v>
      </c>
      <c r="I2" s="10" t="s">
        <v>619</v>
      </c>
      <c r="J2" s="10" t="s">
        <v>620</v>
      </c>
      <c r="K2" s="10" t="s">
        <v>4</v>
      </c>
      <c r="L2" s="10" t="s">
        <v>10</v>
      </c>
      <c r="M2" s="10" t="s">
        <v>12</v>
      </c>
      <c r="N2" s="11" t="s">
        <v>43</v>
      </c>
      <c r="O2" s="10" t="s">
        <v>13</v>
      </c>
      <c r="P2" s="10" t="s">
        <v>17</v>
      </c>
      <c r="Q2" s="10" t="s">
        <v>14</v>
      </c>
      <c r="R2" s="10" t="s">
        <v>621</v>
      </c>
      <c r="S2" s="10" t="s">
        <v>16</v>
      </c>
      <c r="T2" s="9" t="s">
        <v>29</v>
      </c>
      <c r="U2" s="10" t="s">
        <v>6</v>
      </c>
      <c r="V2" s="9" t="s">
        <v>46</v>
      </c>
      <c r="W2" s="11" t="s">
        <v>622</v>
      </c>
      <c r="X2" s="65" t="s">
        <v>623</v>
      </c>
      <c r="Y2" s="9" t="s">
        <v>624</v>
      </c>
      <c r="Z2" s="10" t="s">
        <v>594</v>
      </c>
      <c r="AA2" s="12" t="s">
        <v>625</v>
      </c>
      <c r="AB2" s="20" t="s">
        <v>21</v>
      </c>
      <c r="AC2" s="20" t="s">
        <v>2</v>
      </c>
      <c r="AD2" s="20" t="s">
        <v>626</v>
      </c>
      <c r="AE2" s="20" t="s">
        <v>627</v>
      </c>
      <c r="AF2" s="20" t="s">
        <v>628</v>
      </c>
      <c r="AG2" s="20" t="s">
        <v>629</v>
      </c>
      <c r="AH2" s="20" t="s">
        <v>630</v>
      </c>
      <c r="AI2" s="20" t="s">
        <v>631</v>
      </c>
      <c r="AJ2" s="20" t="s">
        <v>632</v>
      </c>
    </row>
    <row r="3" spans="1:36" x14ac:dyDescent="0.25">
      <c r="A3" s="15" t="s">
        <v>633</v>
      </c>
      <c r="B3" s="15"/>
      <c r="C3" s="141">
        <v>45278</v>
      </c>
      <c r="D3" s="141">
        <v>45293</v>
      </c>
      <c r="E3">
        <f>Tabela4[[#This Row],[DATA FATURAMENTO]]-Tabela4[[#This Row],[DATA ORÇAMENTO]]</f>
        <v>15</v>
      </c>
      <c r="F3" s="15">
        <v>10023</v>
      </c>
      <c r="G3" s="15" t="s">
        <v>22</v>
      </c>
      <c r="H3" s="15"/>
      <c r="I3" s="149">
        <v>4800</v>
      </c>
      <c r="J3" s="149">
        <v>2000</v>
      </c>
      <c r="K3" s="150">
        <f>Tabela4[[#This Row],[PECAS]]+Tabela4[[#This Row],[SERVICOS]]</f>
        <v>6800</v>
      </c>
      <c r="L3" s="149">
        <v>0</v>
      </c>
      <c r="M3" s="149">
        <v>0</v>
      </c>
      <c r="N3" s="22"/>
      <c r="O3" s="149">
        <v>0</v>
      </c>
      <c r="P3" s="149">
        <v>0</v>
      </c>
      <c r="Q3" s="149">
        <v>0</v>
      </c>
      <c r="R3" s="149">
        <v>0</v>
      </c>
      <c r="S3" s="149">
        <v>0</v>
      </c>
      <c r="T3" s="149">
        <v>0</v>
      </c>
      <c r="U3" s="160">
        <v>0</v>
      </c>
      <c r="V3" s="21"/>
      <c r="W3" s="22">
        <v>0</v>
      </c>
      <c r="X3" s="149">
        <v>0</v>
      </c>
      <c r="Y3" s="18"/>
      <c r="Z3" s="149">
        <v>0</v>
      </c>
      <c r="AA3" s="149">
        <f>Tabela4[[#This Row],[VALOR]]-Tabela4[[#This Row],[PNEUS]]-Tabela4[[#This Row],[BATERIA]]</f>
        <v>6800</v>
      </c>
      <c r="AB3" s="30" t="s">
        <v>38</v>
      </c>
      <c r="AC3" s="30">
        <v>0</v>
      </c>
      <c r="AD3" s="162">
        <v>0</v>
      </c>
      <c r="AE3" s="162">
        <v>0</v>
      </c>
      <c r="AF3" s="162">
        <v>0</v>
      </c>
      <c r="AG3" s="162">
        <v>0</v>
      </c>
      <c r="AH3" s="162">
        <v>0</v>
      </c>
      <c r="AI3" s="162">
        <v>0</v>
      </c>
      <c r="AJ3" s="162">
        <v>0</v>
      </c>
    </row>
    <row r="4" spans="1:36" x14ac:dyDescent="0.25">
      <c r="A4" s="15" t="s">
        <v>634</v>
      </c>
      <c r="B4" s="15"/>
      <c r="C4" s="141">
        <v>45293</v>
      </c>
      <c r="D4" s="141">
        <v>45293</v>
      </c>
      <c r="E4">
        <f>Tabela4[[#This Row],[DATA FATURAMENTO]]-Tabela4[[#This Row],[DATA ORÇAMENTO]]</f>
        <v>0</v>
      </c>
      <c r="F4" s="15">
        <v>10151</v>
      </c>
      <c r="G4" s="15" t="s">
        <v>22</v>
      </c>
      <c r="H4" s="15"/>
      <c r="I4" s="149">
        <v>1332.4</v>
      </c>
      <c r="J4" s="149">
        <v>1027.5999999999999</v>
      </c>
      <c r="K4" s="150">
        <f>Tabela4[[#This Row],[PECAS]]+Tabela4[[#This Row],[SERVICOS]]</f>
        <v>2360</v>
      </c>
      <c r="L4" s="149">
        <v>90</v>
      </c>
      <c r="M4" s="149">
        <f>24.4*4</f>
        <v>97.6</v>
      </c>
      <c r="N4" s="22"/>
      <c r="O4" s="149">
        <v>0</v>
      </c>
      <c r="P4" s="149">
        <v>0</v>
      </c>
      <c r="Q4" s="149">
        <v>0</v>
      </c>
      <c r="R4" s="149">
        <v>0</v>
      </c>
      <c r="S4" s="149">
        <v>220</v>
      </c>
      <c r="T4" s="149">
        <v>0</v>
      </c>
      <c r="U4" s="160">
        <v>0</v>
      </c>
      <c r="V4" s="21"/>
      <c r="W4" s="22">
        <v>4</v>
      </c>
      <c r="X4" s="149">
        <v>0</v>
      </c>
      <c r="Y4" s="18" t="s">
        <v>635</v>
      </c>
      <c r="Z4" s="149">
        <v>0</v>
      </c>
      <c r="AA4" s="149">
        <f>Tabela4[[#This Row],[VALOR]]-Tabela4[[#This Row],[PNEUS]]-Tabela4[[#This Row],[BATERIA]]</f>
        <v>2360</v>
      </c>
      <c r="AB4" s="19" t="s">
        <v>27</v>
      </c>
      <c r="AC4" s="30">
        <v>0</v>
      </c>
      <c r="AD4" s="162">
        <v>0</v>
      </c>
      <c r="AE4" s="162">
        <v>0</v>
      </c>
      <c r="AF4" s="162">
        <v>0</v>
      </c>
      <c r="AG4" s="162">
        <v>0</v>
      </c>
      <c r="AH4" s="162">
        <v>0</v>
      </c>
      <c r="AI4" s="162">
        <v>0</v>
      </c>
      <c r="AJ4" s="162">
        <v>0</v>
      </c>
    </row>
    <row r="5" spans="1:36" x14ac:dyDescent="0.25">
      <c r="A5" s="15" t="s">
        <v>636</v>
      </c>
      <c r="B5" s="15"/>
      <c r="C5" s="141">
        <v>45293</v>
      </c>
      <c r="D5" s="141">
        <v>45293</v>
      </c>
      <c r="E5">
        <f>Tabela4[[#This Row],[DATA FATURAMENTO]]-Tabela4[[#This Row],[DATA ORÇAMENTO]]</f>
        <v>0</v>
      </c>
      <c r="F5" s="15">
        <v>10157</v>
      </c>
      <c r="G5" s="15" t="s">
        <v>22</v>
      </c>
      <c r="H5" s="15"/>
      <c r="I5" s="149">
        <v>1287.9100000000001</v>
      </c>
      <c r="J5" s="149">
        <v>571.21</v>
      </c>
      <c r="K5" s="150">
        <f>Tabela4[[#This Row],[PECAS]]+Tabela4[[#This Row],[SERVICOS]]</f>
        <v>1859.1200000000001</v>
      </c>
      <c r="L5" s="149">
        <v>0</v>
      </c>
      <c r="M5" s="149">
        <v>0</v>
      </c>
      <c r="N5" s="22"/>
      <c r="O5" s="149">
        <v>0</v>
      </c>
      <c r="P5" s="149">
        <v>0</v>
      </c>
      <c r="Q5" s="149">
        <v>0</v>
      </c>
      <c r="R5" s="149">
        <v>0</v>
      </c>
      <c r="S5" s="149">
        <v>201.6</v>
      </c>
      <c r="T5" s="149">
        <v>0</v>
      </c>
      <c r="U5" s="160">
        <v>485.9</v>
      </c>
      <c r="V5" s="21" t="s">
        <v>637</v>
      </c>
      <c r="W5" s="22">
        <v>4</v>
      </c>
      <c r="X5" s="149">
        <v>0</v>
      </c>
      <c r="Y5" s="18" t="s">
        <v>638</v>
      </c>
      <c r="Z5" s="149">
        <v>0</v>
      </c>
      <c r="AA5" s="149">
        <f>Tabela4[[#This Row],[VALOR]]-Tabela4[[#This Row],[PNEUS]]-Tabela4[[#This Row],[BATERIA]]</f>
        <v>1373.2200000000003</v>
      </c>
      <c r="AB5" s="19" t="s">
        <v>27</v>
      </c>
      <c r="AC5" s="30">
        <v>0</v>
      </c>
      <c r="AD5" s="162">
        <v>0</v>
      </c>
      <c r="AE5" s="162">
        <v>0</v>
      </c>
      <c r="AF5" s="162">
        <v>0</v>
      </c>
      <c r="AG5" s="162">
        <v>0</v>
      </c>
      <c r="AH5" s="162">
        <v>0</v>
      </c>
      <c r="AI5" s="162">
        <v>0</v>
      </c>
      <c r="AJ5" s="162">
        <v>0</v>
      </c>
    </row>
    <row r="6" spans="1:36" x14ac:dyDescent="0.25">
      <c r="A6" s="15" t="s">
        <v>639</v>
      </c>
      <c r="B6" s="15"/>
      <c r="C6" s="141">
        <v>45293</v>
      </c>
      <c r="D6" s="141">
        <v>45293</v>
      </c>
      <c r="E6">
        <f>Tabela4[[#This Row],[DATA FATURAMENTO]]-Tabela4[[#This Row],[DATA ORÇAMENTO]]</f>
        <v>0</v>
      </c>
      <c r="F6" s="15">
        <v>10160</v>
      </c>
      <c r="G6" s="15" t="s">
        <v>6</v>
      </c>
      <c r="H6" s="15"/>
      <c r="I6" s="149">
        <v>469</v>
      </c>
      <c r="J6" s="149">
        <v>0</v>
      </c>
      <c r="K6" s="150">
        <f>Tabela4[[#This Row],[PECAS]]+Tabela4[[#This Row],[SERVICOS]]</f>
        <v>469</v>
      </c>
      <c r="L6" s="149">
        <v>0</v>
      </c>
      <c r="M6" s="149">
        <v>0</v>
      </c>
      <c r="N6" s="22"/>
      <c r="O6" s="149">
        <v>0</v>
      </c>
      <c r="P6" s="149">
        <v>0</v>
      </c>
      <c r="Q6" s="149">
        <v>0</v>
      </c>
      <c r="R6" s="149">
        <v>0</v>
      </c>
      <c r="S6" s="149">
        <v>0</v>
      </c>
      <c r="T6" s="149">
        <v>0</v>
      </c>
      <c r="U6" s="160">
        <v>469</v>
      </c>
      <c r="V6" s="21" t="s">
        <v>640</v>
      </c>
      <c r="W6" s="22">
        <v>0</v>
      </c>
      <c r="X6" s="149">
        <v>0</v>
      </c>
      <c r="Y6" s="18"/>
      <c r="Z6" s="149">
        <v>0</v>
      </c>
      <c r="AA6" s="149">
        <f>K6-U6-T6</f>
        <v>0</v>
      </c>
      <c r="AB6" s="19" t="s">
        <v>6</v>
      </c>
      <c r="AC6" s="30">
        <v>0</v>
      </c>
      <c r="AD6" s="162">
        <v>0</v>
      </c>
      <c r="AE6" s="162">
        <v>0</v>
      </c>
      <c r="AF6" s="162">
        <v>0</v>
      </c>
      <c r="AG6" s="162">
        <v>0</v>
      </c>
      <c r="AH6" s="162">
        <v>0</v>
      </c>
      <c r="AI6" s="162">
        <v>0</v>
      </c>
      <c r="AJ6" s="162">
        <v>0</v>
      </c>
    </row>
    <row r="7" spans="1:36" x14ac:dyDescent="0.25">
      <c r="A7" s="15" t="s">
        <v>641</v>
      </c>
      <c r="B7" s="15"/>
      <c r="C7" s="141">
        <v>45293</v>
      </c>
      <c r="D7" s="141">
        <v>45293</v>
      </c>
      <c r="E7">
        <f>Tabela4[[#This Row],[DATA FATURAMENTO]]-Tabela4[[#This Row],[DATA ORÇAMENTO]]</f>
        <v>0</v>
      </c>
      <c r="F7" s="15">
        <v>10161</v>
      </c>
      <c r="G7" s="15" t="s">
        <v>6</v>
      </c>
      <c r="H7" s="15"/>
      <c r="I7" s="149">
        <v>1048</v>
      </c>
      <c r="J7" s="149">
        <v>0</v>
      </c>
      <c r="K7" s="150">
        <f>Tabela4[[#This Row],[PECAS]]+Tabela4[[#This Row],[SERVICOS]]</f>
        <v>1048</v>
      </c>
      <c r="L7" s="149">
        <v>0</v>
      </c>
      <c r="M7" s="149">
        <v>0</v>
      </c>
      <c r="N7" s="22"/>
      <c r="O7" s="149">
        <v>0</v>
      </c>
      <c r="P7" s="149">
        <v>0</v>
      </c>
      <c r="Q7" s="149">
        <v>0</v>
      </c>
      <c r="R7" s="149">
        <v>0</v>
      </c>
      <c r="S7" s="149">
        <v>0</v>
      </c>
      <c r="T7" s="149">
        <v>0</v>
      </c>
      <c r="U7" s="160">
        <v>1048</v>
      </c>
      <c r="V7" s="21" t="s">
        <v>642</v>
      </c>
      <c r="W7" s="22">
        <v>0</v>
      </c>
      <c r="X7" s="149">
        <v>0</v>
      </c>
      <c r="Y7" s="18"/>
      <c r="Z7" s="149">
        <v>0</v>
      </c>
      <c r="AA7" s="149">
        <f>K7-U7-T7</f>
        <v>0</v>
      </c>
      <c r="AB7" s="19" t="s">
        <v>6</v>
      </c>
      <c r="AC7" s="30">
        <v>0</v>
      </c>
      <c r="AD7" s="162">
        <v>0</v>
      </c>
      <c r="AE7" s="162">
        <v>0</v>
      </c>
      <c r="AF7" s="162">
        <v>0</v>
      </c>
      <c r="AG7" s="162">
        <v>0</v>
      </c>
      <c r="AH7" s="162">
        <v>0</v>
      </c>
      <c r="AI7" s="162">
        <v>0</v>
      </c>
      <c r="AJ7" s="162">
        <v>0</v>
      </c>
    </row>
    <row r="8" spans="1:36" x14ac:dyDescent="0.25">
      <c r="A8" s="15" t="s">
        <v>213</v>
      </c>
      <c r="B8" s="15"/>
      <c r="C8" s="141">
        <v>45293</v>
      </c>
      <c r="D8" s="141">
        <v>45293</v>
      </c>
      <c r="E8">
        <f>Tabela4[[#This Row],[DATA FATURAMENTO]]-Tabela4[[#This Row],[DATA ORÇAMENTO]]</f>
        <v>0</v>
      </c>
      <c r="F8" s="15">
        <v>10164</v>
      </c>
      <c r="G8" s="15" t="s">
        <v>22</v>
      </c>
      <c r="H8" s="15"/>
      <c r="I8" s="149">
        <v>147.9</v>
      </c>
      <c r="J8" s="149">
        <v>147.84</v>
      </c>
      <c r="K8" s="150">
        <f>Tabela4[[#This Row],[PECAS]]+Tabela4[[#This Row],[SERVICOS]]</f>
        <v>295.74</v>
      </c>
      <c r="L8" s="149">
        <v>0</v>
      </c>
      <c r="M8" s="149">
        <v>0</v>
      </c>
      <c r="N8" s="22"/>
      <c r="O8" s="149">
        <v>0</v>
      </c>
      <c r="P8" s="149">
        <v>0</v>
      </c>
      <c r="Q8" s="149">
        <v>0</v>
      </c>
      <c r="R8" s="149">
        <v>0</v>
      </c>
      <c r="S8" s="149">
        <v>0</v>
      </c>
      <c r="T8" s="149">
        <v>0</v>
      </c>
      <c r="U8" s="160">
        <v>0</v>
      </c>
      <c r="V8" s="21"/>
      <c r="W8" s="22">
        <v>0</v>
      </c>
      <c r="X8" s="149">
        <v>0</v>
      </c>
      <c r="Y8" s="18"/>
      <c r="Z8" s="149">
        <v>0</v>
      </c>
      <c r="AA8" s="149">
        <f>Tabela4[[#This Row],[VALOR]]-Tabela4[[#This Row],[PNEUS]]-Tabela4[[#This Row],[BATERIA]]</f>
        <v>295.74</v>
      </c>
      <c r="AB8" s="19" t="s">
        <v>30</v>
      </c>
      <c r="AC8" s="30">
        <v>0</v>
      </c>
      <c r="AD8" s="162">
        <v>0</v>
      </c>
      <c r="AE8" s="162">
        <v>0</v>
      </c>
      <c r="AF8" s="162">
        <v>0</v>
      </c>
      <c r="AG8" s="162">
        <v>0</v>
      </c>
      <c r="AH8" s="162">
        <v>0</v>
      </c>
      <c r="AI8" s="162">
        <v>0</v>
      </c>
      <c r="AJ8" s="162">
        <v>0</v>
      </c>
    </row>
    <row r="9" spans="1:36" x14ac:dyDescent="0.25">
      <c r="A9" s="15" t="s">
        <v>643</v>
      </c>
      <c r="B9" s="15"/>
      <c r="C9" s="141">
        <v>45293</v>
      </c>
      <c r="D9" s="141">
        <v>45293</v>
      </c>
      <c r="E9">
        <f>Tabela4[[#This Row],[DATA FATURAMENTO]]-Tabela4[[#This Row],[DATA ORÇAMENTO]]</f>
        <v>0</v>
      </c>
      <c r="F9" s="15">
        <v>10169</v>
      </c>
      <c r="G9" s="15" t="s">
        <v>22</v>
      </c>
      <c r="H9" s="15"/>
      <c r="I9" s="149">
        <v>0</v>
      </c>
      <c r="J9" s="149">
        <v>220</v>
      </c>
      <c r="K9" s="150">
        <f>Tabela4[[#This Row],[PECAS]]+Tabela4[[#This Row],[SERVICOS]]</f>
        <v>220</v>
      </c>
      <c r="L9" s="149">
        <v>0</v>
      </c>
      <c r="M9" s="149">
        <v>0</v>
      </c>
      <c r="N9" s="22"/>
      <c r="O9" s="149">
        <v>0</v>
      </c>
      <c r="P9" s="149">
        <v>0</v>
      </c>
      <c r="Q9" s="149">
        <v>0</v>
      </c>
      <c r="R9" s="149">
        <v>0</v>
      </c>
      <c r="S9" s="149">
        <v>0</v>
      </c>
      <c r="T9" s="149">
        <v>0</v>
      </c>
      <c r="U9" s="160">
        <v>0</v>
      </c>
      <c r="V9" s="21"/>
      <c r="W9" s="22">
        <v>0</v>
      </c>
      <c r="X9" s="149">
        <v>0</v>
      </c>
      <c r="Y9" s="18"/>
      <c r="Z9" s="149">
        <v>0</v>
      </c>
      <c r="AA9" s="149">
        <f>Tabela4[[#This Row],[VALOR]]-Tabela4[[#This Row],[PNEUS]]-Tabela4[[#This Row],[BATERIA]]</f>
        <v>220</v>
      </c>
      <c r="AB9" s="19" t="s">
        <v>24</v>
      </c>
      <c r="AC9" s="30">
        <v>0</v>
      </c>
      <c r="AD9" s="162">
        <v>0</v>
      </c>
      <c r="AE9" s="162">
        <v>0</v>
      </c>
      <c r="AF9" s="162">
        <v>0</v>
      </c>
      <c r="AG9" s="162">
        <v>0</v>
      </c>
      <c r="AH9" s="162">
        <v>0</v>
      </c>
      <c r="AI9" s="162">
        <v>0</v>
      </c>
      <c r="AJ9" s="162">
        <v>0</v>
      </c>
    </row>
    <row r="10" spans="1:36" x14ac:dyDescent="0.25">
      <c r="A10" s="15" t="s">
        <v>644</v>
      </c>
      <c r="B10" s="15"/>
      <c r="C10" s="141">
        <v>45293</v>
      </c>
      <c r="D10" s="141">
        <v>45293</v>
      </c>
      <c r="E10">
        <f>Tabela4[[#This Row],[DATA FATURAMENTO]]-Tabela4[[#This Row],[DATA ORÇAMENTO]]</f>
        <v>0</v>
      </c>
      <c r="F10" s="15">
        <v>10170</v>
      </c>
      <c r="G10" s="15" t="s">
        <v>22</v>
      </c>
      <c r="H10" s="15"/>
      <c r="I10" s="149">
        <v>744</v>
      </c>
      <c r="J10" s="149">
        <v>456</v>
      </c>
      <c r="K10" s="150">
        <f>Tabela4[[#This Row],[PECAS]]+Tabela4[[#This Row],[SERVICOS]]</f>
        <v>1200</v>
      </c>
      <c r="L10" s="149">
        <v>0</v>
      </c>
      <c r="M10" s="149">
        <v>0</v>
      </c>
      <c r="N10" s="22"/>
      <c r="O10" s="149">
        <v>0</v>
      </c>
      <c r="P10" s="149">
        <v>0</v>
      </c>
      <c r="Q10" s="149">
        <v>0</v>
      </c>
      <c r="R10" s="149">
        <v>0</v>
      </c>
      <c r="S10" s="149">
        <v>220</v>
      </c>
      <c r="T10" s="149">
        <v>0</v>
      </c>
      <c r="U10" s="160">
        <v>0</v>
      </c>
      <c r="V10" s="21"/>
      <c r="W10" s="22">
        <v>4</v>
      </c>
      <c r="X10" s="149">
        <v>0</v>
      </c>
      <c r="Y10" s="18" t="s">
        <v>645</v>
      </c>
      <c r="Z10" s="149">
        <v>220</v>
      </c>
      <c r="AA10" s="149">
        <f>Tabela4[[#This Row],[VALOR]]-Tabela4[[#This Row],[PNEUS]]-Tabela4[[#This Row],[BATERIA]]</f>
        <v>1200</v>
      </c>
      <c r="AB10" s="19" t="s">
        <v>34</v>
      </c>
      <c r="AC10" s="30">
        <v>0</v>
      </c>
      <c r="AD10" s="162">
        <v>0</v>
      </c>
      <c r="AE10" s="162">
        <v>0</v>
      </c>
      <c r="AF10" s="162">
        <v>0</v>
      </c>
      <c r="AG10" s="162">
        <v>0</v>
      </c>
      <c r="AH10" s="162">
        <v>0</v>
      </c>
      <c r="AI10" s="162">
        <v>0</v>
      </c>
      <c r="AJ10" s="162">
        <v>0</v>
      </c>
    </row>
    <row r="11" spans="1:36" x14ac:dyDescent="0.25">
      <c r="A11" s="15" t="s">
        <v>646</v>
      </c>
      <c r="B11" s="15"/>
      <c r="C11" s="141">
        <v>45293</v>
      </c>
      <c r="D11" s="141">
        <v>45294</v>
      </c>
      <c r="E11">
        <f>Tabela4[[#This Row],[DATA FATURAMENTO]]-Tabela4[[#This Row],[DATA ORÇAMENTO]]</f>
        <v>1</v>
      </c>
      <c r="F11" s="15">
        <v>10174</v>
      </c>
      <c r="G11" s="15" t="s">
        <v>35</v>
      </c>
      <c r="H11" s="15"/>
      <c r="I11" s="149">
        <v>1836.7</v>
      </c>
      <c r="J11" s="149">
        <v>1523.3</v>
      </c>
      <c r="K11" s="150">
        <f>Tabela4[[#This Row],[PECAS]]+Tabela4[[#This Row],[SERVICOS]]</f>
        <v>3360</v>
      </c>
      <c r="L11" s="149">
        <v>0</v>
      </c>
      <c r="M11" s="149">
        <v>100.6</v>
      </c>
      <c r="N11" s="22"/>
      <c r="O11" s="149">
        <v>218.3</v>
      </c>
      <c r="P11" s="149">
        <v>0</v>
      </c>
      <c r="Q11" s="149">
        <v>157</v>
      </c>
      <c r="R11" s="149">
        <v>0</v>
      </c>
      <c r="S11" s="149">
        <v>0</v>
      </c>
      <c r="T11" s="149">
        <v>0</v>
      </c>
      <c r="U11" s="160">
        <v>0</v>
      </c>
      <c r="V11" s="21"/>
      <c r="W11" s="22">
        <v>4</v>
      </c>
      <c r="X11" s="149">
        <v>0</v>
      </c>
      <c r="Y11" s="18" t="s">
        <v>635</v>
      </c>
      <c r="Z11" s="149">
        <v>0</v>
      </c>
      <c r="AA11" s="149">
        <f>Tabela4[[#This Row],[VALOR]]-Tabela4[[#This Row],[PNEUS]]-Tabela4[[#This Row],[BATERIA]]</f>
        <v>3360</v>
      </c>
      <c r="AB11" s="19" t="s">
        <v>30</v>
      </c>
      <c r="AC11" s="30">
        <v>0</v>
      </c>
      <c r="AD11" s="162">
        <v>0</v>
      </c>
      <c r="AE11" s="162">
        <v>0</v>
      </c>
      <c r="AF11" s="162">
        <v>0</v>
      </c>
      <c r="AG11" s="162">
        <v>0</v>
      </c>
      <c r="AH11" s="162">
        <v>0</v>
      </c>
      <c r="AI11" s="162">
        <v>0</v>
      </c>
      <c r="AJ11" s="162">
        <v>0</v>
      </c>
    </row>
    <row r="12" spans="1:36" x14ac:dyDescent="0.25">
      <c r="A12" s="15" t="s">
        <v>647</v>
      </c>
      <c r="B12" s="15"/>
      <c r="C12" s="141">
        <v>45293</v>
      </c>
      <c r="D12" s="141">
        <v>45294</v>
      </c>
      <c r="E12">
        <f>Tabela4[[#This Row],[DATA FATURAMENTO]]-Tabela4[[#This Row],[DATA ORÇAMENTO]]</f>
        <v>1</v>
      </c>
      <c r="F12" s="15">
        <v>10158</v>
      </c>
      <c r="G12" s="15" t="s">
        <v>35</v>
      </c>
      <c r="H12" s="15"/>
      <c r="I12" s="149">
        <v>1064.74</v>
      </c>
      <c r="J12" s="149">
        <v>935.26</v>
      </c>
      <c r="K12" s="150">
        <f>Tabela4[[#This Row],[PECAS]]+Tabela4[[#This Row],[SERVICOS]]</f>
        <v>2000</v>
      </c>
      <c r="L12" s="149">
        <v>0</v>
      </c>
      <c r="M12" s="149">
        <v>0</v>
      </c>
      <c r="N12" s="22"/>
      <c r="O12" s="149">
        <v>0</v>
      </c>
      <c r="P12" s="149">
        <v>0</v>
      </c>
      <c r="Q12" s="149">
        <v>0</v>
      </c>
      <c r="R12" s="149">
        <v>0</v>
      </c>
      <c r="S12" s="149">
        <v>0</v>
      </c>
      <c r="T12" s="149">
        <v>0</v>
      </c>
      <c r="U12" s="160">
        <v>0</v>
      </c>
      <c r="V12" s="21"/>
      <c r="W12" s="22">
        <v>0</v>
      </c>
      <c r="X12" s="149">
        <v>0</v>
      </c>
      <c r="Y12" s="18"/>
      <c r="Z12" s="149">
        <v>0</v>
      </c>
      <c r="AA12" s="149">
        <f>Tabela4[[#This Row],[VALOR]]-Tabela4[[#This Row],[PNEUS]]-Tabela4[[#This Row],[BATERIA]]</f>
        <v>2000</v>
      </c>
      <c r="AB12" s="19" t="s">
        <v>30</v>
      </c>
      <c r="AC12" s="30">
        <v>0</v>
      </c>
      <c r="AD12" s="162">
        <v>0</v>
      </c>
      <c r="AE12" s="162">
        <v>0</v>
      </c>
      <c r="AF12" s="162">
        <v>0</v>
      </c>
      <c r="AG12" s="162">
        <v>0</v>
      </c>
      <c r="AH12" s="162">
        <v>0</v>
      </c>
      <c r="AI12" s="162">
        <v>0</v>
      </c>
      <c r="AJ12" s="162">
        <v>0</v>
      </c>
    </row>
    <row r="13" spans="1:36" x14ac:dyDescent="0.25">
      <c r="A13" s="15" t="s">
        <v>648</v>
      </c>
      <c r="B13" s="15"/>
      <c r="C13" s="141">
        <v>45293</v>
      </c>
      <c r="D13" s="141">
        <v>45294</v>
      </c>
      <c r="E13">
        <f>Tabela4[[#This Row],[DATA FATURAMENTO]]-Tabela4[[#This Row],[DATA ORÇAMENTO]]</f>
        <v>1</v>
      </c>
      <c r="F13" s="15">
        <v>10155</v>
      </c>
      <c r="G13" s="15" t="s">
        <v>22</v>
      </c>
      <c r="H13" s="15"/>
      <c r="I13" s="149">
        <v>90</v>
      </c>
      <c r="J13" s="149">
        <v>480</v>
      </c>
      <c r="K13" s="150">
        <f>Tabela4[[#This Row],[PECAS]]+Tabela4[[#This Row],[SERVICOS]]</f>
        <v>570</v>
      </c>
      <c r="L13" s="149">
        <v>0</v>
      </c>
      <c r="M13" s="149">
        <v>0</v>
      </c>
      <c r="N13" s="22"/>
      <c r="O13" s="149">
        <v>0</v>
      </c>
      <c r="P13" s="149">
        <v>0</v>
      </c>
      <c r="Q13" s="149">
        <v>0</v>
      </c>
      <c r="R13" s="149">
        <v>0</v>
      </c>
      <c r="S13" s="149">
        <v>0</v>
      </c>
      <c r="T13" s="149">
        <v>0</v>
      </c>
      <c r="U13" s="160">
        <v>0</v>
      </c>
      <c r="V13" s="21"/>
      <c r="W13" s="22">
        <v>0</v>
      </c>
      <c r="X13" s="149">
        <v>0</v>
      </c>
      <c r="Y13" s="18"/>
      <c r="Z13" s="149">
        <v>0</v>
      </c>
      <c r="AA13" s="149">
        <f>Tabela4[[#This Row],[VALOR]]-Tabela4[[#This Row],[PNEUS]]-Tabela4[[#This Row],[BATERIA]]</f>
        <v>570</v>
      </c>
      <c r="AB13" s="19" t="s">
        <v>32</v>
      </c>
      <c r="AC13" s="30">
        <v>0</v>
      </c>
      <c r="AD13" s="162">
        <v>0</v>
      </c>
      <c r="AE13" s="162">
        <v>0</v>
      </c>
      <c r="AF13" s="162">
        <v>0</v>
      </c>
      <c r="AG13" s="162">
        <v>0</v>
      </c>
      <c r="AH13" s="162">
        <v>0</v>
      </c>
      <c r="AI13" s="162">
        <v>0</v>
      </c>
      <c r="AJ13" s="162">
        <v>0</v>
      </c>
    </row>
    <row r="14" spans="1:36" x14ac:dyDescent="0.25">
      <c r="A14" s="15" t="s">
        <v>649</v>
      </c>
      <c r="B14" s="15"/>
      <c r="C14" s="141">
        <v>45293</v>
      </c>
      <c r="D14" s="141">
        <v>45294</v>
      </c>
      <c r="E14">
        <f>Tabela4[[#This Row],[DATA FATURAMENTO]]-Tabela4[[#This Row],[DATA ORÇAMENTO]]</f>
        <v>1</v>
      </c>
      <c r="F14" s="15">
        <v>10159</v>
      </c>
      <c r="G14" s="15" t="s">
        <v>22</v>
      </c>
      <c r="H14" s="15"/>
      <c r="I14" s="149">
        <v>680</v>
      </c>
      <c r="J14" s="149">
        <v>390</v>
      </c>
      <c r="K14" s="150">
        <f>Tabela4[[#This Row],[PECAS]]+Tabela4[[#This Row],[SERVICOS]]</f>
        <v>1070</v>
      </c>
      <c r="L14" s="149">
        <v>0</v>
      </c>
      <c r="M14" s="149">
        <v>0</v>
      </c>
      <c r="N14" s="22"/>
      <c r="O14" s="149">
        <v>0</v>
      </c>
      <c r="P14" s="149">
        <v>0</v>
      </c>
      <c r="Q14" s="149">
        <v>0</v>
      </c>
      <c r="R14" s="149">
        <v>0</v>
      </c>
      <c r="S14" s="149">
        <v>0</v>
      </c>
      <c r="T14" s="149">
        <v>0</v>
      </c>
      <c r="U14" s="160">
        <v>0</v>
      </c>
      <c r="V14" s="21"/>
      <c r="W14" s="22">
        <v>0</v>
      </c>
      <c r="X14" s="149">
        <v>0</v>
      </c>
      <c r="Y14" s="18"/>
      <c r="Z14" s="149">
        <v>0</v>
      </c>
      <c r="AA14" s="149">
        <f>Tabela4[[#This Row],[VALOR]]-Tabela4[[#This Row],[PNEUS]]-Tabela4[[#This Row],[BATERIA]]</f>
        <v>1070</v>
      </c>
      <c r="AB14" s="19" t="s">
        <v>32</v>
      </c>
      <c r="AC14" s="30">
        <v>0</v>
      </c>
      <c r="AD14" s="162">
        <v>0</v>
      </c>
      <c r="AE14" s="162">
        <v>0</v>
      </c>
      <c r="AF14" s="162">
        <v>0</v>
      </c>
      <c r="AG14" s="162">
        <v>0</v>
      </c>
      <c r="AH14" s="162">
        <v>0</v>
      </c>
      <c r="AI14" s="162">
        <v>0</v>
      </c>
      <c r="AJ14" s="162">
        <v>0</v>
      </c>
    </row>
    <row r="15" spans="1:36" x14ac:dyDescent="0.25">
      <c r="A15" s="15" t="s">
        <v>650</v>
      </c>
      <c r="B15" s="15"/>
      <c r="C15" s="141">
        <v>45293</v>
      </c>
      <c r="D15" s="141">
        <v>45294</v>
      </c>
      <c r="E15">
        <f>Tabela4[[#This Row],[DATA FATURAMENTO]]-Tabela4[[#This Row],[DATA ORÇAMENTO]]</f>
        <v>1</v>
      </c>
      <c r="F15" s="15">
        <v>10179</v>
      </c>
      <c r="G15" s="15" t="s">
        <v>31</v>
      </c>
      <c r="H15" s="15"/>
      <c r="I15" s="149">
        <v>70</v>
      </c>
      <c r="J15" s="149">
        <v>30</v>
      </c>
      <c r="K15" s="150">
        <f>Tabela4[[#This Row],[PECAS]]+Tabela4[[#This Row],[SERVICOS]]</f>
        <v>100</v>
      </c>
      <c r="L15" s="149">
        <v>0</v>
      </c>
      <c r="M15" s="149">
        <v>0</v>
      </c>
      <c r="N15" s="22"/>
      <c r="O15" s="149">
        <v>0</v>
      </c>
      <c r="P15" s="149">
        <v>0</v>
      </c>
      <c r="Q15" s="149">
        <v>0</v>
      </c>
      <c r="R15" s="149">
        <v>0</v>
      </c>
      <c r="S15" s="149">
        <v>0</v>
      </c>
      <c r="T15" s="149">
        <v>0</v>
      </c>
      <c r="U15" s="160">
        <v>0</v>
      </c>
      <c r="V15" s="21"/>
      <c r="W15" s="22">
        <v>0</v>
      </c>
      <c r="X15" s="149">
        <v>0</v>
      </c>
      <c r="Y15" s="18"/>
      <c r="Z15" s="149">
        <v>0</v>
      </c>
      <c r="AA15" s="149">
        <f>Tabela4[[#This Row],[VALOR]]-Tabela4[[#This Row],[PNEUS]]-Tabela4[[#This Row],[BATERIA]]</f>
        <v>100</v>
      </c>
      <c r="AB15" s="19" t="s">
        <v>38</v>
      </c>
      <c r="AC15" s="30">
        <v>0</v>
      </c>
      <c r="AD15" s="162">
        <v>0</v>
      </c>
      <c r="AE15" s="162">
        <v>0</v>
      </c>
      <c r="AF15" s="162">
        <v>0</v>
      </c>
      <c r="AG15" s="162">
        <v>0</v>
      </c>
      <c r="AH15" s="162">
        <v>0</v>
      </c>
      <c r="AI15" s="162">
        <v>0</v>
      </c>
      <c r="AJ15" s="162">
        <v>0</v>
      </c>
    </row>
    <row r="16" spans="1:36" x14ac:dyDescent="0.25">
      <c r="A16" s="15" t="s">
        <v>651</v>
      </c>
      <c r="B16" s="15"/>
      <c r="C16" s="141">
        <v>45294</v>
      </c>
      <c r="D16" s="141">
        <v>45294</v>
      </c>
      <c r="E16">
        <f>Tabela4[[#This Row],[DATA FATURAMENTO]]-Tabela4[[#This Row],[DATA ORÇAMENTO]]</f>
        <v>0</v>
      </c>
      <c r="F16" s="15">
        <v>10180</v>
      </c>
      <c r="G16" s="15" t="s">
        <v>35</v>
      </c>
      <c r="H16" s="15"/>
      <c r="I16" s="149">
        <v>0</v>
      </c>
      <c r="J16" s="149">
        <v>180</v>
      </c>
      <c r="K16" s="150">
        <f>Tabela4[[#This Row],[PECAS]]+Tabela4[[#This Row],[SERVICOS]]</f>
        <v>180</v>
      </c>
      <c r="L16" s="149">
        <v>0</v>
      </c>
      <c r="M16" s="149">
        <v>0</v>
      </c>
      <c r="N16" s="22"/>
      <c r="O16" s="149">
        <v>0</v>
      </c>
      <c r="P16" s="149">
        <v>0</v>
      </c>
      <c r="Q16" s="149">
        <v>0</v>
      </c>
      <c r="R16" s="149">
        <v>0</v>
      </c>
      <c r="S16" s="149">
        <v>0</v>
      </c>
      <c r="T16" s="149">
        <v>0</v>
      </c>
      <c r="U16" s="160">
        <v>0</v>
      </c>
      <c r="V16" s="21"/>
      <c r="W16" s="22">
        <v>0</v>
      </c>
      <c r="X16" s="149">
        <v>0</v>
      </c>
      <c r="Y16" s="18"/>
      <c r="Z16" s="149">
        <v>0</v>
      </c>
      <c r="AA16" s="149">
        <f>Tabela4[[#This Row],[VALOR]]-Tabela4[[#This Row],[PNEUS]]-Tabela4[[#This Row],[BATERIA]]</f>
        <v>180</v>
      </c>
      <c r="AB16" s="19" t="s">
        <v>32</v>
      </c>
      <c r="AC16" s="30">
        <v>0</v>
      </c>
      <c r="AD16" s="162">
        <v>0</v>
      </c>
      <c r="AE16" s="162">
        <v>0</v>
      </c>
      <c r="AF16" s="162">
        <v>0</v>
      </c>
      <c r="AG16" s="162">
        <v>0</v>
      </c>
      <c r="AH16" s="162">
        <v>0</v>
      </c>
      <c r="AI16" s="162">
        <v>0</v>
      </c>
      <c r="AJ16" s="162">
        <v>0</v>
      </c>
    </row>
    <row r="17" spans="1:36" x14ac:dyDescent="0.25">
      <c r="A17" s="15" t="s">
        <v>652</v>
      </c>
      <c r="B17" s="15"/>
      <c r="C17" s="141">
        <v>45288</v>
      </c>
      <c r="D17" s="141">
        <v>45295</v>
      </c>
      <c r="E17">
        <f>Tabela4[[#This Row],[DATA FATURAMENTO]]-Tabela4[[#This Row],[DATA ORÇAMENTO]]</f>
        <v>7</v>
      </c>
      <c r="F17" s="15">
        <v>10128</v>
      </c>
      <c r="G17" s="15" t="s">
        <v>28</v>
      </c>
      <c r="H17" s="15"/>
      <c r="I17" s="149">
        <v>2111.1</v>
      </c>
      <c r="J17" s="149">
        <v>474.4</v>
      </c>
      <c r="K17" s="150">
        <f>Tabela4[[#This Row],[PECAS]]+Tabela4[[#This Row],[SERVICOS]]</f>
        <v>2585.5</v>
      </c>
      <c r="L17" s="149">
        <v>0</v>
      </c>
      <c r="M17" s="149">
        <v>0</v>
      </c>
      <c r="N17" s="22"/>
      <c r="O17" s="149">
        <v>0</v>
      </c>
      <c r="P17" s="149">
        <v>159.9</v>
      </c>
      <c r="Q17" s="149">
        <v>0</v>
      </c>
      <c r="R17" s="149">
        <v>0</v>
      </c>
      <c r="S17" s="149">
        <v>57</v>
      </c>
      <c r="T17" s="149">
        <v>0</v>
      </c>
      <c r="U17" s="160">
        <v>473.9</v>
      </c>
      <c r="V17" s="21" t="s">
        <v>653</v>
      </c>
      <c r="W17" s="22">
        <v>3</v>
      </c>
      <c r="X17" s="149">
        <v>0</v>
      </c>
      <c r="Y17" s="18" t="s">
        <v>654</v>
      </c>
      <c r="Z17" s="149">
        <v>0</v>
      </c>
      <c r="AA17" s="149">
        <f>Tabela4[[#This Row],[VALOR]]-Tabela4[[#This Row],[PNEUS]]-Tabela4[[#This Row],[BATERIA]]</f>
        <v>2111.6</v>
      </c>
      <c r="AB17" s="19" t="s">
        <v>27</v>
      </c>
      <c r="AC17" s="30">
        <v>0</v>
      </c>
      <c r="AD17" s="162">
        <v>0</v>
      </c>
      <c r="AE17" s="162">
        <v>0</v>
      </c>
      <c r="AF17" s="162">
        <v>0</v>
      </c>
      <c r="AG17" s="162">
        <v>0</v>
      </c>
      <c r="AH17" s="162">
        <v>0</v>
      </c>
      <c r="AI17" s="162">
        <v>0</v>
      </c>
      <c r="AJ17" s="162">
        <v>0</v>
      </c>
    </row>
    <row r="18" spans="1:36" x14ac:dyDescent="0.25">
      <c r="A18" s="15" t="s">
        <v>655</v>
      </c>
      <c r="B18" s="15"/>
      <c r="C18" s="141">
        <v>45294</v>
      </c>
      <c r="D18" s="141">
        <v>45295</v>
      </c>
      <c r="E18">
        <f>Tabela4[[#This Row],[DATA FATURAMENTO]]-Tabela4[[#This Row],[DATA ORÇAMENTO]]</f>
        <v>1</v>
      </c>
      <c r="F18" s="15">
        <v>10176</v>
      </c>
      <c r="G18" s="15" t="s">
        <v>22</v>
      </c>
      <c r="H18" s="15"/>
      <c r="I18" s="149">
        <v>0</v>
      </c>
      <c r="J18" s="149">
        <v>190.08</v>
      </c>
      <c r="K18" s="150">
        <f>Tabela4[[#This Row],[PECAS]]+Tabela4[[#This Row],[SERVICOS]]</f>
        <v>190.08</v>
      </c>
      <c r="L18" s="149">
        <v>0</v>
      </c>
      <c r="M18" s="149">
        <v>0</v>
      </c>
      <c r="N18" s="22"/>
      <c r="O18" s="149">
        <v>0</v>
      </c>
      <c r="P18" s="149">
        <v>0</v>
      </c>
      <c r="Q18" s="149">
        <v>0</v>
      </c>
      <c r="R18" s="149">
        <v>0</v>
      </c>
      <c r="S18" s="149">
        <v>0</v>
      </c>
      <c r="T18" s="149">
        <v>0</v>
      </c>
      <c r="U18" s="160">
        <v>0</v>
      </c>
      <c r="V18" s="21"/>
      <c r="W18" s="22">
        <v>0</v>
      </c>
      <c r="X18" s="149">
        <v>0</v>
      </c>
      <c r="Y18" s="18"/>
      <c r="Z18" s="149">
        <v>0</v>
      </c>
      <c r="AA18" s="149">
        <f>Tabela4[[#This Row],[VALOR]]-Tabela4[[#This Row],[PNEUS]]-Tabela4[[#This Row],[BATERIA]]</f>
        <v>190.08</v>
      </c>
      <c r="AB18" s="19" t="s">
        <v>34</v>
      </c>
      <c r="AC18" s="30">
        <v>0</v>
      </c>
      <c r="AD18" s="162">
        <v>0</v>
      </c>
      <c r="AE18" s="162">
        <v>0</v>
      </c>
      <c r="AF18" s="162">
        <v>0</v>
      </c>
      <c r="AG18" s="162">
        <v>0</v>
      </c>
      <c r="AH18" s="162">
        <v>0</v>
      </c>
      <c r="AI18" s="162">
        <v>0</v>
      </c>
      <c r="AJ18" s="162">
        <v>0</v>
      </c>
    </row>
    <row r="19" spans="1:36" x14ac:dyDescent="0.25">
      <c r="A19" s="15" t="s">
        <v>656</v>
      </c>
      <c r="B19" s="15"/>
      <c r="C19" s="141">
        <v>45294</v>
      </c>
      <c r="D19" s="141">
        <v>45295</v>
      </c>
      <c r="E19">
        <f>Tabela4[[#This Row],[DATA FATURAMENTO]]-Tabela4[[#This Row],[DATA ORÇAMENTO]]</f>
        <v>1</v>
      </c>
      <c r="F19" s="15">
        <v>10177</v>
      </c>
      <c r="G19" s="15" t="s">
        <v>22</v>
      </c>
      <c r="H19" s="15"/>
      <c r="I19" s="149">
        <v>444</v>
      </c>
      <c r="J19" s="149">
        <v>176</v>
      </c>
      <c r="K19" s="150">
        <f>Tabela4[[#This Row],[PECAS]]+Tabela4[[#This Row],[SERVICOS]]</f>
        <v>620</v>
      </c>
      <c r="L19" s="149">
        <v>0</v>
      </c>
      <c r="M19" s="149">
        <v>0</v>
      </c>
      <c r="N19" s="22"/>
      <c r="O19" s="149">
        <v>0</v>
      </c>
      <c r="P19" s="149">
        <v>96</v>
      </c>
      <c r="Q19" s="149">
        <v>0</v>
      </c>
      <c r="R19" s="149">
        <v>0</v>
      </c>
      <c r="S19" s="149">
        <v>176</v>
      </c>
      <c r="T19" s="149">
        <v>0</v>
      </c>
      <c r="U19" s="160">
        <v>0</v>
      </c>
      <c r="V19" s="21"/>
      <c r="W19" s="22">
        <v>3</v>
      </c>
      <c r="X19" s="149">
        <v>0</v>
      </c>
      <c r="Y19" s="18" t="s">
        <v>638</v>
      </c>
      <c r="Z19" s="149">
        <v>0</v>
      </c>
      <c r="AA19" s="149">
        <f>Tabela4[[#This Row],[VALOR]]-Tabela4[[#This Row],[PNEUS]]-Tabela4[[#This Row],[BATERIA]]</f>
        <v>620</v>
      </c>
      <c r="AB19" s="19" t="s">
        <v>34</v>
      </c>
      <c r="AC19" s="30">
        <v>0</v>
      </c>
      <c r="AD19" s="162">
        <v>0</v>
      </c>
      <c r="AE19" s="162">
        <v>0</v>
      </c>
      <c r="AF19" s="162">
        <v>0</v>
      </c>
      <c r="AG19" s="162">
        <v>0</v>
      </c>
      <c r="AH19" s="162">
        <v>0</v>
      </c>
      <c r="AI19" s="162">
        <v>0</v>
      </c>
      <c r="AJ19" s="162">
        <v>0</v>
      </c>
    </row>
    <row r="20" spans="1:36" x14ac:dyDescent="0.25">
      <c r="A20" s="15" t="s">
        <v>657</v>
      </c>
      <c r="B20" s="15"/>
      <c r="C20" s="141">
        <v>45294</v>
      </c>
      <c r="D20" s="141">
        <v>45295</v>
      </c>
      <c r="E20">
        <f>Tabela4[[#This Row],[DATA FATURAMENTO]]-Tabela4[[#This Row],[DATA ORÇAMENTO]]</f>
        <v>1</v>
      </c>
      <c r="F20" s="15">
        <v>10178</v>
      </c>
      <c r="G20" s="15" t="s">
        <v>22</v>
      </c>
      <c r="H20" s="15"/>
      <c r="I20" s="149">
        <v>1877.1</v>
      </c>
      <c r="J20" s="149">
        <v>2122.9</v>
      </c>
      <c r="K20" s="150">
        <f>Tabela4[[#This Row],[PECAS]]+Tabela4[[#This Row],[SERVICOS]]</f>
        <v>4000</v>
      </c>
      <c r="L20" s="149">
        <v>0</v>
      </c>
      <c r="M20" s="149">
        <v>0</v>
      </c>
      <c r="N20" s="22"/>
      <c r="O20" s="149">
        <v>170.4</v>
      </c>
      <c r="P20" s="149">
        <f>68.4+112.7</f>
        <v>181.10000000000002</v>
      </c>
      <c r="Q20" s="149">
        <v>140</v>
      </c>
      <c r="R20" s="149">
        <v>0</v>
      </c>
      <c r="S20" s="149">
        <v>140</v>
      </c>
      <c r="T20" s="149">
        <v>0</v>
      </c>
      <c r="U20" s="160">
        <v>0</v>
      </c>
      <c r="V20" s="21"/>
      <c r="W20" s="22">
        <v>3</v>
      </c>
      <c r="X20" s="149">
        <v>0</v>
      </c>
      <c r="Y20" s="18" t="s">
        <v>658</v>
      </c>
      <c r="Z20" s="149">
        <v>0</v>
      </c>
      <c r="AA20" s="149">
        <f>Tabela4[[#This Row],[VALOR]]-Tabela4[[#This Row],[PNEUS]]-Tabela4[[#This Row],[BATERIA]]</f>
        <v>4000</v>
      </c>
      <c r="AB20" s="19" t="s">
        <v>27</v>
      </c>
      <c r="AC20" s="30">
        <v>0</v>
      </c>
      <c r="AD20" s="162">
        <v>0</v>
      </c>
      <c r="AE20" s="162">
        <v>0</v>
      </c>
      <c r="AF20" s="162">
        <v>0</v>
      </c>
      <c r="AG20" s="162">
        <v>0</v>
      </c>
      <c r="AH20" s="162">
        <v>0</v>
      </c>
      <c r="AI20" s="162">
        <v>0</v>
      </c>
      <c r="AJ20" s="162">
        <v>0</v>
      </c>
    </row>
    <row r="21" spans="1:36" x14ac:dyDescent="0.25">
      <c r="A21" s="15" t="s">
        <v>291</v>
      </c>
      <c r="B21" s="15"/>
      <c r="C21" s="141">
        <v>45295</v>
      </c>
      <c r="D21" s="141">
        <v>45295</v>
      </c>
      <c r="E21">
        <f>Tabela4[[#This Row],[DATA FATURAMENTO]]-Tabela4[[#This Row],[DATA ORÇAMENTO]]</f>
        <v>0</v>
      </c>
      <c r="F21" s="15">
        <v>10182</v>
      </c>
      <c r="G21" s="15" t="s">
        <v>22</v>
      </c>
      <c r="H21" s="15"/>
      <c r="I21" s="149">
        <v>395.41</v>
      </c>
      <c r="J21" s="149">
        <v>74.59</v>
      </c>
      <c r="K21" s="150">
        <f>Tabela4[[#This Row],[PECAS]]+Tabela4[[#This Row],[SERVICOS]]</f>
        <v>470</v>
      </c>
      <c r="L21" s="149">
        <v>0</v>
      </c>
      <c r="M21" s="149">
        <v>0</v>
      </c>
      <c r="N21" s="22"/>
      <c r="O21" s="149">
        <v>0</v>
      </c>
      <c r="P21" s="149">
        <v>0</v>
      </c>
      <c r="Q21" s="149">
        <v>0</v>
      </c>
      <c r="R21" s="149">
        <v>0</v>
      </c>
      <c r="S21" s="149">
        <v>0</v>
      </c>
      <c r="T21" s="149">
        <v>0</v>
      </c>
      <c r="U21" s="160">
        <v>0</v>
      </c>
      <c r="V21" s="21"/>
      <c r="W21" s="22">
        <v>0</v>
      </c>
      <c r="X21" s="149">
        <v>0</v>
      </c>
      <c r="Y21" s="18"/>
      <c r="Z21" s="149">
        <v>0</v>
      </c>
      <c r="AA21" s="149">
        <f>Tabela4[[#This Row],[VALOR]]-Tabela4[[#This Row],[PNEUS]]-Tabela4[[#This Row],[BATERIA]]</f>
        <v>470</v>
      </c>
      <c r="AB21" s="19" t="s">
        <v>24</v>
      </c>
      <c r="AC21" s="30">
        <v>0</v>
      </c>
      <c r="AD21" s="162">
        <v>0</v>
      </c>
      <c r="AE21" s="162">
        <v>0</v>
      </c>
      <c r="AF21" s="162">
        <v>0</v>
      </c>
      <c r="AG21" s="162">
        <v>0</v>
      </c>
      <c r="AH21" s="162">
        <v>0</v>
      </c>
      <c r="AI21" s="162">
        <v>0</v>
      </c>
      <c r="AJ21" s="162">
        <v>0</v>
      </c>
    </row>
    <row r="22" spans="1:36" x14ac:dyDescent="0.25">
      <c r="A22" s="15" t="s">
        <v>140</v>
      </c>
      <c r="B22" s="15"/>
      <c r="C22" s="141">
        <v>45295</v>
      </c>
      <c r="D22" s="141">
        <v>45295</v>
      </c>
      <c r="E22">
        <f>Tabela4[[#This Row],[DATA FATURAMENTO]]-Tabela4[[#This Row],[DATA ORÇAMENTO]]</f>
        <v>0</v>
      </c>
      <c r="F22" s="15">
        <v>10183</v>
      </c>
      <c r="G22" s="15" t="s">
        <v>22</v>
      </c>
      <c r="H22" s="15"/>
      <c r="I22" s="149">
        <v>320</v>
      </c>
      <c r="J22" s="149">
        <v>369.6</v>
      </c>
      <c r="K22" s="150">
        <f>Tabela4[[#This Row],[PECAS]]+Tabela4[[#This Row],[SERVICOS]]</f>
        <v>689.6</v>
      </c>
      <c r="L22" s="149">
        <v>0</v>
      </c>
      <c r="M22" s="149">
        <v>0</v>
      </c>
      <c r="N22" s="22"/>
      <c r="O22" s="149">
        <v>221.76</v>
      </c>
      <c r="P22" s="149">
        <v>0</v>
      </c>
      <c r="Q22" s="149">
        <v>147.84</v>
      </c>
      <c r="R22" s="149">
        <v>0</v>
      </c>
      <c r="S22" s="149">
        <v>0</v>
      </c>
      <c r="T22" s="149">
        <v>0</v>
      </c>
      <c r="U22" s="160">
        <v>0</v>
      </c>
      <c r="V22" s="21"/>
      <c r="W22" s="22">
        <v>4</v>
      </c>
      <c r="X22" s="149">
        <v>0</v>
      </c>
      <c r="Y22" s="18" t="s">
        <v>659</v>
      </c>
      <c r="Z22" s="149">
        <v>0</v>
      </c>
      <c r="AA22" s="149">
        <f>Tabela4[[#This Row],[VALOR]]-Tabela4[[#This Row],[PNEUS]]-Tabela4[[#This Row],[BATERIA]]</f>
        <v>689.6</v>
      </c>
      <c r="AB22" s="19" t="s">
        <v>32</v>
      </c>
      <c r="AC22" s="30">
        <v>0</v>
      </c>
      <c r="AD22" s="162">
        <v>0</v>
      </c>
      <c r="AE22" s="162">
        <v>0</v>
      </c>
      <c r="AF22" s="162">
        <v>0</v>
      </c>
      <c r="AG22" s="162">
        <v>0</v>
      </c>
      <c r="AH22" s="162">
        <v>0</v>
      </c>
      <c r="AI22" s="162">
        <v>0</v>
      </c>
      <c r="AJ22" s="162">
        <v>0</v>
      </c>
    </row>
    <row r="23" spans="1:36" x14ac:dyDescent="0.25">
      <c r="A23" s="15" t="s">
        <v>103</v>
      </c>
      <c r="B23" s="15"/>
      <c r="C23" s="141">
        <v>45295</v>
      </c>
      <c r="D23" s="141">
        <v>45295</v>
      </c>
      <c r="E23">
        <f>Tabela4[[#This Row],[DATA FATURAMENTO]]-Tabela4[[#This Row],[DATA ORÇAMENTO]]</f>
        <v>0</v>
      </c>
      <c r="F23" s="15">
        <v>10186</v>
      </c>
      <c r="G23" s="15" t="s">
        <v>22</v>
      </c>
      <c r="H23" s="15"/>
      <c r="I23" s="149">
        <v>1218</v>
      </c>
      <c r="J23" s="149">
        <v>532</v>
      </c>
      <c r="K23" s="150">
        <f>Tabela4[[#This Row],[PECAS]]+Tabela4[[#This Row],[SERVICOS]]</f>
        <v>1750</v>
      </c>
      <c r="L23" s="149">
        <v>0</v>
      </c>
      <c r="M23" s="149">
        <v>0</v>
      </c>
      <c r="N23" s="22"/>
      <c r="O23" s="149">
        <v>0</v>
      </c>
      <c r="P23" s="149">
        <v>0</v>
      </c>
      <c r="Q23" s="149">
        <v>165</v>
      </c>
      <c r="R23" s="149">
        <v>0</v>
      </c>
      <c r="S23" s="149">
        <v>147</v>
      </c>
      <c r="T23" s="149">
        <v>0</v>
      </c>
      <c r="U23" s="160">
        <v>0</v>
      </c>
      <c r="V23" s="21"/>
      <c r="W23" s="22">
        <v>4</v>
      </c>
      <c r="X23" s="149">
        <v>0</v>
      </c>
      <c r="Y23" s="18" t="s">
        <v>645</v>
      </c>
      <c r="Z23" s="149">
        <v>0</v>
      </c>
      <c r="AA23" s="149">
        <f>Tabela4[[#This Row],[VALOR]]-Tabela4[[#This Row],[PNEUS]]-Tabela4[[#This Row],[BATERIA]]</f>
        <v>1750</v>
      </c>
      <c r="AB23" s="19" t="s">
        <v>32</v>
      </c>
      <c r="AC23" s="30">
        <v>0</v>
      </c>
      <c r="AD23" s="162">
        <v>0</v>
      </c>
      <c r="AE23" s="162">
        <v>0</v>
      </c>
      <c r="AF23" s="162">
        <v>0</v>
      </c>
      <c r="AG23" s="162">
        <v>0</v>
      </c>
      <c r="AH23" s="162">
        <v>0</v>
      </c>
      <c r="AI23" s="162">
        <v>0</v>
      </c>
      <c r="AJ23" s="162">
        <v>0</v>
      </c>
    </row>
    <row r="24" spans="1:36" x14ac:dyDescent="0.25">
      <c r="A24" s="15" t="s">
        <v>660</v>
      </c>
      <c r="B24" s="15"/>
      <c r="C24" s="141">
        <v>45296</v>
      </c>
      <c r="D24" s="141">
        <v>45296</v>
      </c>
      <c r="E24">
        <f>Tabela4[[#This Row],[DATA FATURAMENTO]]-Tabela4[[#This Row],[DATA ORÇAMENTO]]</f>
        <v>0</v>
      </c>
      <c r="F24" s="15">
        <v>10192</v>
      </c>
      <c r="G24" s="15" t="s">
        <v>22</v>
      </c>
      <c r="H24" s="15"/>
      <c r="I24" s="149">
        <v>414</v>
      </c>
      <c r="J24" s="149">
        <v>220</v>
      </c>
      <c r="K24" s="150">
        <f>Tabela4[[#This Row],[PECAS]]+Tabela4[[#This Row],[SERVICOS]]</f>
        <v>634</v>
      </c>
      <c r="L24" s="149">
        <v>0</v>
      </c>
      <c r="M24" s="149">
        <v>0</v>
      </c>
      <c r="N24" s="22"/>
      <c r="O24" s="149">
        <v>0</v>
      </c>
      <c r="P24" s="149">
        <v>0</v>
      </c>
      <c r="Q24" s="149">
        <v>0</v>
      </c>
      <c r="R24" s="149">
        <v>0</v>
      </c>
      <c r="S24" s="149">
        <v>0</v>
      </c>
      <c r="T24" s="149">
        <v>0</v>
      </c>
      <c r="U24" s="160">
        <v>0</v>
      </c>
      <c r="V24" s="21"/>
      <c r="W24" s="22">
        <v>0</v>
      </c>
      <c r="X24" s="149">
        <v>0</v>
      </c>
      <c r="Y24" s="18"/>
      <c r="Z24" s="149">
        <v>0</v>
      </c>
      <c r="AA24" s="149">
        <f>Tabela4[[#This Row],[VALOR]]-Tabela4[[#This Row],[PNEUS]]-Tabela4[[#This Row],[BATERIA]]</f>
        <v>634</v>
      </c>
      <c r="AB24" s="19" t="s">
        <v>32</v>
      </c>
      <c r="AC24" s="30">
        <v>0</v>
      </c>
      <c r="AD24" s="162">
        <v>0</v>
      </c>
      <c r="AE24" s="162">
        <v>0</v>
      </c>
      <c r="AF24" s="162">
        <v>0</v>
      </c>
      <c r="AG24" s="162">
        <v>0</v>
      </c>
      <c r="AH24" s="162">
        <v>0</v>
      </c>
      <c r="AI24" s="162">
        <v>0</v>
      </c>
      <c r="AJ24" s="162">
        <v>0</v>
      </c>
    </row>
    <row r="25" spans="1:36" x14ac:dyDescent="0.25">
      <c r="A25" s="15" t="s">
        <v>329</v>
      </c>
      <c r="B25" s="15"/>
      <c r="C25" s="141">
        <v>45296</v>
      </c>
      <c r="D25" s="141">
        <v>45296</v>
      </c>
      <c r="E25">
        <f>Tabela4[[#This Row],[DATA FATURAMENTO]]-Tabela4[[#This Row],[DATA ORÇAMENTO]]</f>
        <v>0</v>
      </c>
      <c r="F25" s="15">
        <v>10193</v>
      </c>
      <c r="G25" s="15" t="s">
        <v>35</v>
      </c>
      <c r="H25" s="15"/>
      <c r="I25" s="149">
        <v>485</v>
      </c>
      <c r="J25" s="149">
        <v>0</v>
      </c>
      <c r="K25" s="150">
        <f>Tabela4[[#This Row],[PECAS]]+Tabela4[[#This Row],[SERVICOS]]</f>
        <v>485</v>
      </c>
      <c r="L25" s="149">
        <v>0</v>
      </c>
      <c r="M25" s="149">
        <v>0</v>
      </c>
      <c r="N25" s="22"/>
      <c r="O25" s="149">
        <v>0</v>
      </c>
      <c r="P25" s="149">
        <v>0</v>
      </c>
      <c r="Q25" s="149">
        <v>0</v>
      </c>
      <c r="R25" s="149">
        <v>0</v>
      </c>
      <c r="S25" s="149">
        <v>0</v>
      </c>
      <c r="T25" s="149">
        <v>0</v>
      </c>
      <c r="U25" s="160">
        <v>485</v>
      </c>
      <c r="V25" s="21" t="s">
        <v>661</v>
      </c>
      <c r="W25" s="22">
        <v>0</v>
      </c>
      <c r="X25" s="149">
        <v>0</v>
      </c>
      <c r="Y25" s="18"/>
      <c r="Z25" s="149">
        <v>0</v>
      </c>
      <c r="AA25" s="149">
        <f>K25-U25-T25</f>
        <v>0</v>
      </c>
      <c r="AB25" s="19" t="s">
        <v>6</v>
      </c>
      <c r="AC25" s="30">
        <v>0</v>
      </c>
      <c r="AD25" s="162">
        <v>0</v>
      </c>
      <c r="AE25" s="162">
        <v>0</v>
      </c>
      <c r="AF25" s="162">
        <v>0</v>
      </c>
      <c r="AG25" s="162">
        <v>0</v>
      </c>
      <c r="AH25" s="162">
        <v>0</v>
      </c>
      <c r="AI25" s="162">
        <v>0</v>
      </c>
      <c r="AJ25" s="162">
        <v>0</v>
      </c>
    </row>
    <row r="26" spans="1:36" x14ac:dyDescent="0.25">
      <c r="A26" s="15" t="s">
        <v>662</v>
      </c>
      <c r="B26" s="15"/>
      <c r="C26" s="141">
        <v>45296</v>
      </c>
      <c r="D26" s="141">
        <v>45296</v>
      </c>
      <c r="E26">
        <f>Tabela4[[#This Row],[DATA FATURAMENTO]]-Tabela4[[#This Row],[DATA ORÇAMENTO]]</f>
        <v>0</v>
      </c>
      <c r="F26" s="15">
        <v>10194</v>
      </c>
      <c r="G26" s="15" t="s">
        <v>35</v>
      </c>
      <c r="H26" s="15"/>
      <c r="I26" s="149">
        <v>2112.5</v>
      </c>
      <c r="J26" s="149">
        <v>1455</v>
      </c>
      <c r="K26" s="150">
        <f>Tabela4[[#This Row],[PECAS]]+Tabela4[[#This Row],[SERVICOS]]</f>
        <v>3567.5</v>
      </c>
      <c r="L26" s="149">
        <v>0</v>
      </c>
      <c r="M26" s="149">
        <f>75+27</f>
        <v>102</v>
      </c>
      <c r="N26" s="22"/>
      <c r="O26" s="149">
        <v>220</v>
      </c>
      <c r="P26" s="149">
        <v>0</v>
      </c>
      <c r="Q26" s="149">
        <v>0</v>
      </c>
      <c r="R26" s="149">
        <v>0</v>
      </c>
      <c r="S26" s="149">
        <v>0</v>
      </c>
      <c r="T26" s="149">
        <v>0</v>
      </c>
      <c r="U26" s="160">
        <v>0</v>
      </c>
      <c r="V26" s="21"/>
      <c r="W26" s="22">
        <v>0</v>
      </c>
      <c r="X26" s="149">
        <v>0</v>
      </c>
      <c r="Y26" s="18"/>
      <c r="Z26" s="149">
        <v>0</v>
      </c>
      <c r="AA26" s="149">
        <f>Tabela4[[#This Row],[VALOR]]-Tabela4[[#This Row],[PNEUS]]-Tabela4[[#This Row],[BATERIA]]</f>
        <v>3567.5</v>
      </c>
      <c r="AB26" s="19" t="s">
        <v>24</v>
      </c>
      <c r="AC26" s="30">
        <v>0</v>
      </c>
      <c r="AD26" s="162">
        <v>0</v>
      </c>
      <c r="AE26" s="162">
        <v>0</v>
      </c>
      <c r="AF26" s="162">
        <v>0</v>
      </c>
      <c r="AG26" s="162">
        <v>0</v>
      </c>
      <c r="AH26" s="162">
        <v>0</v>
      </c>
      <c r="AI26" s="162">
        <v>0</v>
      </c>
      <c r="AJ26" s="162">
        <v>0</v>
      </c>
    </row>
    <row r="27" spans="1:36" x14ac:dyDescent="0.25">
      <c r="A27" s="15" t="s">
        <v>663</v>
      </c>
      <c r="B27" s="15"/>
      <c r="C27" s="141">
        <v>45296</v>
      </c>
      <c r="D27" s="141">
        <v>45296</v>
      </c>
      <c r="E27">
        <f>Tabela4[[#This Row],[DATA FATURAMENTO]]-Tabela4[[#This Row],[DATA ORÇAMENTO]]</f>
        <v>0</v>
      </c>
      <c r="F27" s="15">
        <v>10199</v>
      </c>
      <c r="G27" s="15" t="s">
        <v>31</v>
      </c>
      <c r="H27" s="15"/>
      <c r="I27" s="149">
        <v>1066.3</v>
      </c>
      <c r="J27" s="149">
        <v>235.62</v>
      </c>
      <c r="K27" s="150">
        <f>Tabela4[[#This Row],[PECAS]]+Tabela4[[#This Row],[SERVICOS]]</f>
        <v>1301.92</v>
      </c>
      <c r="L27" s="149">
        <v>0</v>
      </c>
      <c r="M27" s="149">
        <v>0</v>
      </c>
      <c r="N27" s="22"/>
      <c r="O27" s="149">
        <v>0</v>
      </c>
      <c r="P27" s="149">
        <v>0</v>
      </c>
      <c r="Q27" s="149">
        <v>0</v>
      </c>
      <c r="R27" s="149">
        <v>0</v>
      </c>
      <c r="S27" s="149">
        <v>0</v>
      </c>
      <c r="T27" s="149">
        <v>0</v>
      </c>
      <c r="U27" s="160">
        <v>475</v>
      </c>
      <c r="V27" s="21" t="s">
        <v>664</v>
      </c>
      <c r="W27" s="22">
        <v>0</v>
      </c>
      <c r="X27" s="149">
        <v>0</v>
      </c>
      <c r="Y27" s="18"/>
      <c r="Z27" s="149">
        <v>0</v>
      </c>
      <c r="AA27" s="149">
        <f>Tabela4[[#This Row],[VALOR]]-Tabela4[[#This Row],[PNEUS]]-Tabela4[[#This Row],[BATERIA]]</f>
        <v>826.92000000000007</v>
      </c>
      <c r="AB27" s="19" t="s">
        <v>30</v>
      </c>
      <c r="AC27" s="30">
        <v>0</v>
      </c>
      <c r="AD27" s="162">
        <v>0</v>
      </c>
      <c r="AE27" s="162">
        <v>0</v>
      </c>
      <c r="AF27" s="162">
        <v>0</v>
      </c>
      <c r="AG27" s="162">
        <v>0</v>
      </c>
      <c r="AH27" s="162">
        <v>0</v>
      </c>
      <c r="AI27" s="162">
        <v>0</v>
      </c>
      <c r="AJ27" s="162">
        <v>0</v>
      </c>
    </row>
    <row r="28" spans="1:36" x14ac:dyDescent="0.25">
      <c r="A28" s="15" t="s">
        <v>665</v>
      </c>
      <c r="B28" s="15"/>
      <c r="C28" s="141">
        <v>45296</v>
      </c>
      <c r="D28" s="141">
        <v>45296</v>
      </c>
      <c r="E28">
        <f>Tabela4[[#This Row],[DATA FATURAMENTO]]-Tabela4[[#This Row],[DATA ORÇAMENTO]]</f>
        <v>0</v>
      </c>
      <c r="F28" s="15">
        <v>10204</v>
      </c>
      <c r="G28" s="15" t="s">
        <v>31</v>
      </c>
      <c r="H28" s="15" t="s">
        <v>666</v>
      </c>
      <c r="I28" s="149">
        <v>100</v>
      </c>
      <c r="J28" s="149">
        <v>0</v>
      </c>
      <c r="K28" s="150">
        <f>Tabela4[[#This Row],[PECAS]]+Tabela4[[#This Row],[SERVICOS]]</f>
        <v>100</v>
      </c>
      <c r="L28" s="149">
        <v>0</v>
      </c>
      <c r="M28" s="149">
        <v>0</v>
      </c>
      <c r="N28" s="22"/>
      <c r="O28" s="149">
        <v>0</v>
      </c>
      <c r="P28" s="149">
        <v>0</v>
      </c>
      <c r="Q28" s="149">
        <v>0</v>
      </c>
      <c r="R28" s="149">
        <v>0</v>
      </c>
      <c r="S28" s="149">
        <v>0</v>
      </c>
      <c r="T28" s="149">
        <v>0</v>
      </c>
      <c r="U28" s="160">
        <v>0</v>
      </c>
      <c r="V28" s="21"/>
      <c r="W28" s="22">
        <v>0</v>
      </c>
      <c r="X28" s="149">
        <v>0</v>
      </c>
      <c r="Y28" s="18"/>
      <c r="Z28" s="149">
        <v>0</v>
      </c>
      <c r="AA28" s="149">
        <f>K28-U28-T28</f>
        <v>100</v>
      </c>
      <c r="AB28" s="19" t="s">
        <v>38</v>
      </c>
      <c r="AC28" s="30">
        <v>0</v>
      </c>
      <c r="AD28" s="162">
        <v>0</v>
      </c>
      <c r="AE28" s="162">
        <v>0</v>
      </c>
      <c r="AF28" s="162">
        <v>0</v>
      </c>
      <c r="AG28" s="162">
        <v>0</v>
      </c>
      <c r="AH28" s="162">
        <v>0</v>
      </c>
      <c r="AI28" s="162">
        <v>0</v>
      </c>
      <c r="AJ28" s="162">
        <v>0</v>
      </c>
    </row>
    <row r="29" spans="1:36" x14ac:dyDescent="0.25">
      <c r="A29" s="15" t="s">
        <v>211</v>
      </c>
      <c r="B29" s="15"/>
      <c r="C29" s="141">
        <v>45286</v>
      </c>
      <c r="D29" s="141">
        <v>45297</v>
      </c>
      <c r="E29">
        <f>Tabela4[[#This Row],[DATA FATURAMENTO]]-Tabela4[[#This Row],[DATA ORÇAMENTO]]</f>
        <v>11</v>
      </c>
      <c r="F29" s="15">
        <v>10104</v>
      </c>
      <c r="G29" s="15" t="s">
        <v>35</v>
      </c>
      <c r="H29" s="15"/>
      <c r="I29" s="149">
        <v>3293.2</v>
      </c>
      <c r="J29" s="149">
        <v>1790.72</v>
      </c>
      <c r="K29" s="150">
        <f>Tabela4[[#This Row],[PECAS]]+Tabela4[[#This Row],[SERVICOS]]</f>
        <v>5083.92</v>
      </c>
      <c r="L29" s="149">
        <v>0</v>
      </c>
      <c r="M29" s="149">
        <v>335</v>
      </c>
      <c r="N29" s="22"/>
      <c r="O29" s="149">
        <v>0</v>
      </c>
      <c r="P29" s="149">
        <v>0</v>
      </c>
      <c r="Q29" s="149">
        <v>0</v>
      </c>
      <c r="R29" s="149">
        <v>0</v>
      </c>
      <c r="S29" s="149">
        <v>0</v>
      </c>
      <c r="T29" s="149">
        <v>0</v>
      </c>
      <c r="U29" s="160">
        <v>0</v>
      </c>
      <c r="V29" s="21"/>
      <c r="W29" s="22">
        <v>0</v>
      </c>
      <c r="X29" s="149">
        <v>0</v>
      </c>
      <c r="Y29" s="18"/>
      <c r="Z29" s="149">
        <v>0</v>
      </c>
      <c r="AA29" s="149">
        <f>Tabela4[[#This Row],[VALOR]]-Tabela4[[#This Row],[PNEUS]]-Tabela4[[#This Row],[BATERIA]]</f>
        <v>5083.92</v>
      </c>
      <c r="AB29" s="19" t="s">
        <v>24</v>
      </c>
      <c r="AC29" s="30">
        <v>0</v>
      </c>
      <c r="AD29" s="162">
        <v>0</v>
      </c>
      <c r="AE29" s="162">
        <v>0</v>
      </c>
      <c r="AF29" s="162">
        <v>0</v>
      </c>
      <c r="AG29" s="162">
        <v>0</v>
      </c>
      <c r="AH29" s="162">
        <v>0</v>
      </c>
      <c r="AI29" s="162">
        <v>0</v>
      </c>
      <c r="AJ29" s="162">
        <v>0</v>
      </c>
    </row>
    <row r="30" spans="1:36" x14ac:dyDescent="0.25">
      <c r="A30" s="15" t="s">
        <v>667</v>
      </c>
      <c r="B30" s="15"/>
      <c r="C30" s="141">
        <v>45287</v>
      </c>
      <c r="D30" s="141">
        <v>45297</v>
      </c>
      <c r="E30">
        <f>Tabela4[[#This Row],[DATA FATURAMENTO]]-Tabela4[[#This Row],[DATA ORÇAMENTO]]</f>
        <v>10</v>
      </c>
      <c r="F30" s="15">
        <v>10113</v>
      </c>
      <c r="G30" s="15" t="s">
        <v>28</v>
      </c>
      <c r="H30" s="15"/>
      <c r="I30" s="149">
        <v>5064.3999999999996</v>
      </c>
      <c r="J30" s="149">
        <v>1120.4000000000001</v>
      </c>
      <c r="K30" s="150">
        <f>Tabela4[[#This Row],[PECAS]]+Tabela4[[#This Row],[SERVICOS]]</f>
        <v>6184.7999999999993</v>
      </c>
      <c r="L30" s="149">
        <v>0</v>
      </c>
      <c r="M30" s="149">
        <v>0</v>
      </c>
      <c r="N30" s="22"/>
      <c r="O30" s="149">
        <v>0</v>
      </c>
      <c r="P30" s="149">
        <v>0</v>
      </c>
      <c r="Q30" s="149">
        <v>0</v>
      </c>
      <c r="R30" s="149">
        <v>0</v>
      </c>
      <c r="S30" s="149">
        <v>65</v>
      </c>
      <c r="T30" s="149">
        <v>2423.6</v>
      </c>
      <c r="U30" s="160">
        <v>0</v>
      </c>
      <c r="V30" s="21"/>
      <c r="W30" s="22">
        <v>3</v>
      </c>
      <c r="X30" s="149">
        <v>0</v>
      </c>
      <c r="Y30" s="18" t="s">
        <v>654</v>
      </c>
      <c r="Z30" s="149">
        <v>65</v>
      </c>
      <c r="AA30" s="149">
        <f>Tabela4[[#This Row],[VALOR]]-Tabela4[[#This Row],[PNEUS]]-Tabela4[[#This Row],[BATERIA]]</f>
        <v>3761.1999999999994</v>
      </c>
      <c r="AB30" s="19" t="s">
        <v>24</v>
      </c>
      <c r="AC30" s="30">
        <v>0</v>
      </c>
      <c r="AD30" s="162">
        <v>0</v>
      </c>
      <c r="AE30" s="162">
        <v>0</v>
      </c>
      <c r="AF30" s="162">
        <v>0</v>
      </c>
      <c r="AG30" s="162">
        <v>0</v>
      </c>
      <c r="AH30" s="162">
        <v>0</v>
      </c>
      <c r="AI30" s="162">
        <v>0</v>
      </c>
      <c r="AJ30" s="162">
        <v>0</v>
      </c>
    </row>
    <row r="31" spans="1:36" x14ac:dyDescent="0.25">
      <c r="A31" s="15" t="s">
        <v>668</v>
      </c>
      <c r="B31" s="15"/>
      <c r="C31" s="141">
        <v>45287</v>
      </c>
      <c r="D31" s="141">
        <v>45297</v>
      </c>
      <c r="E31">
        <f>Tabela4[[#This Row],[DATA FATURAMENTO]]-Tabela4[[#This Row],[DATA ORÇAMENTO]]</f>
        <v>10</v>
      </c>
      <c r="F31" s="15">
        <v>10123</v>
      </c>
      <c r="G31" s="15" t="s">
        <v>22</v>
      </c>
      <c r="H31" s="15"/>
      <c r="I31" s="149">
        <v>899.5</v>
      </c>
      <c r="J31" s="149">
        <v>650.5</v>
      </c>
      <c r="K31" s="150">
        <f>Tabela4[[#This Row],[PECAS]]+Tabela4[[#This Row],[SERVICOS]]</f>
        <v>1550</v>
      </c>
      <c r="L31" s="149">
        <v>0</v>
      </c>
      <c r="M31" s="149">
        <v>112.5</v>
      </c>
      <c r="N31" s="22"/>
      <c r="O31" s="149">
        <v>0</v>
      </c>
      <c r="P31" s="149">
        <v>0</v>
      </c>
      <c r="Q31" s="149">
        <v>0</v>
      </c>
      <c r="R31" s="149">
        <v>0</v>
      </c>
      <c r="S31" s="149">
        <v>0</v>
      </c>
      <c r="T31" s="149">
        <v>0</v>
      </c>
      <c r="U31" s="160">
        <v>0</v>
      </c>
      <c r="V31" s="21"/>
      <c r="W31" s="22">
        <v>4</v>
      </c>
      <c r="X31" s="149">
        <v>0</v>
      </c>
      <c r="Y31" s="18" t="s">
        <v>658</v>
      </c>
      <c r="Z31" s="149">
        <v>0</v>
      </c>
      <c r="AA31" s="149">
        <f>Tabela4[[#This Row],[VALOR]]-Tabela4[[#This Row],[PNEUS]]-Tabela4[[#This Row],[BATERIA]]</f>
        <v>1550</v>
      </c>
      <c r="AB31" s="19" t="s">
        <v>30</v>
      </c>
      <c r="AC31" s="30">
        <v>0</v>
      </c>
      <c r="AD31" s="162">
        <v>0</v>
      </c>
      <c r="AE31" s="162">
        <v>0</v>
      </c>
      <c r="AF31" s="162">
        <v>0</v>
      </c>
      <c r="AG31" s="162">
        <v>0</v>
      </c>
      <c r="AH31" s="162">
        <v>0</v>
      </c>
      <c r="AI31" s="162">
        <v>0</v>
      </c>
      <c r="AJ31" s="162">
        <v>0</v>
      </c>
    </row>
    <row r="32" spans="1:36" x14ac:dyDescent="0.25">
      <c r="A32" s="15" t="s">
        <v>669</v>
      </c>
      <c r="B32" s="15"/>
      <c r="C32" s="141">
        <v>45296</v>
      </c>
      <c r="D32" s="141">
        <v>45297</v>
      </c>
      <c r="E32">
        <f>Tabela4[[#This Row],[DATA FATURAMENTO]]-Tabela4[[#This Row],[DATA ORÇAMENTO]]</f>
        <v>1</v>
      </c>
      <c r="F32" s="15">
        <v>10203</v>
      </c>
      <c r="G32" s="15" t="s">
        <v>22</v>
      </c>
      <c r="H32" s="15"/>
      <c r="I32" s="149">
        <v>0</v>
      </c>
      <c r="J32" s="149">
        <v>170</v>
      </c>
      <c r="K32" s="150">
        <f>Tabela4[[#This Row],[PECAS]]+Tabela4[[#This Row],[SERVICOS]]</f>
        <v>170</v>
      </c>
      <c r="L32" s="149">
        <v>0</v>
      </c>
      <c r="M32" s="149">
        <v>0</v>
      </c>
      <c r="N32" s="22"/>
      <c r="O32" s="149">
        <v>0</v>
      </c>
      <c r="P32" s="149">
        <v>0</v>
      </c>
      <c r="Q32" s="149">
        <v>0</v>
      </c>
      <c r="R32" s="149">
        <v>0</v>
      </c>
      <c r="S32" s="149">
        <v>170</v>
      </c>
      <c r="T32" s="149">
        <v>0</v>
      </c>
      <c r="U32" s="160">
        <v>0</v>
      </c>
      <c r="V32" s="21"/>
      <c r="W32" s="22">
        <v>0</v>
      </c>
      <c r="X32" s="149">
        <v>0</v>
      </c>
      <c r="Y32" s="18"/>
      <c r="Z32" s="149">
        <v>0</v>
      </c>
      <c r="AA32" s="149">
        <f>Tabela4[[#This Row],[VALOR]]-Tabela4[[#This Row],[PNEUS]]-Tabela4[[#This Row],[BATERIA]]</f>
        <v>170</v>
      </c>
      <c r="AB32" s="19" t="s">
        <v>38</v>
      </c>
      <c r="AC32" s="30">
        <v>0</v>
      </c>
      <c r="AD32" s="162">
        <v>0</v>
      </c>
      <c r="AE32" s="162">
        <v>0</v>
      </c>
      <c r="AF32" s="162">
        <v>0</v>
      </c>
      <c r="AG32" s="162">
        <v>0</v>
      </c>
      <c r="AH32" s="162">
        <v>0</v>
      </c>
      <c r="AI32" s="162">
        <v>0</v>
      </c>
      <c r="AJ32" s="162">
        <v>0</v>
      </c>
    </row>
    <row r="33" spans="1:36" x14ac:dyDescent="0.25">
      <c r="A33" s="15" t="s">
        <v>670</v>
      </c>
      <c r="B33" s="15"/>
      <c r="C33" s="141">
        <v>45296</v>
      </c>
      <c r="D33" s="141">
        <v>45297</v>
      </c>
      <c r="E33">
        <f>Tabela4[[#This Row],[DATA FATURAMENTO]]-Tabela4[[#This Row],[DATA ORÇAMENTO]]</f>
        <v>1</v>
      </c>
      <c r="F33" s="15">
        <v>10213</v>
      </c>
      <c r="G33" s="15" t="s">
        <v>35</v>
      </c>
      <c r="H33" s="15"/>
      <c r="I33" s="149">
        <v>0</v>
      </c>
      <c r="J33" s="149">
        <v>234.6</v>
      </c>
      <c r="K33" s="150">
        <f>Tabela4[[#This Row],[PECAS]]+Tabela4[[#This Row],[SERVICOS]]</f>
        <v>234.6</v>
      </c>
      <c r="L33" s="149">
        <v>0</v>
      </c>
      <c r="M33" s="149">
        <v>0</v>
      </c>
      <c r="N33" s="22"/>
      <c r="O33" s="149">
        <v>0</v>
      </c>
      <c r="P33" s="149">
        <v>0</v>
      </c>
      <c r="Q33" s="149">
        <v>0</v>
      </c>
      <c r="R33" s="149">
        <v>0</v>
      </c>
      <c r="S33" s="149">
        <v>0</v>
      </c>
      <c r="T33" s="149">
        <v>0</v>
      </c>
      <c r="U33" s="160">
        <v>0</v>
      </c>
      <c r="V33" s="21"/>
      <c r="W33" s="22">
        <v>0</v>
      </c>
      <c r="X33" s="149">
        <v>0</v>
      </c>
      <c r="Y33" s="18"/>
      <c r="Z33" s="149">
        <v>0</v>
      </c>
      <c r="AA33" s="149">
        <f>Tabela4[[#This Row],[VALOR]]-Tabela4[[#This Row],[PNEUS]]-Tabela4[[#This Row],[BATERIA]]</f>
        <v>234.6</v>
      </c>
      <c r="AB33" s="19" t="s">
        <v>27</v>
      </c>
      <c r="AC33" s="30">
        <v>0</v>
      </c>
      <c r="AD33" s="162">
        <v>0</v>
      </c>
      <c r="AE33" s="162">
        <v>0</v>
      </c>
      <c r="AF33" s="162">
        <v>0</v>
      </c>
      <c r="AG33" s="162">
        <v>0</v>
      </c>
      <c r="AH33" s="162">
        <v>0</v>
      </c>
      <c r="AI33" s="162">
        <v>0</v>
      </c>
      <c r="AJ33" s="162">
        <v>0</v>
      </c>
    </row>
    <row r="34" spans="1:36" x14ac:dyDescent="0.25">
      <c r="A34" s="15" t="s">
        <v>671</v>
      </c>
      <c r="B34" s="15"/>
      <c r="C34" s="141">
        <v>45297</v>
      </c>
      <c r="D34" s="141">
        <v>45297</v>
      </c>
      <c r="E34">
        <f>Tabela4[[#This Row],[DATA FATURAMENTO]]-Tabela4[[#This Row],[DATA ORÇAMENTO]]</f>
        <v>0</v>
      </c>
      <c r="F34" s="15">
        <v>10207</v>
      </c>
      <c r="G34" s="15" t="s">
        <v>31</v>
      </c>
      <c r="H34" s="15"/>
      <c r="I34" s="149">
        <v>110</v>
      </c>
      <c r="J34" s="149">
        <v>50</v>
      </c>
      <c r="K34" s="150">
        <f>Tabela4[[#This Row],[PECAS]]+Tabela4[[#This Row],[SERVICOS]]</f>
        <v>160</v>
      </c>
      <c r="L34" s="149">
        <v>0</v>
      </c>
      <c r="M34" s="149">
        <v>0</v>
      </c>
      <c r="N34" s="22"/>
      <c r="O34" s="149">
        <v>0</v>
      </c>
      <c r="P34" s="149">
        <v>0</v>
      </c>
      <c r="Q34" s="149">
        <v>0</v>
      </c>
      <c r="R34" s="149">
        <v>0</v>
      </c>
      <c r="S34" s="149">
        <v>0</v>
      </c>
      <c r="T34" s="149">
        <v>0</v>
      </c>
      <c r="U34" s="160">
        <v>0</v>
      </c>
      <c r="V34" s="21"/>
      <c r="W34" s="22">
        <v>4</v>
      </c>
      <c r="X34" s="149">
        <v>0</v>
      </c>
      <c r="Y34" s="18" t="s">
        <v>635</v>
      </c>
      <c r="Z34" s="149">
        <v>205</v>
      </c>
      <c r="AA34" s="149">
        <f>Tabela4[[#This Row],[VALOR]]-Tabela4[[#This Row],[PNEUS]]-Tabela4[[#This Row],[BATERIA]]</f>
        <v>160</v>
      </c>
      <c r="AB34" s="19" t="s">
        <v>30</v>
      </c>
      <c r="AC34" s="30">
        <v>0</v>
      </c>
      <c r="AD34" s="162">
        <v>0</v>
      </c>
      <c r="AE34" s="162">
        <v>0</v>
      </c>
      <c r="AF34" s="162">
        <v>0</v>
      </c>
      <c r="AG34" s="162">
        <v>0</v>
      </c>
      <c r="AH34" s="162">
        <v>0</v>
      </c>
      <c r="AI34" s="162">
        <v>0</v>
      </c>
      <c r="AJ34" s="162">
        <v>0</v>
      </c>
    </row>
    <row r="35" spans="1:36" x14ac:dyDescent="0.25">
      <c r="A35" s="15" t="s">
        <v>672</v>
      </c>
      <c r="B35" s="15"/>
      <c r="C35" s="141">
        <v>45297</v>
      </c>
      <c r="D35" s="141">
        <v>45297</v>
      </c>
      <c r="E35">
        <f>Tabela4[[#This Row],[DATA FATURAMENTO]]-Tabela4[[#This Row],[DATA ORÇAMENTO]]</f>
        <v>0</v>
      </c>
      <c r="F35" s="15">
        <v>10209</v>
      </c>
      <c r="G35" s="15" t="s">
        <v>31</v>
      </c>
      <c r="H35" s="15"/>
      <c r="I35" s="149">
        <v>885.8</v>
      </c>
      <c r="J35" s="149">
        <v>594.20000000000005</v>
      </c>
      <c r="K35" s="150">
        <f>Tabela4[[#This Row],[PECAS]]+Tabela4[[#This Row],[SERVICOS]]</f>
        <v>1480</v>
      </c>
      <c r="L35" s="149">
        <v>0</v>
      </c>
      <c r="M35" s="149">
        <v>0</v>
      </c>
      <c r="N35" s="22"/>
      <c r="O35" s="149">
        <v>220</v>
      </c>
      <c r="P35" s="149">
        <v>0</v>
      </c>
      <c r="Q35" s="149">
        <v>0</v>
      </c>
      <c r="R35" s="149">
        <v>0</v>
      </c>
      <c r="S35" s="149">
        <v>205</v>
      </c>
      <c r="T35" s="149">
        <v>0</v>
      </c>
      <c r="U35" s="160">
        <v>0</v>
      </c>
      <c r="V35" s="21"/>
      <c r="W35" s="22">
        <v>4</v>
      </c>
      <c r="X35" s="149">
        <v>0</v>
      </c>
      <c r="Y35" s="18" t="s">
        <v>638</v>
      </c>
      <c r="Z35" s="149">
        <v>0</v>
      </c>
      <c r="AA35" s="149">
        <f>Tabela4[[#This Row],[VALOR]]-Tabela4[[#This Row],[PNEUS]]-Tabela4[[#This Row],[BATERIA]]</f>
        <v>1480</v>
      </c>
      <c r="AB35" s="19" t="s">
        <v>30</v>
      </c>
      <c r="AC35" s="30">
        <v>0</v>
      </c>
      <c r="AD35" s="162">
        <v>0</v>
      </c>
      <c r="AE35" s="162">
        <v>0</v>
      </c>
      <c r="AF35" s="162">
        <v>0</v>
      </c>
      <c r="AG35" s="162">
        <v>0</v>
      </c>
      <c r="AH35" s="162">
        <v>0</v>
      </c>
      <c r="AI35" s="162">
        <v>0</v>
      </c>
      <c r="AJ35" s="162">
        <v>0</v>
      </c>
    </row>
    <row r="36" spans="1:36" x14ac:dyDescent="0.25">
      <c r="A36" s="15" t="s">
        <v>673</v>
      </c>
      <c r="B36" s="15"/>
      <c r="C36" s="141">
        <v>45297</v>
      </c>
      <c r="D36" s="141">
        <v>45297</v>
      </c>
      <c r="E36">
        <f>Tabela4[[#This Row],[DATA FATURAMENTO]]-Tabela4[[#This Row],[DATA ORÇAMENTO]]</f>
        <v>0</v>
      </c>
      <c r="F36" s="15">
        <v>10216</v>
      </c>
      <c r="G36" s="15" t="s">
        <v>22</v>
      </c>
      <c r="H36" s="15"/>
      <c r="I36" s="149">
        <v>304.2</v>
      </c>
      <c r="J36" s="149">
        <v>0</v>
      </c>
      <c r="K36" s="150">
        <f>Tabela4[[#This Row],[PECAS]]+Tabela4[[#This Row],[SERVICOS]]</f>
        <v>304.2</v>
      </c>
      <c r="L36" s="149">
        <v>0</v>
      </c>
      <c r="M36" s="149">
        <v>0</v>
      </c>
      <c r="N36" s="22"/>
      <c r="O36" s="149">
        <v>0</v>
      </c>
      <c r="P36" s="149">
        <v>0</v>
      </c>
      <c r="Q36" s="149">
        <v>0</v>
      </c>
      <c r="R36" s="149">
        <v>0</v>
      </c>
      <c r="S36" s="149">
        <v>0</v>
      </c>
      <c r="T36" s="149">
        <v>0</v>
      </c>
      <c r="U36" s="160">
        <v>0</v>
      </c>
      <c r="V36" s="21"/>
      <c r="W36" s="22">
        <v>0</v>
      </c>
      <c r="X36" s="149">
        <v>0</v>
      </c>
      <c r="Y36" s="18"/>
      <c r="Z36" s="149">
        <v>0</v>
      </c>
      <c r="AA36" s="149">
        <f>K36-U36-T36</f>
        <v>304.2</v>
      </c>
      <c r="AB36" s="19" t="s">
        <v>34</v>
      </c>
      <c r="AC36" s="30">
        <v>0</v>
      </c>
      <c r="AD36" s="162">
        <v>0</v>
      </c>
      <c r="AE36" s="162">
        <v>0</v>
      </c>
      <c r="AF36" s="162">
        <v>0</v>
      </c>
      <c r="AG36" s="162">
        <v>0</v>
      </c>
      <c r="AH36" s="162">
        <v>0</v>
      </c>
      <c r="AI36" s="162">
        <v>0</v>
      </c>
      <c r="AJ36" s="162">
        <v>0</v>
      </c>
    </row>
    <row r="37" spans="1:36" x14ac:dyDescent="0.25">
      <c r="A37" s="15" t="s">
        <v>674</v>
      </c>
      <c r="B37" s="15"/>
      <c r="C37" s="141">
        <v>45297</v>
      </c>
      <c r="D37" s="141">
        <v>45297</v>
      </c>
      <c r="E37">
        <f>Tabela4[[#This Row],[DATA FATURAMENTO]]-Tabela4[[#This Row],[DATA ORÇAMENTO]]</f>
        <v>0</v>
      </c>
      <c r="F37" s="15">
        <v>10212</v>
      </c>
      <c r="G37" s="15" t="s">
        <v>22</v>
      </c>
      <c r="H37" s="15"/>
      <c r="I37" s="149">
        <v>998</v>
      </c>
      <c r="J37" s="149">
        <v>251</v>
      </c>
      <c r="K37" s="150">
        <f>Tabela4[[#This Row],[PECAS]]+Tabela4[[#This Row],[SERVICOS]]</f>
        <v>1249</v>
      </c>
      <c r="L37" s="149">
        <v>0</v>
      </c>
      <c r="M37" s="149">
        <v>0</v>
      </c>
      <c r="N37" s="22"/>
      <c r="O37" s="149">
        <v>0</v>
      </c>
      <c r="P37" s="149">
        <v>0</v>
      </c>
      <c r="Q37" s="149">
        <v>0</v>
      </c>
      <c r="R37" s="149">
        <v>0</v>
      </c>
      <c r="S37" s="149">
        <v>0</v>
      </c>
      <c r="T37" s="149">
        <v>0</v>
      </c>
      <c r="U37" s="160">
        <v>0</v>
      </c>
      <c r="V37" s="21"/>
      <c r="W37" s="22">
        <v>0</v>
      </c>
      <c r="X37" s="149">
        <v>0</v>
      </c>
      <c r="Y37" s="18"/>
      <c r="Z37" s="149">
        <v>0</v>
      </c>
      <c r="AA37" s="149">
        <f>Tabela4[[#This Row],[VALOR]]-Tabela4[[#This Row],[PNEUS]]-Tabela4[[#This Row],[BATERIA]]</f>
        <v>1249</v>
      </c>
      <c r="AB37" s="19" t="s">
        <v>27</v>
      </c>
      <c r="AC37" s="30">
        <v>0</v>
      </c>
      <c r="AD37" s="162">
        <v>0</v>
      </c>
      <c r="AE37" s="162">
        <v>0</v>
      </c>
      <c r="AF37" s="162">
        <v>0</v>
      </c>
      <c r="AG37" s="162">
        <v>0</v>
      </c>
      <c r="AH37" s="162">
        <v>0</v>
      </c>
      <c r="AI37" s="162">
        <v>0</v>
      </c>
      <c r="AJ37" s="162">
        <v>0</v>
      </c>
    </row>
    <row r="38" spans="1:36" x14ac:dyDescent="0.25">
      <c r="A38" s="15" t="s">
        <v>675</v>
      </c>
      <c r="B38" s="15"/>
      <c r="C38" s="141">
        <v>45299</v>
      </c>
      <c r="D38" s="141">
        <v>45299</v>
      </c>
      <c r="E38">
        <f>Tabela4[[#This Row],[DATA FATURAMENTO]]-Tabela4[[#This Row],[DATA ORÇAMENTO]]</f>
        <v>0</v>
      </c>
      <c r="F38" s="15">
        <v>10221</v>
      </c>
      <c r="G38" s="15" t="s">
        <v>22</v>
      </c>
      <c r="H38" s="15"/>
      <c r="I38" s="149">
        <v>0</v>
      </c>
      <c r="J38" s="149">
        <v>128.41</v>
      </c>
      <c r="K38" s="150">
        <f>Tabela4[[#This Row],[PECAS]]+Tabela4[[#This Row],[SERVICOS]]</f>
        <v>128.41</v>
      </c>
      <c r="L38" s="149">
        <v>0</v>
      </c>
      <c r="M38" s="149">
        <v>0</v>
      </c>
      <c r="N38" s="22"/>
      <c r="O38" s="149">
        <v>0</v>
      </c>
      <c r="P38" s="149">
        <v>0</v>
      </c>
      <c r="Q38" s="149">
        <v>0</v>
      </c>
      <c r="R38" s="149">
        <v>0</v>
      </c>
      <c r="S38" s="149">
        <v>0</v>
      </c>
      <c r="T38" s="149">
        <v>0</v>
      </c>
      <c r="U38" s="160">
        <v>0</v>
      </c>
      <c r="V38" s="21"/>
      <c r="W38" s="22">
        <v>0</v>
      </c>
      <c r="X38" s="149">
        <v>0</v>
      </c>
      <c r="Y38" s="18"/>
      <c r="Z38" s="149">
        <v>0</v>
      </c>
      <c r="AA38" s="149">
        <f>Tabela4[[#This Row],[VALOR]]-Tabela4[[#This Row],[PNEUS]]-Tabela4[[#This Row],[BATERIA]]</f>
        <v>128.41</v>
      </c>
      <c r="AB38" s="19" t="s">
        <v>27</v>
      </c>
      <c r="AC38" s="30">
        <v>0</v>
      </c>
      <c r="AD38" s="162">
        <v>0</v>
      </c>
      <c r="AE38" s="162">
        <v>0</v>
      </c>
      <c r="AF38" s="162">
        <v>0</v>
      </c>
      <c r="AG38" s="162">
        <v>0</v>
      </c>
      <c r="AH38" s="162">
        <v>0</v>
      </c>
      <c r="AI38" s="162">
        <v>0</v>
      </c>
      <c r="AJ38" s="162">
        <v>0</v>
      </c>
    </row>
    <row r="39" spans="1:36" x14ac:dyDescent="0.25">
      <c r="A39" s="15" t="s">
        <v>676</v>
      </c>
      <c r="B39" s="15"/>
      <c r="C39" s="141">
        <v>45299</v>
      </c>
      <c r="D39" s="141">
        <v>45299</v>
      </c>
      <c r="E39">
        <f>Tabela4[[#This Row],[DATA FATURAMENTO]]-Tabela4[[#This Row],[DATA ORÇAMENTO]]</f>
        <v>0</v>
      </c>
      <c r="F39" s="15">
        <v>10222</v>
      </c>
      <c r="G39" s="15" t="s">
        <v>35</v>
      </c>
      <c r="H39" s="15"/>
      <c r="I39" s="149">
        <v>80</v>
      </c>
      <c r="J39" s="149">
        <v>220</v>
      </c>
      <c r="K39" s="150">
        <f>Tabela4[[#This Row],[PECAS]]+Tabela4[[#This Row],[SERVICOS]]</f>
        <v>300</v>
      </c>
      <c r="L39" s="149">
        <v>0</v>
      </c>
      <c r="M39" s="149">
        <v>0</v>
      </c>
      <c r="N39" s="22"/>
      <c r="O39" s="149">
        <v>0</v>
      </c>
      <c r="P39" s="149">
        <v>0</v>
      </c>
      <c r="Q39" s="149">
        <v>0</v>
      </c>
      <c r="R39" s="149">
        <v>0</v>
      </c>
      <c r="S39" s="149">
        <v>80</v>
      </c>
      <c r="T39" s="149">
        <v>0</v>
      </c>
      <c r="U39" s="160">
        <v>0</v>
      </c>
      <c r="V39" s="21"/>
      <c r="W39" s="22">
        <v>0</v>
      </c>
      <c r="X39" s="149">
        <v>0</v>
      </c>
      <c r="Y39" s="18"/>
      <c r="Z39" s="149">
        <v>0</v>
      </c>
      <c r="AA39" s="149">
        <f>Tabela4[[#This Row],[VALOR]]-Tabela4[[#This Row],[PNEUS]]-Tabela4[[#This Row],[BATERIA]]</f>
        <v>300</v>
      </c>
      <c r="AB39" s="19" t="s">
        <v>24</v>
      </c>
      <c r="AC39" s="30">
        <v>0</v>
      </c>
      <c r="AD39" s="162">
        <v>0</v>
      </c>
      <c r="AE39" s="162">
        <v>0</v>
      </c>
      <c r="AF39" s="162">
        <v>0</v>
      </c>
      <c r="AG39" s="162">
        <v>0</v>
      </c>
      <c r="AH39" s="162">
        <v>0</v>
      </c>
      <c r="AI39" s="162">
        <v>0</v>
      </c>
      <c r="AJ39" s="162">
        <v>0</v>
      </c>
    </row>
    <row r="40" spans="1:36" x14ac:dyDescent="0.25">
      <c r="A40" s="15" t="s">
        <v>677</v>
      </c>
      <c r="B40" s="15"/>
      <c r="C40" s="141">
        <v>45299</v>
      </c>
      <c r="D40" s="141">
        <v>45299</v>
      </c>
      <c r="E40">
        <f>Tabela4[[#This Row],[DATA FATURAMENTO]]-Tabela4[[#This Row],[DATA ORÇAMENTO]]</f>
        <v>0</v>
      </c>
      <c r="F40" s="15">
        <v>10223</v>
      </c>
      <c r="G40" s="15" t="s">
        <v>31</v>
      </c>
      <c r="H40" s="15"/>
      <c r="I40" s="149">
        <v>0</v>
      </c>
      <c r="J40" s="149">
        <v>30</v>
      </c>
      <c r="K40" s="150">
        <f>Tabela4[[#This Row],[PECAS]]+Tabela4[[#This Row],[SERVICOS]]</f>
        <v>30</v>
      </c>
      <c r="L40" s="149">
        <v>0</v>
      </c>
      <c r="M40" s="149">
        <v>0</v>
      </c>
      <c r="N40" s="22"/>
      <c r="O40" s="149">
        <v>0</v>
      </c>
      <c r="P40" s="149">
        <v>0</v>
      </c>
      <c r="Q40" s="149">
        <v>0</v>
      </c>
      <c r="R40" s="149">
        <v>0</v>
      </c>
      <c r="S40" s="149">
        <v>0</v>
      </c>
      <c r="T40" s="149">
        <v>0</v>
      </c>
      <c r="U40" s="160">
        <v>0</v>
      </c>
      <c r="V40" s="21"/>
      <c r="W40" s="22">
        <v>0</v>
      </c>
      <c r="X40" s="149">
        <v>0</v>
      </c>
      <c r="Y40" s="18"/>
      <c r="Z40" s="149">
        <v>0</v>
      </c>
      <c r="AA40" s="149">
        <f>Tabela4[[#This Row],[VALOR]]-Tabela4[[#This Row],[PNEUS]]-Tabela4[[#This Row],[BATERIA]]</f>
        <v>30</v>
      </c>
      <c r="AB40" s="19" t="s">
        <v>38</v>
      </c>
      <c r="AC40" s="30">
        <v>0</v>
      </c>
      <c r="AD40" s="162">
        <v>0</v>
      </c>
      <c r="AE40" s="162">
        <v>0</v>
      </c>
      <c r="AF40" s="162">
        <v>0</v>
      </c>
      <c r="AG40" s="162">
        <v>0</v>
      </c>
      <c r="AH40" s="162">
        <v>0</v>
      </c>
      <c r="AI40" s="162">
        <v>0</v>
      </c>
      <c r="AJ40" s="162">
        <v>0</v>
      </c>
    </row>
    <row r="41" spans="1:36" x14ac:dyDescent="0.25">
      <c r="A41" s="15" t="s">
        <v>678</v>
      </c>
      <c r="B41" s="15"/>
      <c r="C41" s="141">
        <v>45297</v>
      </c>
      <c r="D41" s="141">
        <v>45300</v>
      </c>
      <c r="E41">
        <f>Tabela4[[#This Row],[DATA FATURAMENTO]]-Tabela4[[#This Row],[DATA ORÇAMENTO]]</f>
        <v>3</v>
      </c>
      <c r="F41" s="15">
        <v>10215</v>
      </c>
      <c r="G41" s="15" t="s">
        <v>22</v>
      </c>
      <c r="H41" s="15"/>
      <c r="I41" s="149">
        <v>1110</v>
      </c>
      <c r="J41" s="149">
        <v>790</v>
      </c>
      <c r="K41" s="150">
        <f>Tabela4[[#This Row],[PECAS]]+Tabela4[[#This Row],[SERVICOS]]</f>
        <v>1900</v>
      </c>
      <c r="L41" s="149">
        <v>0</v>
      </c>
      <c r="M41" s="149">
        <v>0</v>
      </c>
      <c r="N41" s="22"/>
      <c r="O41" s="149">
        <v>0</v>
      </c>
      <c r="P41" s="149">
        <v>0</v>
      </c>
      <c r="Q41" s="149">
        <v>0</v>
      </c>
      <c r="R41" s="149">
        <v>0</v>
      </c>
      <c r="S41" s="149">
        <v>0</v>
      </c>
      <c r="T41" s="149">
        <v>0</v>
      </c>
      <c r="U41" s="160">
        <v>0</v>
      </c>
      <c r="V41" s="21"/>
      <c r="W41" s="22">
        <v>0</v>
      </c>
      <c r="X41" s="149">
        <v>0</v>
      </c>
      <c r="Y41" s="18"/>
      <c r="Z41" s="149">
        <v>0</v>
      </c>
      <c r="AA41" s="149">
        <f>Tabela4[[#This Row],[VALOR]]-Tabela4[[#This Row],[PNEUS]]-Tabela4[[#This Row],[BATERIA]]</f>
        <v>1900</v>
      </c>
      <c r="AB41" s="19" t="s">
        <v>30</v>
      </c>
      <c r="AC41" s="30">
        <v>0</v>
      </c>
      <c r="AD41" s="162">
        <v>0</v>
      </c>
      <c r="AE41" s="162">
        <v>0</v>
      </c>
      <c r="AF41" s="162">
        <v>0</v>
      </c>
      <c r="AG41" s="162">
        <v>0</v>
      </c>
      <c r="AH41" s="162">
        <v>0</v>
      </c>
      <c r="AI41" s="162">
        <v>0</v>
      </c>
      <c r="AJ41" s="162">
        <v>0</v>
      </c>
    </row>
    <row r="42" spans="1:36" x14ac:dyDescent="0.25">
      <c r="A42" s="15" t="s">
        <v>679</v>
      </c>
      <c r="B42" s="15"/>
      <c r="C42" s="141">
        <v>45299</v>
      </c>
      <c r="D42" s="141">
        <v>45300</v>
      </c>
      <c r="E42">
        <f>Tabela4[[#This Row],[DATA FATURAMENTO]]-Tabela4[[#This Row],[DATA ORÇAMENTO]]</f>
        <v>1</v>
      </c>
      <c r="F42" s="15">
        <v>10231</v>
      </c>
      <c r="G42" s="17" t="s">
        <v>25</v>
      </c>
      <c r="H42" s="17"/>
      <c r="I42" s="149">
        <v>586.88</v>
      </c>
      <c r="J42" s="149">
        <v>436</v>
      </c>
      <c r="K42" s="150">
        <f>Tabela4[[#This Row],[PECAS]]+Tabela4[[#This Row],[SERVICOS]]</f>
        <v>1022.88</v>
      </c>
      <c r="L42" s="149">
        <v>0</v>
      </c>
      <c r="M42" s="149">
        <v>0</v>
      </c>
      <c r="N42" s="22"/>
      <c r="O42" s="149">
        <v>164.6</v>
      </c>
      <c r="P42" s="149">
        <v>0</v>
      </c>
      <c r="Q42" s="149">
        <v>100</v>
      </c>
      <c r="R42" s="149">
        <v>0</v>
      </c>
      <c r="S42" s="149">
        <v>0</v>
      </c>
      <c r="T42" s="149">
        <v>0</v>
      </c>
      <c r="U42" s="160">
        <v>0</v>
      </c>
      <c r="V42" s="21"/>
      <c r="W42" s="22">
        <v>0</v>
      </c>
      <c r="X42" s="149">
        <v>0</v>
      </c>
      <c r="Y42" s="18"/>
      <c r="Z42" s="149">
        <v>0</v>
      </c>
      <c r="AA42" s="149">
        <f>Tabela4[[#This Row],[VALOR]]-Tabela4[[#This Row],[PNEUS]]-Tabela4[[#This Row],[BATERIA]]</f>
        <v>1022.88</v>
      </c>
      <c r="AB42" s="19" t="s">
        <v>30</v>
      </c>
      <c r="AC42" s="30">
        <v>0</v>
      </c>
      <c r="AD42" s="162">
        <v>0</v>
      </c>
      <c r="AE42" s="162">
        <v>0</v>
      </c>
      <c r="AF42" s="162">
        <v>0</v>
      </c>
      <c r="AG42" s="162">
        <v>0</v>
      </c>
      <c r="AH42" s="162">
        <v>0</v>
      </c>
      <c r="AI42" s="162">
        <v>0</v>
      </c>
      <c r="AJ42" s="162">
        <v>0</v>
      </c>
    </row>
    <row r="43" spans="1:36" x14ac:dyDescent="0.25">
      <c r="A43" s="15" t="s">
        <v>680</v>
      </c>
      <c r="B43" s="15"/>
      <c r="C43" s="141">
        <v>45300</v>
      </c>
      <c r="D43" s="141">
        <v>45300</v>
      </c>
      <c r="E43">
        <f>Tabela4[[#This Row],[DATA FATURAMENTO]]-Tabela4[[#This Row],[DATA ORÇAMENTO]]</f>
        <v>0</v>
      </c>
      <c r="F43" s="15">
        <v>10234</v>
      </c>
      <c r="G43" s="15" t="s">
        <v>22</v>
      </c>
      <c r="H43" s="15"/>
      <c r="I43" s="149">
        <v>0</v>
      </c>
      <c r="J43" s="149">
        <v>285</v>
      </c>
      <c r="K43" s="150">
        <f>Tabela4[[#This Row],[PECAS]]+Tabela4[[#This Row],[SERVICOS]]</f>
        <v>285</v>
      </c>
      <c r="L43" s="149">
        <v>0</v>
      </c>
      <c r="M43" s="149">
        <v>0</v>
      </c>
      <c r="N43" s="22"/>
      <c r="O43" s="149">
        <v>0</v>
      </c>
      <c r="P43" s="149">
        <v>0</v>
      </c>
      <c r="Q43" s="149">
        <v>0</v>
      </c>
      <c r="R43" s="149">
        <v>0</v>
      </c>
      <c r="S43" s="149">
        <v>0</v>
      </c>
      <c r="T43" s="149">
        <v>0</v>
      </c>
      <c r="U43" s="160">
        <v>0</v>
      </c>
      <c r="V43" s="21"/>
      <c r="W43" s="22">
        <v>0</v>
      </c>
      <c r="X43" s="149">
        <v>0</v>
      </c>
      <c r="Y43" s="18"/>
      <c r="Z43" s="149">
        <v>0</v>
      </c>
      <c r="AA43" s="149">
        <f>Tabela4[[#This Row],[VALOR]]-Tabela4[[#This Row],[PNEUS]]-Tabela4[[#This Row],[BATERIA]]</f>
        <v>285</v>
      </c>
      <c r="AB43" s="19" t="s">
        <v>30</v>
      </c>
      <c r="AC43" s="30">
        <v>0</v>
      </c>
      <c r="AD43" s="162">
        <v>0</v>
      </c>
      <c r="AE43" s="162">
        <v>0</v>
      </c>
      <c r="AF43" s="162">
        <v>0</v>
      </c>
      <c r="AG43" s="162">
        <v>0</v>
      </c>
      <c r="AH43" s="162">
        <v>0</v>
      </c>
      <c r="AI43" s="162">
        <v>0</v>
      </c>
      <c r="AJ43" s="162">
        <v>0</v>
      </c>
    </row>
    <row r="44" spans="1:36" x14ac:dyDescent="0.25">
      <c r="A44" s="15" t="s">
        <v>681</v>
      </c>
      <c r="B44" s="15"/>
      <c r="C44" s="141">
        <v>45300</v>
      </c>
      <c r="D44" s="141">
        <v>45300</v>
      </c>
      <c r="E44">
        <f>Tabela4[[#This Row],[DATA FATURAMENTO]]-Tabela4[[#This Row],[DATA ORÇAMENTO]]</f>
        <v>0</v>
      </c>
      <c r="F44" s="15">
        <v>10237</v>
      </c>
      <c r="G44" s="17" t="s">
        <v>31</v>
      </c>
      <c r="H44" s="17"/>
      <c r="I44" s="149">
        <v>1387.2</v>
      </c>
      <c r="J44" s="149">
        <v>799.8</v>
      </c>
      <c r="K44" s="150">
        <f>Tabela4[[#This Row],[PECAS]]+Tabela4[[#This Row],[SERVICOS]]</f>
        <v>2187</v>
      </c>
      <c r="L44" s="149">
        <v>0</v>
      </c>
      <c r="M44" s="149">
        <v>0</v>
      </c>
      <c r="N44" s="22"/>
      <c r="O44" s="149">
        <v>290</v>
      </c>
      <c r="P44" s="149">
        <v>0</v>
      </c>
      <c r="Q44" s="149">
        <v>0</v>
      </c>
      <c r="R44" s="149">
        <v>0</v>
      </c>
      <c r="S44" s="149">
        <v>0</v>
      </c>
      <c r="T44" s="149">
        <v>0</v>
      </c>
      <c r="U44" s="160">
        <v>0</v>
      </c>
      <c r="V44" s="21"/>
      <c r="W44" s="22">
        <v>0</v>
      </c>
      <c r="X44" s="149">
        <v>0</v>
      </c>
      <c r="Y44" s="18"/>
      <c r="Z44" s="149">
        <v>0</v>
      </c>
      <c r="AA44" s="149">
        <f>Tabela4[[#This Row],[VALOR]]-Tabela4[[#This Row],[PNEUS]]-Tabela4[[#This Row],[BATERIA]]</f>
        <v>2187</v>
      </c>
      <c r="AB44" s="19" t="s">
        <v>30</v>
      </c>
      <c r="AC44" s="30">
        <v>0</v>
      </c>
      <c r="AD44" s="162">
        <v>0</v>
      </c>
      <c r="AE44" s="162">
        <v>0</v>
      </c>
      <c r="AF44" s="162">
        <v>0</v>
      </c>
      <c r="AG44" s="162">
        <v>0</v>
      </c>
      <c r="AH44" s="162">
        <v>0</v>
      </c>
      <c r="AI44" s="162">
        <v>0</v>
      </c>
      <c r="AJ44" s="162">
        <v>0</v>
      </c>
    </row>
    <row r="45" spans="1:36" x14ac:dyDescent="0.25">
      <c r="A45" s="15" t="s">
        <v>103</v>
      </c>
      <c r="B45" s="15"/>
      <c r="C45" s="141">
        <v>45300</v>
      </c>
      <c r="D45" s="141">
        <v>45300</v>
      </c>
      <c r="E45">
        <f>Tabela4[[#This Row],[DATA FATURAMENTO]]-Tabela4[[#This Row],[DATA ORÇAMENTO]]</f>
        <v>0</v>
      </c>
      <c r="F45" s="15">
        <v>10238</v>
      </c>
      <c r="G45" s="15" t="s">
        <v>22</v>
      </c>
      <c r="H45" s="15"/>
      <c r="I45" s="149">
        <v>415.6</v>
      </c>
      <c r="J45" s="149">
        <v>484.4</v>
      </c>
      <c r="K45" s="150">
        <f>Tabela4[[#This Row],[PECAS]]+Tabela4[[#This Row],[SERVICOS]]</f>
        <v>900</v>
      </c>
      <c r="L45" s="149">
        <v>0</v>
      </c>
      <c r="M45" s="149">
        <v>0</v>
      </c>
      <c r="N45" s="22"/>
      <c r="O45" s="149">
        <v>0</v>
      </c>
      <c r="P45" s="149">
        <v>0</v>
      </c>
      <c r="Q45" s="149">
        <v>0</v>
      </c>
      <c r="R45" s="149">
        <v>0</v>
      </c>
      <c r="S45" s="149">
        <v>0</v>
      </c>
      <c r="T45" s="149">
        <v>0</v>
      </c>
      <c r="U45" s="160">
        <v>0</v>
      </c>
      <c r="V45" s="21"/>
      <c r="W45" s="22">
        <v>0</v>
      </c>
      <c r="X45" s="149">
        <v>0</v>
      </c>
      <c r="Y45" s="18"/>
      <c r="Z45" s="149">
        <v>0</v>
      </c>
      <c r="AA45" s="149">
        <f>Tabela4[[#This Row],[VALOR]]-Tabela4[[#This Row],[PNEUS]]-Tabela4[[#This Row],[BATERIA]]</f>
        <v>900</v>
      </c>
      <c r="AB45" s="19" t="s">
        <v>32</v>
      </c>
      <c r="AC45" s="30">
        <v>0</v>
      </c>
      <c r="AD45" s="162">
        <v>0</v>
      </c>
      <c r="AE45" s="162">
        <v>0</v>
      </c>
      <c r="AF45" s="162">
        <v>0</v>
      </c>
      <c r="AG45" s="162">
        <v>0</v>
      </c>
      <c r="AH45" s="162">
        <v>0</v>
      </c>
      <c r="AI45" s="162">
        <v>0</v>
      </c>
      <c r="AJ45" s="162">
        <v>0</v>
      </c>
    </row>
    <row r="46" spans="1:36" x14ac:dyDescent="0.25">
      <c r="A46" s="15" t="s">
        <v>682</v>
      </c>
      <c r="B46" s="15"/>
      <c r="C46" s="141">
        <v>45300</v>
      </c>
      <c r="D46" s="141">
        <v>45300</v>
      </c>
      <c r="E46">
        <f>Tabela4[[#This Row],[DATA FATURAMENTO]]-Tabela4[[#This Row],[DATA ORÇAMENTO]]</f>
        <v>0</v>
      </c>
      <c r="F46" s="15">
        <v>10254</v>
      </c>
      <c r="G46" s="15" t="s">
        <v>22</v>
      </c>
      <c r="H46" s="15"/>
      <c r="I46" s="149">
        <v>469</v>
      </c>
      <c r="J46" s="149">
        <v>0</v>
      </c>
      <c r="K46" s="150">
        <f>Tabela4[[#This Row],[PECAS]]+Tabela4[[#This Row],[SERVICOS]]</f>
        <v>469</v>
      </c>
      <c r="L46" s="149">
        <v>0</v>
      </c>
      <c r="M46" s="149">
        <v>0</v>
      </c>
      <c r="N46" s="22"/>
      <c r="O46" s="149">
        <v>0</v>
      </c>
      <c r="P46" s="149">
        <v>0</v>
      </c>
      <c r="Q46" s="149">
        <v>0</v>
      </c>
      <c r="R46" s="149">
        <v>0</v>
      </c>
      <c r="S46" s="149">
        <v>0</v>
      </c>
      <c r="T46" s="149">
        <v>0</v>
      </c>
      <c r="U46" s="160">
        <v>469</v>
      </c>
      <c r="V46" s="21" t="s">
        <v>664</v>
      </c>
      <c r="W46" s="22">
        <v>0</v>
      </c>
      <c r="X46" s="149">
        <v>0</v>
      </c>
      <c r="Y46" s="18"/>
      <c r="Z46" s="149">
        <v>0</v>
      </c>
      <c r="AA46" s="149">
        <f>K46-U46-T46</f>
        <v>0</v>
      </c>
      <c r="AB46" s="19" t="s">
        <v>6</v>
      </c>
      <c r="AC46" s="30">
        <v>0</v>
      </c>
      <c r="AD46" s="162">
        <v>0</v>
      </c>
      <c r="AE46" s="162">
        <v>0</v>
      </c>
      <c r="AF46" s="162">
        <v>0</v>
      </c>
      <c r="AG46" s="162">
        <v>0</v>
      </c>
      <c r="AH46" s="162">
        <v>0</v>
      </c>
      <c r="AI46" s="162">
        <v>0</v>
      </c>
      <c r="AJ46" s="162">
        <v>0</v>
      </c>
    </row>
    <row r="47" spans="1:36" x14ac:dyDescent="0.25">
      <c r="A47" s="15" t="s">
        <v>683</v>
      </c>
      <c r="B47" s="15"/>
      <c r="C47" s="141">
        <v>45300</v>
      </c>
      <c r="D47" s="141">
        <v>45300</v>
      </c>
      <c r="E47">
        <f>Tabela4[[#This Row],[DATA FATURAMENTO]]-Tabela4[[#This Row],[DATA ORÇAMENTO]]</f>
        <v>0</v>
      </c>
      <c r="F47" s="15">
        <v>10239</v>
      </c>
      <c r="G47" s="15" t="s">
        <v>6</v>
      </c>
      <c r="H47" s="15"/>
      <c r="I47" s="149">
        <v>535</v>
      </c>
      <c r="J47" s="149">
        <v>0</v>
      </c>
      <c r="K47" s="150">
        <f>Tabela4[[#This Row],[PECAS]]+Tabela4[[#This Row],[SERVICOS]]</f>
        <v>535</v>
      </c>
      <c r="L47" s="149">
        <v>0</v>
      </c>
      <c r="M47" s="149">
        <v>0</v>
      </c>
      <c r="N47" s="22"/>
      <c r="O47" s="149">
        <v>0</v>
      </c>
      <c r="P47" s="149">
        <v>0</v>
      </c>
      <c r="Q47" s="149">
        <v>0</v>
      </c>
      <c r="R47" s="149">
        <v>0</v>
      </c>
      <c r="S47" s="149">
        <v>0</v>
      </c>
      <c r="T47" s="149">
        <v>0</v>
      </c>
      <c r="U47" s="160">
        <v>535</v>
      </c>
      <c r="V47" s="21" t="s">
        <v>684</v>
      </c>
      <c r="W47" s="22">
        <v>0</v>
      </c>
      <c r="X47" s="149">
        <v>0</v>
      </c>
      <c r="Y47" s="18"/>
      <c r="Z47" s="149">
        <v>0</v>
      </c>
      <c r="AA47" s="149">
        <f>K47-U47-T47</f>
        <v>0</v>
      </c>
      <c r="AB47" s="19" t="s">
        <v>6</v>
      </c>
      <c r="AC47" s="30">
        <v>0</v>
      </c>
      <c r="AD47" s="162">
        <v>0</v>
      </c>
      <c r="AE47" s="162">
        <v>0</v>
      </c>
      <c r="AF47" s="162">
        <v>0</v>
      </c>
      <c r="AG47" s="162">
        <v>0</v>
      </c>
      <c r="AH47" s="162">
        <v>0</v>
      </c>
      <c r="AI47" s="162">
        <v>0</v>
      </c>
      <c r="AJ47" s="162">
        <v>0</v>
      </c>
    </row>
    <row r="48" spans="1:36" x14ac:dyDescent="0.25">
      <c r="A48" s="15" t="s">
        <v>685</v>
      </c>
      <c r="B48" s="15"/>
      <c r="C48" s="141">
        <v>45300</v>
      </c>
      <c r="D48" s="141">
        <v>45300</v>
      </c>
      <c r="E48">
        <f>Tabela4[[#This Row],[DATA FATURAMENTO]]-Tabela4[[#This Row],[DATA ORÇAMENTO]]</f>
        <v>0</v>
      </c>
      <c r="F48" s="15">
        <v>10252</v>
      </c>
      <c r="G48" s="15" t="s">
        <v>31</v>
      </c>
      <c r="H48" s="15"/>
      <c r="I48" s="149">
        <v>60</v>
      </c>
      <c r="J48" s="149">
        <v>0</v>
      </c>
      <c r="K48" s="150">
        <f>Tabela4[[#This Row],[PECAS]]+Tabela4[[#This Row],[SERVICOS]]</f>
        <v>60</v>
      </c>
      <c r="L48" s="149">
        <v>0</v>
      </c>
      <c r="M48" s="149">
        <v>0</v>
      </c>
      <c r="N48" s="22"/>
      <c r="O48" s="149">
        <v>0</v>
      </c>
      <c r="P48" s="149">
        <v>0</v>
      </c>
      <c r="Q48" s="149">
        <v>0</v>
      </c>
      <c r="R48" s="149">
        <v>0</v>
      </c>
      <c r="S48" s="149">
        <v>0</v>
      </c>
      <c r="T48" s="149">
        <v>0</v>
      </c>
      <c r="U48" s="160">
        <v>0</v>
      </c>
      <c r="V48" s="21"/>
      <c r="W48" s="22">
        <v>0</v>
      </c>
      <c r="X48" s="149">
        <v>0</v>
      </c>
      <c r="Y48" s="18"/>
      <c r="Z48" s="149">
        <v>0</v>
      </c>
      <c r="AA48" s="149">
        <f>K48-U48-T48</f>
        <v>60</v>
      </c>
      <c r="AB48" s="19" t="s">
        <v>38</v>
      </c>
      <c r="AC48" s="30">
        <v>0</v>
      </c>
      <c r="AD48" s="162">
        <v>0</v>
      </c>
      <c r="AE48" s="162">
        <v>0</v>
      </c>
      <c r="AF48" s="162">
        <v>0</v>
      </c>
      <c r="AG48" s="162">
        <v>0</v>
      </c>
      <c r="AH48" s="162">
        <v>0</v>
      </c>
      <c r="AI48" s="162">
        <v>0</v>
      </c>
      <c r="AJ48" s="162">
        <v>0</v>
      </c>
    </row>
    <row r="49" spans="1:36" x14ac:dyDescent="0.25">
      <c r="A49" s="15" t="s">
        <v>686</v>
      </c>
      <c r="B49" s="15"/>
      <c r="C49" s="141">
        <v>45289</v>
      </c>
      <c r="D49" s="141">
        <v>45301</v>
      </c>
      <c r="E49">
        <f>Tabela4[[#This Row],[DATA FATURAMENTO]]-Tabela4[[#This Row],[DATA ORÇAMENTO]]</f>
        <v>12</v>
      </c>
      <c r="F49" s="15">
        <v>10148</v>
      </c>
      <c r="G49" s="15" t="s">
        <v>22</v>
      </c>
      <c r="H49" s="15"/>
      <c r="I49" s="149">
        <v>1720.7</v>
      </c>
      <c r="J49" s="149">
        <v>1959.3</v>
      </c>
      <c r="K49" s="150">
        <f>Tabela4[[#This Row],[PECAS]]+Tabela4[[#This Row],[SERVICOS]]</f>
        <v>3680</v>
      </c>
      <c r="L49" s="149">
        <v>110</v>
      </c>
      <c r="M49" s="149">
        <v>112.5</v>
      </c>
      <c r="N49" s="22"/>
      <c r="O49" s="149">
        <v>0</v>
      </c>
      <c r="P49" s="149">
        <v>0</v>
      </c>
      <c r="Q49" s="149">
        <v>0</v>
      </c>
      <c r="R49" s="149">
        <v>0</v>
      </c>
      <c r="S49" s="149">
        <v>190</v>
      </c>
      <c r="T49" s="149">
        <v>0</v>
      </c>
      <c r="U49" s="160">
        <v>0</v>
      </c>
      <c r="V49" s="21"/>
      <c r="W49" s="22">
        <v>5</v>
      </c>
      <c r="X49" s="149">
        <v>0</v>
      </c>
      <c r="Y49" s="18" t="s">
        <v>659</v>
      </c>
      <c r="Z49" s="149">
        <v>190</v>
      </c>
      <c r="AA49" s="149">
        <f>Tabela4[[#This Row],[VALOR]]-Tabela4[[#This Row],[PNEUS]]-Tabela4[[#This Row],[BATERIA]]</f>
        <v>3680</v>
      </c>
      <c r="AB49" s="19" t="s">
        <v>34</v>
      </c>
      <c r="AC49" s="30">
        <v>0</v>
      </c>
      <c r="AD49" s="162">
        <v>0</v>
      </c>
      <c r="AE49" s="162">
        <v>0</v>
      </c>
      <c r="AF49" s="162">
        <v>0</v>
      </c>
      <c r="AG49" s="162">
        <v>0</v>
      </c>
      <c r="AH49" s="162">
        <v>0</v>
      </c>
      <c r="AI49" s="162">
        <v>0</v>
      </c>
      <c r="AJ49" s="162">
        <v>0</v>
      </c>
    </row>
    <row r="50" spans="1:36" x14ac:dyDescent="0.25">
      <c r="A50" s="15" t="s">
        <v>687</v>
      </c>
      <c r="B50" s="15"/>
      <c r="C50" s="141">
        <v>45293</v>
      </c>
      <c r="D50" s="141">
        <v>45301</v>
      </c>
      <c r="E50">
        <f>Tabela4[[#This Row],[DATA FATURAMENTO]]-Tabela4[[#This Row],[DATA ORÇAMENTO]]</f>
        <v>8</v>
      </c>
      <c r="F50" s="15">
        <v>10172</v>
      </c>
      <c r="G50" s="15" t="s">
        <v>22</v>
      </c>
      <c r="H50" s="15"/>
      <c r="I50" s="149">
        <v>8389.6</v>
      </c>
      <c r="J50" s="149">
        <v>2780.4</v>
      </c>
      <c r="K50" s="150">
        <f>Tabela4[[#This Row],[PECAS]]+Tabela4[[#This Row],[SERVICOS]]</f>
        <v>11170</v>
      </c>
      <c r="L50" s="149">
        <v>0</v>
      </c>
      <c r="M50" s="149">
        <v>0</v>
      </c>
      <c r="N50" s="22"/>
      <c r="O50" s="149">
        <v>240.77</v>
      </c>
      <c r="P50" s="149">
        <v>0</v>
      </c>
      <c r="Q50" s="149">
        <v>0</v>
      </c>
      <c r="R50" s="149">
        <v>0</v>
      </c>
      <c r="S50" s="149">
        <v>0</v>
      </c>
      <c r="T50" s="149">
        <v>0</v>
      </c>
      <c r="U50" s="160">
        <v>0</v>
      </c>
      <c r="V50" s="21"/>
      <c r="W50" s="22">
        <v>4</v>
      </c>
      <c r="X50" s="149">
        <v>0</v>
      </c>
      <c r="Y50" s="18" t="s">
        <v>638</v>
      </c>
      <c r="Z50" s="149">
        <v>0</v>
      </c>
      <c r="AA50" s="149">
        <f>Tabela4[[#This Row],[VALOR]]-Tabela4[[#This Row],[PNEUS]]-Tabela4[[#This Row],[BATERIA]]</f>
        <v>11170</v>
      </c>
      <c r="AB50" s="19" t="s">
        <v>30</v>
      </c>
      <c r="AC50" s="30">
        <v>0</v>
      </c>
      <c r="AD50" s="162">
        <v>0</v>
      </c>
      <c r="AE50" s="162">
        <v>0</v>
      </c>
      <c r="AF50" s="162">
        <v>0</v>
      </c>
      <c r="AG50" s="162">
        <v>0</v>
      </c>
      <c r="AH50" s="162">
        <v>0</v>
      </c>
      <c r="AI50" s="162">
        <v>0</v>
      </c>
      <c r="AJ50" s="162">
        <v>0</v>
      </c>
    </row>
    <row r="51" spans="1:36" x14ac:dyDescent="0.25">
      <c r="A51" s="15" t="s">
        <v>688</v>
      </c>
      <c r="B51" s="15"/>
      <c r="C51" s="141">
        <v>45299</v>
      </c>
      <c r="D51" s="141">
        <v>45301</v>
      </c>
      <c r="E51">
        <f>Tabela4[[#This Row],[DATA FATURAMENTO]]-Tabela4[[#This Row],[DATA ORÇAMENTO]]</f>
        <v>2</v>
      </c>
      <c r="F51" s="15">
        <v>10224</v>
      </c>
      <c r="G51" s="15" t="s">
        <v>39</v>
      </c>
      <c r="H51" s="15" t="s">
        <v>45</v>
      </c>
      <c r="I51" s="149">
        <v>1140</v>
      </c>
      <c r="J51" s="149">
        <v>400</v>
      </c>
      <c r="K51" s="150">
        <f>Tabela4[[#This Row],[PECAS]]+Tabela4[[#This Row],[SERVICOS]]</f>
        <v>1540</v>
      </c>
      <c r="L51" s="149">
        <v>0</v>
      </c>
      <c r="M51" s="149">
        <v>0</v>
      </c>
      <c r="N51" s="22"/>
      <c r="O51" s="149">
        <v>0</v>
      </c>
      <c r="P51" s="149">
        <v>0</v>
      </c>
      <c r="Q51" s="149">
        <v>0</v>
      </c>
      <c r="R51" s="149">
        <v>0</v>
      </c>
      <c r="S51" s="149">
        <v>0</v>
      </c>
      <c r="T51" s="149">
        <v>0</v>
      </c>
      <c r="U51" s="160">
        <v>0</v>
      </c>
      <c r="V51" s="21"/>
      <c r="W51" s="22">
        <v>0</v>
      </c>
      <c r="X51" s="149">
        <v>0</v>
      </c>
      <c r="Y51" s="18"/>
      <c r="Z51" s="149">
        <v>0</v>
      </c>
      <c r="AA51" s="149">
        <f>Tabela4[[#This Row],[VALOR]]-Tabela4[[#This Row],[PNEUS]]-Tabela4[[#This Row],[BATERIA]]</f>
        <v>1540</v>
      </c>
      <c r="AB51" s="19" t="s">
        <v>27</v>
      </c>
      <c r="AC51" s="30">
        <v>0</v>
      </c>
      <c r="AD51" s="162">
        <v>0</v>
      </c>
      <c r="AE51" s="162">
        <v>0</v>
      </c>
      <c r="AF51" s="162">
        <v>0</v>
      </c>
      <c r="AG51" s="162">
        <v>0</v>
      </c>
      <c r="AH51" s="162">
        <v>0</v>
      </c>
      <c r="AI51" s="162">
        <v>0</v>
      </c>
      <c r="AJ51" s="162">
        <v>0</v>
      </c>
    </row>
    <row r="52" spans="1:36" x14ac:dyDescent="0.25">
      <c r="A52" s="15" t="s">
        <v>689</v>
      </c>
      <c r="B52" s="15"/>
      <c r="C52" s="141">
        <v>45300</v>
      </c>
      <c r="D52" s="141">
        <v>45301</v>
      </c>
      <c r="E52">
        <f>Tabela4[[#This Row],[DATA FATURAMENTO]]-Tabela4[[#This Row],[DATA ORÇAMENTO]]</f>
        <v>1</v>
      </c>
      <c r="F52" s="15">
        <v>10249</v>
      </c>
      <c r="G52" s="15" t="s">
        <v>22</v>
      </c>
      <c r="H52" s="15"/>
      <c r="I52" s="149">
        <v>665.4</v>
      </c>
      <c r="J52" s="149">
        <v>645</v>
      </c>
      <c r="K52" s="150">
        <f>Tabela4[[#This Row],[PECAS]]+Tabela4[[#This Row],[SERVICOS]]</f>
        <v>1310.4000000000001</v>
      </c>
      <c r="L52" s="149">
        <v>0</v>
      </c>
      <c r="M52" s="149">
        <v>0</v>
      </c>
      <c r="N52" s="22"/>
      <c r="O52" s="149">
        <v>220</v>
      </c>
      <c r="P52" s="149">
        <v>0</v>
      </c>
      <c r="Q52" s="149">
        <v>0</v>
      </c>
      <c r="R52" s="149">
        <v>0</v>
      </c>
      <c r="S52" s="149">
        <v>0</v>
      </c>
      <c r="T52" s="149">
        <v>0</v>
      </c>
      <c r="U52" s="160">
        <v>0</v>
      </c>
      <c r="V52" s="21"/>
      <c r="W52" s="22">
        <v>0</v>
      </c>
      <c r="X52" s="149">
        <v>0</v>
      </c>
      <c r="Y52" s="18"/>
      <c r="Z52" s="149">
        <v>0</v>
      </c>
      <c r="AA52" s="149">
        <f>Tabela4[[#This Row],[VALOR]]-Tabela4[[#This Row],[PNEUS]]-Tabela4[[#This Row],[BATERIA]]</f>
        <v>1310.4000000000001</v>
      </c>
      <c r="AB52" s="19" t="s">
        <v>34</v>
      </c>
      <c r="AC52" s="30">
        <v>0</v>
      </c>
      <c r="AD52" s="162">
        <v>0</v>
      </c>
      <c r="AE52" s="162">
        <v>0</v>
      </c>
      <c r="AF52" s="162">
        <v>0</v>
      </c>
      <c r="AG52" s="162">
        <v>0</v>
      </c>
      <c r="AH52" s="162">
        <v>0</v>
      </c>
      <c r="AI52" s="162">
        <v>0</v>
      </c>
      <c r="AJ52" s="162">
        <v>0</v>
      </c>
    </row>
    <row r="53" spans="1:36" x14ac:dyDescent="0.25">
      <c r="A53" s="15" t="s">
        <v>257</v>
      </c>
      <c r="B53" s="15"/>
      <c r="C53" s="141">
        <v>45300</v>
      </c>
      <c r="D53" s="141">
        <v>45301</v>
      </c>
      <c r="E53">
        <f>Tabela4[[#This Row],[DATA FATURAMENTO]]-Tabela4[[#This Row],[DATA ORÇAMENTO]]</f>
        <v>1</v>
      </c>
      <c r="F53" s="15">
        <v>10250</v>
      </c>
      <c r="G53" s="15" t="s">
        <v>22</v>
      </c>
      <c r="H53" s="15"/>
      <c r="I53" s="149">
        <v>1758.4</v>
      </c>
      <c r="J53" s="149">
        <v>836.6</v>
      </c>
      <c r="K53" s="150">
        <f>Tabela4[[#This Row],[PECAS]]+Tabela4[[#This Row],[SERVICOS]]</f>
        <v>2595</v>
      </c>
      <c r="L53" s="149">
        <v>0</v>
      </c>
      <c r="M53" s="149">
        <v>0</v>
      </c>
      <c r="N53" s="22"/>
      <c r="O53" s="149">
        <v>0</v>
      </c>
      <c r="P53" s="149">
        <v>0</v>
      </c>
      <c r="Q53" s="149">
        <v>0</v>
      </c>
      <c r="R53" s="149">
        <v>0</v>
      </c>
      <c r="S53" s="149">
        <v>0</v>
      </c>
      <c r="T53" s="149">
        <v>0</v>
      </c>
      <c r="U53" s="160">
        <v>0</v>
      </c>
      <c r="V53" s="21"/>
      <c r="W53" s="22">
        <v>0</v>
      </c>
      <c r="X53" s="149">
        <v>0</v>
      </c>
      <c r="Y53" s="18"/>
      <c r="Z53" s="149">
        <v>0</v>
      </c>
      <c r="AA53" s="149">
        <f>Tabela4[[#This Row],[VALOR]]-Tabela4[[#This Row],[PNEUS]]-Tabela4[[#This Row],[BATERIA]]</f>
        <v>2595</v>
      </c>
      <c r="AB53" s="19" t="s">
        <v>24</v>
      </c>
      <c r="AC53" s="30">
        <v>0</v>
      </c>
      <c r="AD53" s="162">
        <v>0</v>
      </c>
      <c r="AE53" s="162">
        <v>0</v>
      </c>
      <c r="AF53" s="162">
        <v>0</v>
      </c>
      <c r="AG53" s="162">
        <v>0</v>
      </c>
      <c r="AH53" s="162">
        <v>0</v>
      </c>
      <c r="AI53" s="162">
        <v>0</v>
      </c>
      <c r="AJ53" s="162">
        <v>0</v>
      </c>
    </row>
    <row r="54" spans="1:36" x14ac:dyDescent="0.25">
      <c r="A54" s="15" t="s">
        <v>690</v>
      </c>
      <c r="B54" s="15"/>
      <c r="C54" s="141">
        <v>45301</v>
      </c>
      <c r="D54" s="141">
        <v>45301</v>
      </c>
      <c r="E54">
        <f>Tabela4[[#This Row],[DATA FATURAMENTO]]-Tabela4[[#This Row],[DATA ORÇAMENTO]]</f>
        <v>0</v>
      </c>
      <c r="F54" s="15">
        <v>10256</v>
      </c>
      <c r="G54" s="15" t="s">
        <v>35</v>
      </c>
      <c r="H54" s="15"/>
      <c r="I54" s="149">
        <v>194.45</v>
      </c>
      <c r="J54" s="149">
        <v>78.540000000000006</v>
      </c>
      <c r="K54" s="150">
        <f>Tabela4[[#This Row],[PECAS]]+Tabela4[[#This Row],[SERVICOS]]</f>
        <v>272.99</v>
      </c>
      <c r="L54" s="149">
        <v>0</v>
      </c>
      <c r="M54" s="149">
        <v>0</v>
      </c>
      <c r="N54" s="22"/>
      <c r="O54" s="149">
        <v>0</v>
      </c>
      <c r="P54" s="149">
        <v>0</v>
      </c>
      <c r="Q54" s="149">
        <v>0</v>
      </c>
      <c r="R54" s="149">
        <v>0</v>
      </c>
      <c r="S54" s="149">
        <v>0</v>
      </c>
      <c r="T54" s="149">
        <v>0</v>
      </c>
      <c r="U54" s="160">
        <v>0</v>
      </c>
      <c r="V54" s="21"/>
      <c r="W54" s="22">
        <v>0</v>
      </c>
      <c r="X54" s="149">
        <v>0</v>
      </c>
      <c r="Y54" s="18"/>
      <c r="Z54" s="149">
        <v>0</v>
      </c>
      <c r="AA54" s="149">
        <f>Tabela4[[#This Row],[VALOR]]-Tabela4[[#This Row],[PNEUS]]-Tabela4[[#This Row],[BATERIA]]</f>
        <v>272.99</v>
      </c>
      <c r="AB54" s="19" t="s">
        <v>27</v>
      </c>
      <c r="AC54" s="30">
        <v>0</v>
      </c>
      <c r="AD54" s="162">
        <v>0</v>
      </c>
      <c r="AE54" s="162">
        <v>0</v>
      </c>
      <c r="AF54" s="162">
        <v>0</v>
      </c>
      <c r="AG54" s="162">
        <v>0</v>
      </c>
      <c r="AH54" s="162">
        <v>0</v>
      </c>
      <c r="AI54" s="162">
        <v>0</v>
      </c>
      <c r="AJ54" s="162">
        <v>0</v>
      </c>
    </row>
    <row r="55" spans="1:36" x14ac:dyDescent="0.25">
      <c r="A55" s="15" t="s">
        <v>691</v>
      </c>
      <c r="B55" s="15"/>
      <c r="C55" s="141">
        <v>45301</v>
      </c>
      <c r="D55" s="141">
        <v>45301</v>
      </c>
      <c r="E55">
        <f>Tabela4[[#This Row],[DATA FATURAMENTO]]-Tabela4[[#This Row],[DATA ORÇAMENTO]]</f>
        <v>0</v>
      </c>
      <c r="F55" s="15">
        <v>10259</v>
      </c>
      <c r="G55" s="15" t="s">
        <v>35</v>
      </c>
      <c r="H55" s="15"/>
      <c r="I55" s="149">
        <v>0</v>
      </c>
      <c r="J55" s="149">
        <v>244.8</v>
      </c>
      <c r="K55" s="150">
        <f>Tabela4[[#This Row],[PECAS]]+Tabela4[[#This Row],[SERVICOS]]</f>
        <v>244.8</v>
      </c>
      <c r="L55" s="149">
        <v>0</v>
      </c>
      <c r="M55" s="149">
        <v>0</v>
      </c>
      <c r="N55" s="22"/>
      <c r="O55" s="149">
        <v>0</v>
      </c>
      <c r="P55" s="149">
        <v>0</v>
      </c>
      <c r="Q55" s="149">
        <v>0</v>
      </c>
      <c r="R55" s="149">
        <v>0</v>
      </c>
      <c r="S55" s="149">
        <v>0</v>
      </c>
      <c r="T55" s="149">
        <v>0</v>
      </c>
      <c r="U55" s="160">
        <v>0</v>
      </c>
      <c r="V55" s="21"/>
      <c r="W55" s="22">
        <v>0</v>
      </c>
      <c r="X55" s="149">
        <v>0</v>
      </c>
      <c r="Y55" s="18"/>
      <c r="Z55" s="149">
        <v>0</v>
      </c>
      <c r="AA55" s="149">
        <f>Tabela4[[#This Row],[VALOR]]-Tabela4[[#This Row],[PNEUS]]-Tabela4[[#This Row],[BATERIA]]</f>
        <v>244.8</v>
      </c>
      <c r="AB55" s="19" t="s">
        <v>24</v>
      </c>
      <c r="AC55" s="30">
        <v>0</v>
      </c>
      <c r="AD55" s="162">
        <v>0</v>
      </c>
      <c r="AE55" s="162">
        <v>0</v>
      </c>
      <c r="AF55" s="162">
        <v>0</v>
      </c>
      <c r="AG55" s="162">
        <v>0</v>
      </c>
      <c r="AH55" s="162">
        <v>0</v>
      </c>
      <c r="AI55" s="162">
        <v>0</v>
      </c>
      <c r="AJ55" s="162">
        <v>0</v>
      </c>
    </row>
    <row r="56" spans="1:36" x14ac:dyDescent="0.25">
      <c r="A56" s="15" t="s">
        <v>692</v>
      </c>
      <c r="B56" s="15"/>
      <c r="C56" s="141">
        <v>45300</v>
      </c>
      <c r="D56" s="141">
        <v>45302</v>
      </c>
      <c r="E56">
        <f>Tabela4[[#This Row],[DATA FATURAMENTO]]-Tabela4[[#This Row],[DATA ORÇAMENTO]]</f>
        <v>2</v>
      </c>
      <c r="F56" s="15">
        <v>10253</v>
      </c>
      <c r="G56" s="15" t="s">
        <v>25</v>
      </c>
      <c r="H56" s="15"/>
      <c r="I56" s="149">
        <v>3862.95</v>
      </c>
      <c r="J56" s="149">
        <v>1123.8</v>
      </c>
      <c r="K56" s="150">
        <f>Tabela4[[#This Row],[PECAS]]+Tabela4[[#This Row],[SERVICOS]]</f>
        <v>4986.75</v>
      </c>
      <c r="L56" s="149">
        <v>0</v>
      </c>
      <c r="M56" s="149">
        <v>0</v>
      </c>
      <c r="N56" s="22"/>
      <c r="O56" s="149">
        <v>144</v>
      </c>
      <c r="P56" s="149">
        <v>0</v>
      </c>
      <c r="Q56" s="149">
        <v>100</v>
      </c>
      <c r="R56" s="149">
        <v>0</v>
      </c>
      <c r="S56" s="149">
        <v>0</v>
      </c>
      <c r="T56" s="149">
        <v>1139.8</v>
      </c>
      <c r="U56" s="160">
        <v>0</v>
      </c>
      <c r="V56" s="21"/>
      <c r="W56" s="22">
        <v>3</v>
      </c>
      <c r="X56" s="149">
        <v>0</v>
      </c>
      <c r="Y56" s="18" t="s">
        <v>654</v>
      </c>
      <c r="Z56" s="149">
        <v>0</v>
      </c>
      <c r="AA56" s="149">
        <f>Tabela4[[#This Row],[VALOR]]-Tabela4[[#This Row],[PNEUS]]-Tabela4[[#This Row],[BATERIA]]</f>
        <v>3846.95</v>
      </c>
      <c r="AB56" s="19" t="s">
        <v>32</v>
      </c>
      <c r="AC56" s="30">
        <v>0</v>
      </c>
      <c r="AD56" s="162">
        <v>0</v>
      </c>
      <c r="AE56" s="162">
        <v>0</v>
      </c>
      <c r="AF56" s="162">
        <v>0</v>
      </c>
      <c r="AG56" s="162">
        <v>0</v>
      </c>
      <c r="AH56" s="162">
        <v>0</v>
      </c>
      <c r="AI56" s="162">
        <v>0</v>
      </c>
      <c r="AJ56" s="162">
        <v>0</v>
      </c>
    </row>
    <row r="57" spans="1:36" x14ac:dyDescent="0.25">
      <c r="A57" s="15" t="s">
        <v>693</v>
      </c>
      <c r="B57" s="15"/>
      <c r="C57" s="141">
        <v>45300</v>
      </c>
      <c r="D57" s="141">
        <v>45302</v>
      </c>
      <c r="E57">
        <f>Tabela4[[#This Row],[DATA FATURAMENTO]]-Tabela4[[#This Row],[DATA ORÇAMENTO]]</f>
        <v>2</v>
      </c>
      <c r="F57" s="15">
        <v>10233</v>
      </c>
      <c r="G57" s="15" t="s">
        <v>25</v>
      </c>
      <c r="H57" s="15"/>
      <c r="I57" s="149">
        <v>239.36</v>
      </c>
      <c r="J57" s="149">
        <v>227</v>
      </c>
      <c r="K57" s="150">
        <f>Tabela4[[#This Row],[PECAS]]+Tabela4[[#This Row],[SERVICOS]]</f>
        <v>466.36</v>
      </c>
      <c r="L57" s="149">
        <v>0</v>
      </c>
      <c r="M57" s="149">
        <v>0</v>
      </c>
      <c r="N57" s="22"/>
      <c r="O57" s="149">
        <v>0</v>
      </c>
      <c r="P57" s="149">
        <v>0</v>
      </c>
      <c r="Q57" s="149">
        <v>0</v>
      </c>
      <c r="R57" s="149">
        <v>0</v>
      </c>
      <c r="S57" s="149">
        <v>20.49</v>
      </c>
      <c r="T57" s="149">
        <v>0</v>
      </c>
      <c r="U57" s="160">
        <v>0</v>
      </c>
      <c r="V57" s="21"/>
      <c r="W57" s="22">
        <v>3</v>
      </c>
      <c r="X57" s="149">
        <v>0</v>
      </c>
      <c r="Y57" s="18" t="s">
        <v>654</v>
      </c>
      <c r="Z57" s="149">
        <v>20.49</v>
      </c>
      <c r="AA57" s="149">
        <f>Tabela4[[#This Row],[VALOR]]-Tabela4[[#This Row],[PNEUS]]-Tabela4[[#This Row],[BATERIA]]</f>
        <v>466.36</v>
      </c>
      <c r="AB57" s="19" t="s">
        <v>30</v>
      </c>
      <c r="AC57" s="30">
        <v>0</v>
      </c>
      <c r="AD57" s="162">
        <v>0</v>
      </c>
      <c r="AE57" s="162">
        <v>0</v>
      </c>
      <c r="AF57" s="162">
        <v>0</v>
      </c>
      <c r="AG57" s="162">
        <v>0</v>
      </c>
      <c r="AH57" s="162">
        <v>0</v>
      </c>
      <c r="AI57" s="162">
        <v>0</v>
      </c>
      <c r="AJ57" s="162">
        <v>0</v>
      </c>
    </row>
    <row r="58" spans="1:36" x14ac:dyDescent="0.25">
      <c r="A58" s="15" t="s">
        <v>694</v>
      </c>
      <c r="B58" s="15"/>
      <c r="C58" s="141">
        <v>45300</v>
      </c>
      <c r="D58" s="141">
        <v>45302</v>
      </c>
      <c r="E58">
        <f>Tabela4[[#This Row],[DATA FATURAMENTO]]-Tabela4[[#This Row],[DATA ORÇAMENTO]]</f>
        <v>2</v>
      </c>
      <c r="F58" s="15">
        <v>10240</v>
      </c>
      <c r="G58" s="15" t="s">
        <v>35</v>
      </c>
      <c r="H58" s="15"/>
      <c r="I58" s="149">
        <v>160</v>
      </c>
      <c r="J58" s="149">
        <v>600</v>
      </c>
      <c r="K58" s="150">
        <f>Tabela4[[#This Row],[PECAS]]+Tabela4[[#This Row],[SERVICOS]]</f>
        <v>760</v>
      </c>
      <c r="L58" s="149">
        <v>0</v>
      </c>
      <c r="M58" s="149">
        <v>0</v>
      </c>
      <c r="N58" s="22"/>
      <c r="O58" s="149">
        <v>0</v>
      </c>
      <c r="P58" s="149">
        <v>0</v>
      </c>
      <c r="Q58" s="149">
        <v>0</v>
      </c>
      <c r="R58" s="149">
        <v>0</v>
      </c>
      <c r="S58" s="149">
        <v>0</v>
      </c>
      <c r="T58" s="149">
        <v>0</v>
      </c>
      <c r="U58" s="160">
        <v>0</v>
      </c>
      <c r="V58" s="21"/>
      <c r="W58" s="22">
        <v>0</v>
      </c>
      <c r="X58" s="149">
        <v>0</v>
      </c>
      <c r="Y58" s="18"/>
      <c r="Z58" s="149">
        <v>0</v>
      </c>
      <c r="AA58" s="149">
        <f>Tabela4[[#This Row],[VALOR]]-Tabela4[[#This Row],[PNEUS]]-Tabela4[[#This Row],[BATERIA]]</f>
        <v>760</v>
      </c>
      <c r="AB58" s="19" t="s">
        <v>32</v>
      </c>
      <c r="AC58" s="30">
        <v>0</v>
      </c>
      <c r="AD58" s="162">
        <v>0</v>
      </c>
      <c r="AE58" s="162">
        <v>0</v>
      </c>
      <c r="AF58" s="162">
        <v>0</v>
      </c>
      <c r="AG58" s="162">
        <v>0</v>
      </c>
      <c r="AH58" s="162">
        <v>0</v>
      </c>
      <c r="AI58" s="162">
        <v>0</v>
      </c>
      <c r="AJ58" s="162">
        <v>0</v>
      </c>
    </row>
    <row r="59" spans="1:36" x14ac:dyDescent="0.25">
      <c r="A59" s="15" t="s">
        <v>695</v>
      </c>
      <c r="B59" s="15"/>
      <c r="C59" s="141">
        <v>45301</v>
      </c>
      <c r="D59" s="141">
        <v>45302</v>
      </c>
      <c r="E59">
        <f>Tabela4[[#This Row],[DATA FATURAMENTO]]-Tabela4[[#This Row],[DATA ORÇAMENTO]]</f>
        <v>1</v>
      </c>
      <c r="F59" s="15">
        <v>10257</v>
      </c>
      <c r="G59" s="15" t="s">
        <v>22</v>
      </c>
      <c r="H59" s="15"/>
      <c r="I59" s="149">
        <v>890.31</v>
      </c>
      <c r="J59" s="149">
        <v>842.28</v>
      </c>
      <c r="K59" s="150">
        <f>Tabela4[[#This Row],[PECAS]]+Tabela4[[#This Row],[SERVICOS]]</f>
        <v>1732.59</v>
      </c>
      <c r="L59" s="149">
        <v>0</v>
      </c>
      <c r="M59" s="149">
        <v>0</v>
      </c>
      <c r="N59" s="22"/>
      <c r="O59" s="149">
        <v>0</v>
      </c>
      <c r="P59" s="149">
        <v>0</v>
      </c>
      <c r="Q59" s="149">
        <v>0</v>
      </c>
      <c r="R59" s="149">
        <v>0</v>
      </c>
      <c r="S59" s="149">
        <v>0</v>
      </c>
      <c r="T59" s="149">
        <v>0</v>
      </c>
      <c r="U59" s="160">
        <v>0</v>
      </c>
      <c r="V59" s="21"/>
      <c r="W59" s="22">
        <v>4</v>
      </c>
      <c r="X59" s="149">
        <v>0</v>
      </c>
      <c r="Y59" s="18" t="s">
        <v>658</v>
      </c>
      <c r="Z59" s="149">
        <v>0</v>
      </c>
      <c r="AA59" s="149">
        <f>Tabela4[[#This Row],[VALOR]]-Tabela4[[#This Row],[PNEUS]]-Tabela4[[#This Row],[BATERIA]]</f>
        <v>1732.59</v>
      </c>
      <c r="AB59" s="19" t="s">
        <v>24</v>
      </c>
      <c r="AC59" s="30">
        <v>0</v>
      </c>
      <c r="AD59" s="162">
        <v>0</v>
      </c>
      <c r="AE59" s="162">
        <v>0</v>
      </c>
      <c r="AF59" s="162">
        <v>0</v>
      </c>
      <c r="AG59" s="162">
        <v>0</v>
      </c>
      <c r="AH59" s="162">
        <v>0</v>
      </c>
      <c r="AI59" s="162">
        <v>0</v>
      </c>
      <c r="AJ59" s="162">
        <v>0</v>
      </c>
    </row>
    <row r="60" spans="1:36" x14ac:dyDescent="0.25">
      <c r="A60" s="15" t="s">
        <v>696</v>
      </c>
      <c r="B60" s="15"/>
      <c r="C60" s="141">
        <v>45301</v>
      </c>
      <c r="D60" s="141">
        <v>45302</v>
      </c>
      <c r="E60">
        <f>Tabela4[[#This Row],[DATA FATURAMENTO]]-Tabela4[[#This Row],[DATA ORÇAMENTO]]</f>
        <v>1</v>
      </c>
      <c r="F60" s="15">
        <v>10263</v>
      </c>
      <c r="G60" s="15" t="s">
        <v>31</v>
      </c>
      <c r="H60" s="15"/>
      <c r="I60" s="149">
        <v>1025.5999999999999</v>
      </c>
      <c r="J60" s="149">
        <v>274.39999999999998</v>
      </c>
      <c r="K60" s="150">
        <f>Tabela4[[#This Row],[PECAS]]+Tabela4[[#This Row],[SERVICOS]]</f>
        <v>1300</v>
      </c>
      <c r="L60" s="149">
        <v>0</v>
      </c>
      <c r="M60" s="149">
        <v>0</v>
      </c>
      <c r="N60" s="22"/>
      <c r="O60" s="149">
        <v>0</v>
      </c>
      <c r="P60" s="149">
        <v>0</v>
      </c>
      <c r="Q60" s="149">
        <v>0</v>
      </c>
      <c r="R60" s="149">
        <v>0</v>
      </c>
      <c r="S60" s="149">
        <v>0</v>
      </c>
      <c r="T60" s="149">
        <v>0</v>
      </c>
      <c r="U60" s="160">
        <v>0</v>
      </c>
      <c r="V60" s="21"/>
      <c r="W60" s="22">
        <v>0</v>
      </c>
      <c r="X60" s="149">
        <v>0</v>
      </c>
      <c r="Y60" s="18"/>
      <c r="Z60" s="149">
        <v>0</v>
      </c>
      <c r="AA60" s="149">
        <f>Tabela4[[#This Row],[VALOR]]-Tabela4[[#This Row],[PNEUS]]-Tabela4[[#This Row],[BATERIA]]</f>
        <v>1300</v>
      </c>
      <c r="AB60" s="19" t="s">
        <v>32</v>
      </c>
      <c r="AC60" s="30">
        <v>0</v>
      </c>
      <c r="AD60" s="162">
        <v>0</v>
      </c>
      <c r="AE60" s="162">
        <v>0</v>
      </c>
      <c r="AF60" s="162">
        <v>0</v>
      </c>
      <c r="AG60" s="162">
        <v>0</v>
      </c>
      <c r="AH60" s="162">
        <v>0</v>
      </c>
      <c r="AI60" s="162">
        <v>0</v>
      </c>
      <c r="AJ60" s="162">
        <v>0</v>
      </c>
    </row>
    <row r="61" spans="1:36" x14ac:dyDescent="0.25">
      <c r="A61" s="15" t="s">
        <v>255</v>
      </c>
      <c r="B61" s="15"/>
      <c r="C61" s="141">
        <v>45302</v>
      </c>
      <c r="D61" s="141">
        <v>45302</v>
      </c>
      <c r="E61">
        <f>Tabela4[[#This Row],[DATA FATURAMENTO]]-Tabela4[[#This Row],[DATA ORÇAMENTO]]</f>
        <v>0</v>
      </c>
      <c r="F61" s="15">
        <v>10274</v>
      </c>
      <c r="G61" s="15" t="s">
        <v>22</v>
      </c>
      <c r="H61" s="15"/>
      <c r="I61" s="149">
        <v>1838.65</v>
      </c>
      <c r="J61" s="149">
        <v>792.65</v>
      </c>
      <c r="K61" s="150">
        <f>Tabela4[[#This Row],[PECAS]]+Tabela4[[#This Row],[SERVICOS]]</f>
        <v>2631.3</v>
      </c>
      <c r="L61" s="149">
        <v>0</v>
      </c>
      <c r="M61" s="149">
        <f>130+35+147.84</f>
        <v>312.84000000000003</v>
      </c>
      <c r="N61" s="22"/>
      <c r="O61" s="149">
        <v>0</v>
      </c>
      <c r="P61" s="149">
        <v>0</v>
      </c>
      <c r="Q61" s="149">
        <v>0</v>
      </c>
      <c r="R61" s="149">
        <v>0</v>
      </c>
      <c r="S61" s="149">
        <v>0</v>
      </c>
      <c r="T61" s="149">
        <v>0</v>
      </c>
      <c r="U61" s="160">
        <v>0</v>
      </c>
      <c r="V61" s="21"/>
      <c r="W61" s="22">
        <v>0</v>
      </c>
      <c r="X61" s="149">
        <v>0</v>
      </c>
      <c r="Y61" s="18"/>
      <c r="Z61" s="149">
        <v>0</v>
      </c>
      <c r="AA61" s="149">
        <f>Tabela4[[#This Row],[VALOR]]-Tabela4[[#This Row],[PNEUS]]-Tabela4[[#This Row],[BATERIA]]</f>
        <v>2631.3</v>
      </c>
      <c r="AB61" s="19" t="s">
        <v>27</v>
      </c>
      <c r="AC61" s="30">
        <v>0</v>
      </c>
      <c r="AD61" s="162">
        <v>0</v>
      </c>
      <c r="AE61" s="162">
        <v>0</v>
      </c>
      <c r="AF61" s="162">
        <v>0</v>
      </c>
      <c r="AG61" s="162">
        <v>0</v>
      </c>
      <c r="AH61" s="162">
        <v>0</v>
      </c>
      <c r="AI61" s="162">
        <v>0</v>
      </c>
      <c r="AJ61" s="162">
        <v>0</v>
      </c>
    </row>
    <row r="62" spans="1:36" x14ac:dyDescent="0.25">
      <c r="A62" s="15" t="s">
        <v>697</v>
      </c>
      <c r="B62" s="15"/>
      <c r="C62" s="141">
        <v>45302</v>
      </c>
      <c r="D62" s="141">
        <v>45302</v>
      </c>
      <c r="E62">
        <f>Tabela4[[#This Row],[DATA FATURAMENTO]]-Tabela4[[#This Row],[DATA ORÇAMENTO]]</f>
        <v>0</v>
      </c>
      <c r="F62" s="15">
        <v>10272</v>
      </c>
      <c r="G62" s="15" t="s">
        <v>37</v>
      </c>
      <c r="H62" s="15"/>
      <c r="I62" s="149">
        <v>25</v>
      </c>
      <c r="J62" s="149">
        <v>20</v>
      </c>
      <c r="K62" s="150">
        <f>Tabela4[[#This Row],[PECAS]]+Tabela4[[#This Row],[SERVICOS]]</f>
        <v>45</v>
      </c>
      <c r="L62" s="149">
        <v>0</v>
      </c>
      <c r="M62" s="149">
        <v>0</v>
      </c>
      <c r="N62" s="22"/>
      <c r="O62" s="149">
        <v>0</v>
      </c>
      <c r="P62" s="149">
        <v>0</v>
      </c>
      <c r="Q62" s="149">
        <v>0</v>
      </c>
      <c r="R62" s="149">
        <v>0</v>
      </c>
      <c r="S62" s="149">
        <v>0</v>
      </c>
      <c r="T62" s="149">
        <v>0</v>
      </c>
      <c r="U62" s="160">
        <v>0</v>
      </c>
      <c r="V62" s="21"/>
      <c r="W62" s="22">
        <v>0</v>
      </c>
      <c r="X62" s="149">
        <v>0</v>
      </c>
      <c r="Y62" s="18"/>
      <c r="Z62" s="149">
        <v>0</v>
      </c>
      <c r="AA62" s="149">
        <f>Tabela4[[#This Row],[VALOR]]-Tabela4[[#This Row],[PNEUS]]-Tabela4[[#This Row],[BATERIA]]</f>
        <v>45</v>
      </c>
      <c r="AB62" s="19" t="s">
        <v>38</v>
      </c>
      <c r="AC62" s="30">
        <v>0</v>
      </c>
      <c r="AD62" s="162">
        <v>0</v>
      </c>
      <c r="AE62" s="162">
        <v>0</v>
      </c>
      <c r="AF62" s="162">
        <v>0</v>
      </c>
      <c r="AG62" s="162">
        <v>0</v>
      </c>
      <c r="AH62" s="162">
        <v>0</v>
      </c>
      <c r="AI62" s="162">
        <v>0</v>
      </c>
      <c r="AJ62" s="162">
        <v>0</v>
      </c>
    </row>
    <row r="63" spans="1:36" x14ac:dyDescent="0.25">
      <c r="A63" s="15" t="s">
        <v>698</v>
      </c>
      <c r="B63" s="15"/>
      <c r="C63" s="141">
        <v>45282</v>
      </c>
      <c r="D63" s="141">
        <v>45303</v>
      </c>
      <c r="E63">
        <f>Tabela4[[#This Row],[DATA FATURAMENTO]]-Tabela4[[#This Row],[DATA ORÇAMENTO]]</f>
        <v>21</v>
      </c>
      <c r="F63" s="17">
        <v>10077</v>
      </c>
      <c r="G63" s="15" t="s">
        <v>6</v>
      </c>
      <c r="H63" s="15"/>
      <c r="I63" s="149">
        <v>473.9</v>
      </c>
      <c r="J63" s="149">
        <v>0</v>
      </c>
      <c r="K63" s="150">
        <f>Tabela4[[#This Row],[PECAS]]+Tabela4[[#This Row],[SERVICOS]]</f>
        <v>473.9</v>
      </c>
      <c r="L63" s="149">
        <v>0</v>
      </c>
      <c r="M63" s="149">
        <v>0</v>
      </c>
      <c r="N63" s="22"/>
      <c r="O63" s="149">
        <v>0</v>
      </c>
      <c r="P63" s="149">
        <v>0</v>
      </c>
      <c r="Q63" s="149">
        <v>0</v>
      </c>
      <c r="R63" s="149">
        <v>0</v>
      </c>
      <c r="S63" s="149">
        <v>0</v>
      </c>
      <c r="T63" s="149">
        <v>0</v>
      </c>
      <c r="U63" s="160">
        <v>473.9</v>
      </c>
      <c r="V63" s="21" t="s">
        <v>640</v>
      </c>
      <c r="W63" s="22">
        <v>0</v>
      </c>
      <c r="X63" s="149">
        <v>0</v>
      </c>
      <c r="Y63" s="18"/>
      <c r="Z63" s="149">
        <v>0</v>
      </c>
      <c r="AA63" s="149">
        <f>K63-U63-T63</f>
        <v>0</v>
      </c>
      <c r="AB63" s="19" t="s">
        <v>6</v>
      </c>
      <c r="AC63" s="30">
        <v>0</v>
      </c>
      <c r="AD63" s="162">
        <v>0</v>
      </c>
      <c r="AE63" s="162">
        <v>0</v>
      </c>
      <c r="AF63" s="162">
        <v>0</v>
      </c>
      <c r="AG63" s="162">
        <v>0</v>
      </c>
      <c r="AH63" s="162">
        <v>0</v>
      </c>
      <c r="AI63" s="162">
        <v>0</v>
      </c>
      <c r="AJ63" s="162">
        <v>0</v>
      </c>
    </row>
    <row r="64" spans="1:36" x14ac:dyDescent="0.25">
      <c r="A64" s="15" t="s">
        <v>699</v>
      </c>
      <c r="B64" s="15"/>
      <c r="C64" s="141">
        <v>45286</v>
      </c>
      <c r="D64" s="141">
        <v>45303</v>
      </c>
      <c r="E64">
        <f>Tabela4[[#This Row],[DATA FATURAMENTO]]-Tabela4[[#This Row],[DATA ORÇAMENTO]]</f>
        <v>17</v>
      </c>
      <c r="F64" s="17">
        <v>10112</v>
      </c>
      <c r="G64" s="15" t="s">
        <v>6</v>
      </c>
      <c r="H64" s="15"/>
      <c r="I64" s="149">
        <v>819.9</v>
      </c>
      <c r="J64" s="149">
        <v>0</v>
      </c>
      <c r="K64" s="150">
        <f>Tabela4[[#This Row],[PECAS]]+Tabela4[[#This Row],[SERVICOS]]</f>
        <v>819.9</v>
      </c>
      <c r="L64" s="149">
        <v>0</v>
      </c>
      <c r="M64" s="149">
        <v>0</v>
      </c>
      <c r="N64" s="22"/>
      <c r="O64" s="149">
        <v>0</v>
      </c>
      <c r="P64" s="149">
        <v>0</v>
      </c>
      <c r="Q64" s="149">
        <v>0</v>
      </c>
      <c r="R64" s="149">
        <v>0</v>
      </c>
      <c r="S64" s="149">
        <v>0</v>
      </c>
      <c r="T64" s="149">
        <v>0</v>
      </c>
      <c r="U64" s="160">
        <v>819.9</v>
      </c>
      <c r="V64" s="21" t="s">
        <v>700</v>
      </c>
      <c r="W64" s="22">
        <v>0</v>
      </c>
      <c r="X64" s="149">
        <v>0</v>
      </c>
      <c r="Y64" s="18"/>
      <c r="Z64" s="149">
        <v>0</v>
      </c>
      <c r="AA64" s="149">
        <f>K64-U64-T64</f>
        <v>0</v>
      </c>
      <c r="AB64" s="19" t="s">
        <v>6</v>
      </c>
      <c r="AC64" s="30">
        <v>0</v>
      </c>
      <c r="AD64" s="162">
        <v>0</v>
      </c>
      <c r="AE64" s="162">
        <v>0</v>
      </c>
      <c r="AF64" s="162">
        <v>0</v>
      </c>
      <c r="AG64" s="162">
        <v>0</v>
      </c>
      <c r="AH64" s="162">
        <v>0</v>
      </c>
      <c r="AI64" s="162">
        <v>0</v>
      </c>
      <c r="AJ64" s="162">
        <v>0</v>
      </c>
    </row>
    <row r="65" spans="1:36" x14ac:dyDescent="0.25">
      <c r="A65" s="15" t="s">
        <v>189</v>
      </c>
      <c r="B65" s="15"/>
      <c r="C65" s="141">
        <v>45295</v>
      </c>
      <c r="D65" s="141">
        <v>45303</v>
      </c>
      <c r="E65">
        <f>Tabela4[[#This Row],[DATA FATURAMENTO]]-Tabela4[[#This Row],[DATA ORÇAMENTO]]</f>
        <v>8</v>
      </c>
      <c r="F65" s="15">
        <v>10191</v>
      </c>
      <c r="G65" s="15" t="s">
        <v>28</v>
      </c>
      <c r="H65" s="15"/>
      <c r="I65" s="149">
        <v>965.3</v>
      </c>
      <c r="J65" s="149">
        <v>451.6</v>
      </c>
      <c r="K65" s="150">
        <f>Tabela4[[#This Row],[PECAS]]+Tabela4[[#This Row],[SERVICOS]]</f>
        <v>1416.9</v>
      </c>
      <c r="L65" s="149">
        <v>0</v>
      </c>
      <c r="M65" s="149">
        <v>0</v>
      </c>
      <c r="N65" s="22"/>
      <c r="O65" s="149">
        <v>0</v>
      </c>
      <c r="P65" s="149">
        <v>0</v>
      </c>
      <c r="Q65" s="149">
        <v>0</v>
      </c>
      <c r="R65" s="149">
        <v>0</v>
      </c>
      <c r="S65" s="149">
        <v>0</v>
      </c>
      <c r="T65" s="149">
        <v>0</v>
      </c>
      <c r="U65" s="160">
        <v>0</v>
      </c>
      <c r="V65" s="21"/>
      <c r="W65" s="22">
        <v>3</v>
      </c>
      <c r="X65" s="149">
        <v>0</v>
      </c>
      <c r="Y65" s="18" t="s">
        <v>654</v>
      </c>
      <c r="Z65" s="149">
        <v>0</v>
      </c>
      <c r="AA65" s="149">
        <f>Tabela4[[#This Row],[VALOR]]-Tabela4[[#This Row],[PNEUS]]-Tabela4[[#This Row],[BATERIA]]</f>
        <v>1416.9</v>
      </c>
      <c r="AB65" s="19" t="s">
        <v>24</v>
      </c>
      <c r="AC65" s="30">
        <v>0</v>
      </c>
      <c r="AD65" s="162">
        <v>0</v>
      </c>
      <c r="AE65" s="162">
        <v>0</v>
      </c>
      <c r="AF65" s="162">
        <v>0</v>
      </c>
      <c r="AG65" s="162">
        <v>0</v>
      </c>
      <c r="AH65" s="162">
        <v>0</v>
      </c>
      <c r="AI65" s="162">
        <v>0</v>
      </c>
      <c r="AJ65" s="162">
        <v>0</v>
      </c>
    </row>
    <row r="66" spans="1:36" x14ac:dyDescent="0.25">
      <c r="A66" s="15" t="s">
        <v>701</v>
      </c>
      <c r="B66" s="15"/>
      <c r="C66" s="141">
        <v>45299</v>
      </c>
      <c r="D66" s="141">
        <v>45303</v>
      </c>
      <c r="E66">
        <f>Tabela4[[#This Row],[DATA FATURAMENTO]]-Tabela4[[#This Row],[DATA ORÇAMENTO]]</f>
        <v>4</v>
      </c>
      <c r="F66" s="17">
        <v>10229</v>
      </c>
      <c r="G66" s="15" t="s">
        <v>6</v>
      </c>
      <c r="H66" s="15"/>
      <c r="I66" s="149">
        <v>517.9</v>
      </c>
      <c r="J66" s="149">
        <v>0</v>
      </c>
      <c r="K66" s="150">
        <f>Tabela4[[#This Row],[PECAS]]+Tabela4[[#This Row],[SERVICOS]]</f>
        <v>517.9</v>
      </c>
      <c r="L66" s="149">
        <v>0</v>
      </c>
      <c r="M66" s="149">
        <v>0</v>
      </c>
      <c r="N66" s="22"/>
      <c r="O66" s="149">
        <v>0</v>
      </c>
      <c r="P66" s="149">
        <v>0</v>
      </c>
      <c r="Q66" s="149">
        <v>0</v>
      </c>
      <c r="R66" s="149">
        <v>0</v>
      </c>
      <c r="S66" s="149">
        <v>0</v>
      </c>
      <c r="T66" s="149">
        <v>0</v>
      </c>
      <c r="U66" s="160">
        <v>517.9</v>
      </c>
      <c r="V66" s="21" t="s">
        <v>661</v>
      </c>
      <c r="W66" s="22">
        <v>0</v>
      </c>
      <c r="X66" s="149">
        <v>0</v>
      </c>
      <c r="Y66" s="18"/>
      <c r="Z66" s="149">
        <v>0</v>
      </c>
      <c r="AA66" s="149">
        <f>K66-U66-T66</f>
        <v>0</v>
      </c>
      <c r="AB66" s="19" t="s">
        <v>6</v>
      </c>
      <c r="AC66" s="30">
        <v>0</v>
      </c>
      <c r="AD66" s="162">
        <v>0</v>
      </c>
      <c r="AE66" s="162">
        <v>0</v>
      </c>
      <c r="AF66" s="162">
        <v>0</v>
      </c>
      <c r="AG66" s="162">
        <v>0</v>
      </c>
      <c r="AH66" s="162">
        <v>0</v>
      </c>
      <c r="AI66" s="162">
        <v>0</v>
      </c>
      <c r="AJ66" s="162">
        <v>0</v>
      </c>
    </row>
    <row r="67" spans="1:36" x14ac:dyDescent="0.25">
      <c r="A67" s="15" t="s">
        <v>702</v>
      </c>
      <c r="B67" s="15"/>
      <c r="C67" s="141">
        <v>45302</v>
      </c>
      <c r="D67" s="141">
        <v>45303</v>
      </c>
      <c r="E67">
        <f>Tabela4[[#This Row],[DATA FATURAMENTO]]-Tabela4[[#This Row],[DATA ORÇAMENTO]]</f>
        <v>1</v>
      </c>
      <c r="F67" s="15">
        <v>10277</v>
      </c>
      <c r="G67" s="15" t="s">
        <v>22</v>
      </c>
      <c r="H67" s="15"/>
      <c r="I67" s="149">
        <v>1721.2</v>
      </c>
      <c r="J67" s="149">
        <v>1398.81</v>
      </c>
      <c r="K67" s="150">
        <f>Tabela4[[#This Row],[PECAS]]+Tabela4[[#This Row],[SERVICOS]]</f>
        <v>3120.01</v>
      </c>
      <c r="L67" s="149">
        <v>0</v>
      </c>
      <c r="M67" s="149">
        <v>0</v>
      </c>
      <c r="N67" s="22"/>
      <c r="O67" s="149">
        <v>220</v>
      </c>
      <c r="P67" s="149">
        <v>0</v>
      </c>
      <c r="Q67" s="149">
        <v>190</v>
      </c>
      <c r="R67" s="149">
        <v>12</v>
      </c>
      <c r="S67" s="149">
        <v>80</v>
      </c>
      <c r="T67" s="149">
        <v>0</v>
      </c>
      <c r="U67" s="160">
        <v>0</v>
      </c>
      <c r="V67" s="21"/>
      <c r="W67" s="22">
        <v>4</v>
      </c>
      <c r="X67" s="149">
        <v>0</v>
      </c>
      <c r="Y67" s="18" t="s">
        <v>638</v>
      </c>
      <c r="Z67" s="149">
        <v>80</v>
      </c>
      <c r="AA67" s="149">
        <f>Tabela4[[#This Row],[VALOR]]-Tabela4[[#This Row],[PNEUS]]-Tabela4[[#This Row],[BATERIA]]</f>
        <v>3120.01</v>
      </c>
      <c r="AB67" s="19" t="s">
        <v>30</v>
      </c>
      <c r="AC67" s="30">
        <v>0</v>
      </c>
      <c r="AD67" s="162">
        <v>0</v>
      </c>
      <c r="AE67" s="162">
        <v>0</v>
      </c>
      <c r="AF67" s="162">
        <v>0</v>
      </c>
      <c r="AG67" s="162">
        <v>0</v>
      </c>
      <c r="AH67" s="162">
        <v>0</v>
      </c>
      <c r="AI67" s="162">
        <v>0</v>
      </c>
      <c r="AJ67" s="162">
        <v>0</v>
      </c>
    </row>
    <row r="68" spans="1:36" x14ac:dyDescent="0.25">
      <c r="A68" s="15" t="s">
        <v>703</v>
      </c>
      <c r="B68" s="15"/>
      <c r="C68" s="141">
        <v>45302</v>
      </c>
      <c r="D68" s="141">
        <v>45303</v>
      </c>
      <c r="E68">
        <f>Tabela4[[#This Row],[DATA FATURAMENTO]]-Tabela4[[#This Row],[DATA ORÇAMENTO]]</f>
        <v>1</v>
      </c>
      <c r="F68" s="17">
        <v>10271</v>
      </c>
      <c r="G68" s="15" t="s">
        <v>6</v>
      </c>
      <c r="H68" s="15"/>
      <c r="I68" s="149">
        <v>465</v>
      </c>
      <c r="J68" s="149">
        <v>0</v>
      </c>
      <c r="K68" s="150">
        <f>Tabela4[[#This Row],[PECAS]]+Tabela4[[#This Row],[SERVICOS]]</f>
        <v>465</v>
      </c>
      <c r="L68" s="149">
        <v>0</v>
      </c>
      <c r="M68" s="149">
        <v>0</v>
      </c>
      <c r="N68" s="22"/>
      <c r="O68" s="149">
        <v>0</v>
      </c>
      <c r="P68" s="149">
        <v>0</v>
      </c>
      <c r="Q68" s="149">
        <v>0</v>
      </c>
      <c r="R68" s="149">
        <v>0</v>
      </c>
      <c r="S68" s="149">
        <v>0</v>
      </c>
      <c r="T68" s="149">
        <v>0</v>
      </c>
      <c r="U68" s="160">
        <v>465</v>
      </c>
      <c r="V68" s="21"/>
      <c r="W68" s="22">
        <v>3</v>
      </c>
      <c r="X68" s="149">
        <v>0</v>
      </c>
      <c r="Y68" s="18" t="s">
        <v>659</v>
      </c>
      <c r="Z68" s="149">
        <v>75</v>
      </c>
      <c r="AA68" s="149">
        <f>K68-U68-T68</f>
        <v>0</v>
      </c>
      <c r="AB68" s="19" t="s">
        <v>6</v>
      </c>
      <c r="AC68" s="30">
        <v>0</v>
      </c>
      <c r="AD68" s="162">
        <v>0</v>
      </c>
      <c r="AE68" s="162">
        <v>0</v>
      </c>
      <c r="AF68" s="162">
        <v>0</v>
      </c>
      <c r="AG68" s="162">
        <v>0</v>
      </c>
      <c r="AH68" s="162">
        <v>0</v>
      </c>
      <c r="AI68" s="162">
        <v>0</v>
      </c>
      <c r="AJ68" s="162">
        <v>0</v>
      </c>
    </row>
    <row r="69" spans="1:36" x14ac:dyDescent="0.25">
      <c r="A69" s="15" t="s">
        <v>704</v>
      </c>
      <c r="B69" s="15"/>
      <c r="C69" s="141">
        <v>45302</v>
      </c>
      <c r="D69" s="141">
        <v>45303</v>
      </c>
      <c r="E69">
        <f>Tabela4[[#This Row],[DATA FATURAMENTO]]-Tabela4[[#This Row],[DATA ORÇAMENTO]]</f>
        <v>1</v>
      </c>
      <c r="F69" s="15">
        <v>10275</v>
      </c>
      <c r="G69" s="15" t="s">
        <v>31</v>
      </c>
      <c r="H69" s="15"/>
      <c r="I69" s="149">
        <v>82</v>
      </c>
      <c r="J69" s="149">
        <v>88</v>
      </c>
      <c r="K69" s="150">
        <f>Tabela4[[#This Row],[PECAS]]+Tabela4[[#This Row],[SERVICOS]]</f>
        <v>170</v>
      </c>
      <c r="L69" s="149">
        <v>0</v>
      </c>
      <c r="M69" s="149">
        <v>0</v>
      </c>
      <c r="N69" s="22"/>
      <c r="O69" s="149">
        <v>0</v>
      </c>
      <c r="P69" s="149">
        <v>0</v>
      </c>
      <c r="Q69" s="149">
        <v>0</v>
      </c>
      <c r="R69" s="149">
        <v>0</v>
      </c>
      <c r="S69" s="149">
        <v>0</v>
      </c>
      <c r="T69" s="149">
        <v>0</v>
      </c>
      <c r="U69" s="160">
        <v>0</v>
      </c>
      <c r="V69" s="21" t="s">
        <v>637</v>
      </c>
      <c r="W69" s="22">
        <v>0</v>
      </c>
      <c r="X69" s="149">
        <v>0</v>
      </c>
      <c r="Y69" s="18"/>
      <c r="Z69" s="149">
        <v>0</v>
      </c>
      <c r="AA69" s="149">
        <f>Tabela4[[#This Row],[VALOR]]-Tabela4[[#This Row],[PNEUS]]-Tabela4[[#This Row],[BATERIA]]</f>
        <v>170</v>
      </c>
      <c r="AB69" s="19" t="s">
        <v>24</v>
      </c>
      <c r="AC69" s="30">
        <v>0</v>
      </c>
      <c r="AD69" s="162">
        <v>0</v>
      </c>
      <c r="AE69" s="162">
        <v>0</v>
      </c>
      <c r="AF69" s="162">
        <v>0</v>
      </c>
      <c r="AG69" s="162">
        <v>0</v>
      </c>
      <c r="AH69" s="162">
        <v>0</v>
      </c>
      <c r="AI69" s="162">
        <v>0</v>
      </c>
      <c r="AJ69" s="162">
        <v>0</v>
      </c>
    </row>
    <row r="70" spans="1:36" x14ac:dyDescent="0.25">
      <c r="A70" s="15" t="s">
        <v>300</v>
      </c>
      <c r="B70" s="15"/>
      <c r="C70" s="141">
        <v>45303</v>
      </c>
      <c r="D70" s="141">
        <v>45303</v>
      </c>
      <c r="E70">
        <f>Tabela4[[#This Row],[DATA FATURAMENTO]]-Tabela4[[#This Row],[DATA ORÇAMENTO]]</f>
        <v>0</v>
      </c>
      <c r="F70" s="15">
        <v>10287</v>
      </c>
      <c r="G70" s="15" t="s">
        <v>22</v>
      </c>
      <c r="H70" s="15"/>
      <c r="I70" s="149">
        <v>487.6</v>
      </c>
      <c r="J70" s="149">
        <v>162.4</v>
      </c>
      <c r="K70" s="150">
        <f>Tabela4[[#This Row],[PECAS]]+Tabela4[[#This Row],[SERVICOS]]</f>
        <v>650</v>
      </c>
      <c r="L70" s="149">
        <v>0</v>
      </c>
      <c r="M70" s="149">
        <v>0</v>
      </c>
      <c r="N70" s="22"/>
      <c r="O70" s="149">
        <v>0</v>
      </c>
      <c r="P70" s="149">
        <v>0</v>
      </c>
      <c r="Q70" s="149">
        <v>0</v>
      </c>
      <c r="R70" s="149">
        <v>0</v>
      </c>
      <c r="S70" s="149">
        <v>75</v>
      </c>
      <c r="T70" s="149">
        <v>0</v>
      </c>
      <c r="U70" s="160">
        <v>0</v>
      </c>
      <c r="V70" s="21"/>
      <c r="W70" s="22">
        <v>0</v>
      </c>
      <c r="X70" s="149">
        <v>0</v>
      </c>
      <c r="Y70" s="18"/>
      <c r="Z70" s="149">
        <v>0</v>
      </c>
      <c r="AA70" s="149">
        <f>Tabela4[[#This Row],[VALOR]]-Tabela4[[#This Row],[PNEUS]]-Tabela4[[#This Row],[BATERIA]]</f>
        <v>650</v>
      </c>
      <c r="AB70" s="19" t="s">
        <v>32</v>
      </c>
      <c r="AC70" s="30">
        <v>0</v>
      </c>
      <c r="AD70" s="162">
        <v>0</v>
      </c>
      <c r="AE70" s="162">
        <v>0</v>
      </c>
      <c r="AF70" s="162">
        <v>0</v>
      </c>
      <c r="AG70" s="162">
        <v>0</v>
      </c>
      <c r="AH70" s="162">
        <v>0</v>
      </c>
      <c r="AI70" s="162">
        <v>0</v>
      </c>
      <c r="AJ70" s="162">
        <v>0</v>
      </c>
    </row>
    <row r="71" spans="1:36" x14ac:dyDescent="0.25">
      <c r="A71" s="15" t="s">
        <v>705</v>
      </c>
      <c r="B71" s="15"/>
      <c r="C71" s="141">
        <v>45303</v>
      </c>
      <c r="D71" s="141">
        <v>45303</v>
      </c>
      <c r="E71">
        <f>Tabela4[[#This Row],[DATA FATURAMENTO]]-Tabela4[[#This Row],[DATA ORÇAMENTO]]</f>
        <v>0</v>
      </c>
      <c r="F71" s="15">
        <v>10278</v>
      </c>
      <c r="G71" s="15" t="s">
        <v>22</v>
      </c>
      <c r="H71" s="15"/>
      <c r="I71" s="149">
        <v>0</v>
      </c>
      <c r="J71" s="149">
        <v>110.02</v>
      </c>
      <c r="K71" s="150">
        <f>Tabela4[[#This Row],[PECAS]]+Tabela4[[#This Row],[SERVICOS]]</f>
        <v>110.02</v>
      </c>
      <c r="L71" s="149">
        <v>0</v>
      </c>
      <c r="M71" s="149">
        <v>0</v>
      </c>
      <c r="N71" s="22"/>
      <c r="O71" s="149">
        <v>0</v>
      </c>
      <c r="P71" s="149">
        <v>0</v>
      </c>
      <c r="Q71" s="149">
        <v>0</v>
      </c>
      <c r="R71" s="149">
        <v>0</v>
      </c>
      <c r="S71" s="149">
        <v>0</v>
      </c>
      <c r="T71" s="149">
        <v>0</v>
      </c>
      <c r="U71" s="160">
        <v>0</v>
      </c>
      <c r="V71" s="21"/>
      <c r="W71" s="22">
        <v>0</v>
      </c>
      <c r="X71" s="149">
        <v>0</v>
      </c>
      <c r="Y71" s="18"/>
      <c r="Z71" s="149">
        <v>0</v>
      </c>
      <c r="AA71" s="149">
        <f>Tabela4[[#This Row],[VALOR]]-Tabela4[[#This Row],[PNEUS]]-Tabela4[[#This Row],[BATERIA]]</f>
        <v>110.02</v>
      </c>
      <c r="AB71" s="19" t="s">
        <v>30</v>
      </c>
      <c r="AC71" s="30">
        <v>0</v>
      </c>
      <c r="AD71" s="162">
        <v>0</v>
      </c>
      <c r="AE71" s="162">
        <v>0</v>
      </c>
      <c r="AF71" s="162">
        <v>0</v>
      </c>
      <c r="AG71" s="162">
        <v>0</v>
      </c>
      <c r="AH71" s="162">
        <v>0</v>
      </c>
      <c r="AI71" s="162">
        <v>0</v>
      </c>
      <c r="AJ71" s="162">
        <v>0</v>
      </c>
    </row>
    <row r="72" spans="1:36" x14ac:dyDescent="0.25">
      <c r="A72" s="15" t="s">
        <v>706</v>
      </c>
      <c r="B72" s="15"/>
      <c r="C72" s="141">
        <v>45303</v>
      </c>
      <c r="D72" s="141">
        <v>45303</v>
      </c>
      <c r="E72">
        <f>Tabela4[[#This Row],[DATA FATURAMENTO]]-Tabela4[[#This Row],[DATA ORÇAMENTO]]</f>
        <v>0</v>
      </c>
      <c r="F72" s="17">
        <v>10281</v>
      </c>
      <c r="G72" s="15" t="s">
        <v>6</v>
      </c>
      <c r="H72" s="15"/>
      <c r="I72" s="149">
        <v>473.9</v>
      </c>
      <c r="J72" s="149">
        <v>0</v>
      </c>
      <c r="K72" s="150">
        <f>Tabela4[[#This Row],[PECAS]]+Tabela4[[#This Row],[SERVICOS]]</f>
        <v>473.9</v>
      </c>
      <c r="L72" s="149">
        <v>0</v>
      </c>
      <c r="M72" s="149">
        <v>0</v>
      </c>
      <c r="N72" s="22"/>
      <c r="O72" s="149">
        <v>0</v>
      </c>
      <c r="P72" s="149">
        <v>0</v>
      </c>
      <c r="Q72" s="149">
        <v>0</v>
      </c>
      <c r="R72" s="149">
        <v>0</v>
      </c>
      <c r="S72" s="149">
        <v>0</v>
      </c>
      <c r="T72" s="149">
        <v>0</v>
      </c>
      <c r="U72" s="160">
        <v>473.9</v>
      </c>
      <c r="V72" s="21" t="s">
        <v>707</v>
      </c>
      <c r="W72" s="22">
        <v>0</v>
      </c>
      <c r="X72" s="149">
        <v>0</v>
      </c>
      <c r="Y72" s="18"/>
      <c r="Z72" s="149">
        <v>0</v>
      </c>
      <c r="AA72" s="149">
        <f>K72-U72-T72</f>
        <v>0</v>
      </c>
      <c r="AB72" s="19" t="s">
        <v>6</v>
      </c>
      <c r="AC72" s="30">
        <v>0</v>
      </c>
      <c r="AD72" s="162">
        <v>0</v>
      </c>
      <c r="AE72" s="162">
        <v>0</v>
      </c>
      <c r="AF72" s="162">
        <v>0</v>
      </c>
      <c r="AG72" s="162">
        <v>0</v>
      </c>
      <c r="AH72" s="162">
        <v>0</v>
      </c>
      <c r="AI72" s="162">
        <v>0</v>
      </c>
      <c r="AJ72" s="162">
        <v>0</v>
      </c>
    </row>
    <row r="73" spans="1:36" x14ac:dyDescent="0.25">
      <c r="A73" s="15" t="s">
        <v>708</v>
      </c>
      <c r="B73" s="15"/>
      <c r="C73" s="141">
        <v>45303</v>
      </c>
      <c r="D73" s="141">
        <v>45303</v>
      </c>
      <c r="E73">
        <f>Tabela4[[#This Row],[DATA FATURAMENTO]]-Tabela4[[#This Row],[DATA ORÇAMENTO]]</f>
        <v>0</v>
      </c>
      <c r="F73" s="15">
        <v>10283</v>
      </c>
      <c r="G73" s="15" t="s">
        <v>31</v>
      </c>
      <c r="H73" s="15"/>
      <c r="I73" s="149">
        <v>514.4</v>
      </c>
      <c r="J73" s="149">
        <v>185.6</v>
      </c>
      <c r="K73" s="150">
        <f>Tabela4[[#This Row],[PECAS]]+Tabela4[[#This Row],[SERVICOS]]</f>
        <v>700</v>
      </c>
      <c r="L73" s="149">
        <v>0</v>
      </c>
      <c r="M73" s="149">
        <v>0</v>
      </c>
      <c r="N73" s="22"/>
      <c r="O73" s="149">
        <v>0</v>
      </c>
      <c r="P73" s="149">
        <v>0</v>
      </c>
      <c r="Q73" s="149">
        <v>0</v>
      </c>
      <c r="R73" s="149">
        <v>0</v>
      </c>
      <c r="S73" s="149">
        <v>0</v>
      </c>
      <c r="T73" s="149">
        <v>0</v>
      </c>
      <c r="U73" s="160">
        <v>0</v>
      </c>
      <c r="V73" s="21"/>
      <c r="W73" s="22">
        <v>0</v>
      </c>
      <c r="X73" s="149">
        <v>0</v>
      </c>
      <c r="Y73" s="18"/>
      <c r="Z73" s="149">
        <v>0</v>
      </c>
      <c r="AA73" s="149">
        <f>Tabela4[[#This Row],[VALOR]]-Tabela4[[#This Row],[PNEUS]]-Tabela4[[#This Row],[BATERIA]]</f>
        <v>700</v>
      </c>
      <c r="AB73" s="19" t="s">
        <v>27</v>
      </c>
      <c r="AC73" s="30">
        <v>0</v>
      </c>
      <c r="AD73" s="162">
        <v>0</v>
      </c>
      <c r="AE73" s="162">
        <v>0</v>
      </c>
      <c r="AF73" s="162">
        <v>0</v>
      </c>
      <c r="AG73" s="162">
        <v>0</v>
      </c>
      <c r="AH73" s="162">
        <v>0</v>
      </c>
      <c r="AI73" s="162">
        <v>0</v>
      </c>
      <c r="AJ73" s="162">
        <v>0</v>
      </c>
    </row>
    <row r="74" spans="1:36" x14ac:dyDescent="0.25">
      <c r="A74" s="15" t="s">
        <v>709</v>
      </c>
      <c r="B74" s="15"/>
      <c r="C74" s="141">
        <v>45303</v>
      </c>
      <c r="D74" s="141">
        <v>45303</v>
      </c>
      <c r="E74">
        <f>Tabela4[[#This Row],[DATA FATURAMENTO]]-Tabela4[[#This Row],[DATA ORÇAMENTO]]</f>
        <v>0</v>
      </c>
      <c r="F74" s="15">
        <v>10285</v>
      </c>
      <c r="G74" s="15" t="s">
        <v>22</v>
      </c>
      <c r="H74" s="15"/>
      <c r="I74" s="149">
        <v>10</v>
      </c>
      <c r="J74" s="149">
        <v>25</v>
      </c>
      <c r="K74" s="150">
        <f>Tabela4[[#This Row],[PECAS]]+Tabela4[[#This Row],[SERVICOS]]</f>
        <v>35</v>
      </c>
      <c r="L74" s="149">
        <v>0</v>
      </c>
      <c r="M74" s="149">
        <v>0</v>
      </c>
      <c r="N74" s="22"/>
      <c r="O74" s="149">
        <v>0</v>
      </c>
      <c r="P74" s="149">
        <v>0</v>
      </c>
      <c r="Q74" s="149">
        <v>0</v>
      </c>
      <c r="R74" s="149">
        <v>0</v>
      </c>
      <c r="S74" s="149">
        <v>0</v>
      </c>
      <c r="T74" s="149">
        <v>0</v>
      </c>
      <c r="U74" s="160">
        <v>0</v>
      </c>
      <c r="V74" s="21"/>
      <c r="W74" s="22">
        <v>0</v>
      </c>
      <c r="X74" s="149">
        <v>0</v>
      </c>
      <c r="Y74" s="18"/>
      <c r="Z74" s="149">
        <v>0</v>
      </c>
      <c r="AA74" s="149">
        <f>Tabela4[[#This Row],[VALOR]]-Tabela4[[#This Row],[PNEUS]]-Tabela4[[#This Row],[BATERIA]]</f>
        <v>35</v>
      </c>
      <c r="AB74" s="19" t="s">
        <v>30</v>
      </c>
      <c r="AC74" s="30">
        <v>0</v>
      </c>
      <c r="AD74" s="162">
        <v>0</v>
      </c>
      <c r="AE74" s="162">
        <v>0</v>
      </c>
      <c r="AF74" s="162">
        <v>0</v>
      </c>
      <c r="AG74" s="162">
        <v>0</v>
      </c>
      <c r="AH74" s="162">
        <v>0</v>
      </c>
      <c r="AI74" s="162">
        <v>0</v>
      </c>
      <c r="AJ74" s="162">
        <v>0</v>
      </c>
    </row>
    <row r="75" spans="1:36" x14ac:dyDescent="0.25">
      <c r="A75" s="15" t="s">
        <v>710</v>
      </c>
      <c r="B75" s="15"/>
      <c r="C75" s="141">
        <v>45303</v>
      </c>
      <c r="D75" s="141">
        <v>45303</v>
      </c>
      <c r="E75">
        <f>Tabela4[[#This Row],[DATA FATURAMENTO]]-Tabela4[[#This Row],[DATA ORÇAMENTO]]</f>
        <v>0</v>
      </c>
      <c r="F75" s="17">
        <v>10286</v>
      </c>
      <c r="G75" s="15" t="s">
        <v>6</v>
      </c>
      <c r="H75" s="15"/>
      <c r="I75" s="149">
        <v>473.9</v>
      </c>
      <c r="J75" s="149">
        <v>0</v>
      </c>
      <c r="K75" s="150">
        <f>Tabela4[[#This Row],[PECAS]]+Tabela4[[#This Row],[SERVICOS]]</f>
        <v>473.9</v>
      </c>
      <c r="L75" s="149">
        <v>0</v>
      </c>
      <c r="M75" s="149">
        <v>0</v>
      </c>
      <c r="N75" s="22"/>
      <c r="O75" s="149">
        <v>0</v>
      </c>
      <c r="P75" s="149">
        <v>0</v>
      </c>
      <c r="Q75" s="149">
        <v>0</v>
      </c>
      <c r="R75" s="149">
        <v>0</v>
      </c>
      <c r="S75" s="149">
        <v>0</v>
      </c>
      <c r="T75" s="149">
        <v>0</v>
      </c>
      <c r="U75" s="160">
        <v>473.9</v>
      </c>
      <c r="V75" s="21" t="s">
        <v>711</v>
      </c>
      <c r="W75" s="22">
        <v>0</v>
      </c>
      <c r="X75" s="149">
        <v>0</v>
      </c>
      <c r="Y75" s="18"/>
      <c r="Z75" s="149">
        <v>0</v>
      </c>
      <c r="AA75" s="149">
        <f>K75-U75-T75</f>
        <v>0</v>
      </c>
      <c r="AB75" s="19" t="s">
        <v>6</v>
      </c>
      <c r="AC75" s="30">
        <v>0</v>
      </c>
      <c r="AD75" s="162">
        <v>0</v>
      </c>
      <c r="AE75" s="162">
        <v>0</v>
      </c>
      <c r="AF75" s="162">
        <v>0</v>
      </c>
      <c r="AG75" s="162">
        <v>0</v>
      </c>
      <c r="AH75" s="162">
        <v>0</v>
      </c>
      <c r="AI75" s="162">
        <v>0</v>
      </c>
      <c r="AJ75" s="162">
        <v>0</v>
      </c>
    </row>
    <row r="76" spans="1:36" x14ac:dyDescent="0.25">
      <c r="A76" s="15" t="s">
        <v>712</v>
      </c>
      <c r="B76" s="15"/>
      <c r="C76" s="141">
        <v>45303</v>
      </c>
      <c r="D76" s="141">
        <v>45303</v>
      </c>
      <c r="E76">
        <f>Tabela4[[#This Row],[DATA FATURAMENTO]]-Tabela4[[#This Row],[DATA ORÇAMENTO]]</f>
        <v>0</v>
      </c>
      <c r="F76" s="15">
        <v>10289</v>
      </c>
      <c r="G76" s="15" t="s">
        <v>39</v>
      </c>
      <c r="H76" s="15" t="s">
        <v>44</v>
      </c>
      <c r="I76" s="149">
        <v>20</v>
      </c>
      <c r="J76" s="149">
        <v>120</v>
      </c>
      <c r="K76" s="150">
        <f>Tabela4[[#This Row],[PECAS]]+Tabela4[[#This Row],[SERVICOS]]</f>
        <v>140</v>
      </c>
      <c r="L76" s="149">
        <v>0</v>
      </c>
      <c r="M76" s="149">
        <v>0</v>
      </c>
      <c r="N76" s="22"/>
      <c r="O76" s="149">
        <v>0</v>
      </c>
      <c r="P76" s="149">
        <v>0</v>
      </c>
      <c r="Q76" s="149">
        <v>0</v>
      </c>
      <c r="R76" s="149">
        <v>0</v>
      </c>
      <c r="S76" s="149">
        <v>0</v>
      </c>
      <c r="T76" s="149">
        <v>0</v>
      </c>
      <c r="U76" s="160">
        <v>0</v>
      </c>
      <c r="V76" s="21"/>
      <c r="W76" s="22">
        <v>0</v>
      </c>
      <c r="X76" s="149">
        <v>0</v>
      </c>
      <c r="Y76" s="18"/>
      <c r="Z76" s="149">
        <v>0</v>
      </c>
      <c r="AA76" s="149">
        <f>Tabela4[[#This Row],[VALOR]]-Tabela4[[#This Row],[PNEUS]]-Tabela4[[#This Row],[BATERIA]]</f>
        <v>140</v>
      </c>
      <c r="AB76" s="19" t="s">
        <v>32</v>
      </c>
      <c r="AC76" s="30">
        <v>0</v>
      </c>
      <c r="AD76" s="162">
        <v>0</v>
      </c>
      <c r="AE76" s="162">
        <v>0</v>
      </c>
      <c r="AF76" s="162">
        <v>0</v>
      </c>
      <c r="AG76" s="162">
        <v>0</v>
      </c>
      <c r="AH76" s="162">
        <v>0</v>
      </c>
      <c r="AI76" s="162">
        <v>0</v>
      </c>
      <c r="AJ76" s="162">
        <v>0</v>
      </c>
    </row>
    <row r="77" spans="1:36" x14ac:dyDescent="0.25">
      <c r="A77" s="15" t="s">
        <v>688</v>
      </c>
      <c r="B77" s="15"/>
      <c r="C77" s="141">
        <v>45303</v>
      </c>
      <c r="D77" s="141">
        <v>45303</v>
      </c>
      <c r="E77">
        <f>Tabela4[[#This Row],[DATA FATURAMENTO]]-Tabela4[[#This Row],[DATA ORÇAMENTO]]</f>
        <v>0</v>
      </c>
      <c r="F77" s="15">
        <v>10292</v>
      </c>
      <c r="G77" s="15" t="s">
        <v>39</v>
      </c>
      <c r="H77" s="15" t="s">
        <v>44</v>
      </c>
      <c r="I77" s="149">
        <v>0</v>
      </c>
      <c r="J77" s="149">
        <v>220</v>
      </c>
      <c r="K77" s="150">
        <f>Tabela4[[#This Row],[PECAS]]+Tabela4[[#This Row],[SERVICOS]]</f>
        <v>220</v>
      </c>
      <c r="L77" s="149">
        <v>0</v>
      </c>
      <c r="M77" s="149">
        <v>0</v>
      </c>
      <c r="N77" s="22"/>
      <c r="O77" s="149">
        <v>0</v>
      </c>
      <c r="P77" s="149">
        <v>0</v>
      </c>
      <c r="Q77" s="149">
        <v>0</v>
      </c>
      <c r="R77" s="149">
        <v>0</v>
      </c>
      <c r="S77" s="149">
        <v>0</v>
      </c>
      <c r="T77" s="149">
        <v>0</v>
      </c>
      <c r="U77" s="160">
        <v>0</v>
      </c>
      <c r="V77" s="21"/>
      <c r="W77" s="22">
        <v>0</v>
      </c>
      <c r="X77" s="149">
        <v>0</v>
      </c>
      <c r="Y77" s="18"/>
      <c r="Z77" s="149">
        <v>0</v>
      </c>
      <c r="AA77" s="149">
        <f>Tabela4[[#This Row],[VALOR]]-Tabela4[[#This Row],[PNEUS]]-Tabela4[[#This Row],[BATERIA]]</f>
        <v>220</v>
      </c>
      <c r="AB77" s="19" t="s">
        <v>27</v>
      </c>
      <c r="AC77" s="30">
        <v>0</v>
      </c>
      <c r="AD77" s="162">
        <v>0</v>
      </c>
      <c r="AE77" s="162">
        <v>0</v>
      </c>
      <c r="AF77" s="162">
        <v>0</v>
      </c>
      <c r="AG77" s="162">
        <v>0</v>
      </c>
      <c r="AH77" s="162">
        <v>0</v>
      </c>
      <c r="AI77" s="162">
        <v>0</v>
      </c>
      <c r="AJ77" s="162">
        <v>0</v>
      </c>
    </row>
    <row r="78" spans="1:36" x14ac:dyDescent="0.25">
      <c r="A78" s="15" t="s">
        <v>713</v>
      </c>
      <c r="B78" s="15"/>
      <c r="C78" s="141">
        <v>45303</v>
      </c>
      <c r="D78" s="141">
        <v>45303</v>
      </c>
      <c r="E78">
        <f>Tabela4[[#This Row],[DATA FATURAMENTO]]-Tabela4[[#This Row],[DATA ORÇAMENTO]]</f>
        <v>0</v>
      </c>
      <c r="F78" s="15">
        <v>10293</v>
      </c>
      <c r="G78" s="15" t="s">
        <v>22</v>
      </c>
      <c r="H78" s="15"/>
      <c r="I78" s="149">
        <v>475</v>
      </c>
      <c r="J78" s="149">
        <v>0</v>
      </c>
      <c r="K78" s="150">
        <f>Tabela4[[#This Row],[PECAS]]+Tabela4[[#This Row],[SERVICOS]]</f>
        <v>475</v>
      </c>
      <c r="L78" s="149">
        <v>0</v>
      </c>
      <c r="M78" s="149">
        <v>0</v>
      </c>
      <c r="N78" s="22"/>
      <c r="O78" s="149">
        <v>0</v>
      </c>
      <c r="P78" s="149">
        <v>0</v>
      </c>
      <c r="Q78" s="149">
        <v>0</v>
      </c>
      <c r="R78" s="149">
        <v>0</v>
      </c>
      <c r="S78" s="149">
        <v>0</v>
      </c>
      <c r="T78" s="149">
        <v>0</v>
      </c>
      <c r="U78" s="160">
        <v>475</v>
      </c>
      <c r="V78" s="21" t="s">
        <v>707</v>
      </c>
      <c r="W78" s="22">
        <v>0</v>
      </c>
      <c r="X78" s="149">
        <v>0</v>
      </c>
      <c r="Y78" s="18"/>
      <c r="Z78" s="149">
        <v>0</v>
      </c>
      <c r="AA78" s="149">
        <f>K78-U78-T78</f>
        <v>0</v>
      </c>
      <c r="AB78" s="19" t="s">
        <v>6</v>
      </c>
      <c r="AC78" s="30">
        <v>0</v>
      </c>
      <c r="AD78" s="162">
        <v>0</v>
      </c>
      <c r="AE78" s="162">
        <v>0</v>
      </c>
      <c r="AF78" s="162">
        <v>0</v>
      </c>
      <c r="AG78" s="162">
        <v>0</v>
      </c>
      <c r="AH78" s="162">
        <v>0</v>
      </c>
      <c r="AI78" s="162">
        <v>0</v>
      </c>
      <c r="AJ78" s="162">
        <v>0</v>
      </c>
    </row>
    <row r="79" spans="1:36" x14ac:dyDescent="0.25">
      <c r="A79" s="15" t="s">
        <v>714</v>
      </c>
      <c r="B79" s="15"/>
      <c r="C79" s="141">
        <v>45302</v>
      </c>
      <c r="D79" s="141">
        <v>45304</v>
      </c>
      <c r="E79">
        <f>Tabela4[[#This Row],[DATA FATURAMENTO]]-Tabela4[[#This Row],[DATA ORÇAMENTO]]</f>
        <v>2</v>
      </c>
      <c r="F79" s="15">
        <v>10268</v>
      </c>
      <c r="G79" s="15" t="s">
        <v>35</v>
      </c>
      <c r="H79" s="15"/>
      <c r="I79" s="149">
        <v>159.91</v>
      </c>
      <c r="J79" s="149">
        <v>430.09</v>
      </c>
      <c r="K79" s="150">
        <f>Tabela4[[#This Row],[PECAS]]+Tabela4[[#This Row],[SERVICOS]]</f>
        <v>590</v>
      </c>
      <c r="L79" s="149">
        <v>0</v>
      </c>
      <c r="M79" s="149">
        <v>0</v>
      </c>
      <c r="N79" s="22"/>
      <c r="O79" s="149">
        <v>0</v>
      </c>
      <c r="P79" s="149">
        <v>0</v>
      </c>
      <c r="Q79" s="149">
        <v>0</v>
      </c>
      <c r="R79" s="149">
        <v>0</v>
      </c>
      <c r="S79" s="149">
        <v>0</v>
      </c>
      <c r="T79" s="149">
        <v>0</v>
      </c>
      <c r="U79" s="160">
        <v>0</v>
      </c>
      <c r="V79" s="21"/>
      <c r="W79" s="22">
        <v>0</v>
      </c>
      <c r="X79" s="149">
        <v>0</v>
      </c>
      <c r="Y79" s="18"/>
      <c r="Z79" s="149">
        <v>0</v>
      </c>
      <c r="AA79" s="149">
        <f>Tabela4[[#This Row],[VALOR]]-Tabela4[[#This Row],[PNEUS]]-Tabela4[[#This Row],[BATERIA]]</f>
        <v>590</v>
      </c>
      <c r="AB79" s="19" t="s">
        <v>30</v>
      </c>
      <c r="AC79" s="30">
        <v>0</v>
      </c>
      <c r="AD79" s="162">
        <v>0</v>
      </c>
      <c r="AE79" s="162">
        <v>0</v>
      </c>
      <c r="AF79" s="162">
        <v>0</v>
      </c>
      <c r="AG79" s="162">
        <v>0</v>
      </c>
      <c r="AH79" s="162">
        <v>0</v>
      </c>
      <c r="AI79" s="162">
        <v>0</v>
      </c>
      <c r="AJ79" s="162">
        <v>0</v>
      </c>
    </row>
    <row r="80" spans="1:36" x14ac:dyDescent="0.25">
      <c r="A80" s="15" t="s">
        <v>715</v>
      </c>
      <c r="B80" s="15"/>
      <c r="C80" s="141">
        <v>45303</v>
      </c>
      <c r="D80" s="141">
        <v>45304</v>
      </c>
      <c r="E80">
        <f>Tabela4[[#This Row],[DATA FATURAMENTO]]-Tabela4[[#This Row],[DATA ORÇAMENTO]]</f>
        <v>1</v>
      </c>
      <c r="F80" s="15">
        <v>10282</v>
      </c>
      <c r="G80" s="15" t="s">
        <v>31</v>
      </c>
      <c r="H80" s="15"/>
      <c r="I80" s="149">
        <v>966.7</v>
      </c>
      <c r="J80" s="149">
        <v>563.29999999999995</v>
      </c>
      <c r="K80" s="150">
        <f>Tabela4[[#This Row],[PECAS]]+Tabela4[[#This Row],[SERVICOS]]</f>
        <v>1530</v>
      </c>
      <c r="L80" s="149">
        <v>0</v>
      </c>
      <c r="M80" s="149">
        <v>0</v>
      </c>
      <c r="N80" s="22"/>
      <c r="O80" s="149">
        <v>220</v>
      </c>
      <c r="P80" s="149">
        <v>0</v>
      </c>
      <c r="Q80" s="149">
        <v>0</v>
      </c>
      <c r="R80" s="149">
        <v>0</v>
      </c>
      <c r="S80" s="149">
        <v>0</v>
      </c>
      <c r="T80" s="149">
        <v>0</v>
      </c>
      <c r="U80" s="160">
        <v>0</v>
      </c>
      <c r="V80" s="21"/>
      <c r="W80" s="22">
        <v>0</v>
      </c>
      <c r="X80" s="149">
        <v>0</v>
      </c>
      <c r="Y80" s="18"/>
      <c r="Z80" s="149">
        <v>0</v>
      </c>
      <c r="AA80" s="149">
        <f>Tabela4[[#This Row],[VALOR]]-Tabela4[[#This Row],[PNEUS]]-Tabela4[[#This Row],[BATERIA]]</f>
        <v>1530</v>
      </c>
      <c r="AB80" s="19" t="s">
        <v>24</v>
      </c>
      <c r="AC80" s="30">
        <v>0</v>
      </c>
      <c r="AD80" s="162">
        <v>0</v>
      </c>
      <c r="AE80" s="162">
        <v>0</v>
      </c>
      <c r="AF80" s="162">
        <v>0</v>
      </c>
      <c r="AG80" s="162">
        <v>0</v>
      </c>
      <c r="AH80" s="162">
        <v>0</v>
      </c>
      <c r="AI80" s="162">
        <v>0</v>
      </c>
      <c r="AJ80" s="162">
        <v>0</v>
      </c>
    </row>
    <row r="81" spans="1:36" x14ac:dyDescent="0.25">
      <c r="A81" s="15" t="s">
        <v>716</v>
      </c>
      <c r="B81" s="15"/>
      <c r="C81" s="141">
        <v>45303</v>
      </c>
      <c r="D81" s="141">
        <v>45304</v>
      </c>
      <c r="E81">
        <f>Tabela4[[#This Row],[DATA FATURAMENTO]]-Tabela4[[#This Row],[DATA ORÇAMENTO]]</f>
        <v>1</v>
      </c>
      <c r="F81" s="15">
        <v>10284</v>
      </c>
      <c r="G81" s="15" t="s">
        <v>35</v>
      </c>
      <c r="H81" s="15"/>
      <c r="I81" s="149">
        <v>435</v>
      </c>
      <c r="J81" s="149">
        <v>265</v>
      </c>
      <c r="K81" s="150">
        <f>Tabela4[[#This Row],[PECAS]]+Tabela4[[#This Row],[SERVICOS]]</f>
        <v>700</v>
      </c>
      <c r="L81" s="149">
        <v>0</v>
      </c>
      <c r="M81" s="149">
        <v>0</v>
      </c>
      <c r="N81" s="22"/>
      <c r="O81" s="149">
        <v>0</v>
      </c>
      <c r="P81" s="149">
        <v>0</v>
      </c>
      <c r="Q81" s="149">
        <v>0</v>
      </c>
      <c r="R81" s="149">
        <v>0</v>
      </c>
      <c r="S81" s="149">
        <v>0</v>
      </c>
      <c r="T81" s="149">
        <v>0</v>
      </c>
      <c r="U81" s="160">
        <v>0</v>
      </c>
      <c r="V81" s="21"/>
      <c r="W81" s="22">
        <v>0</v>
      </c>
      <c r="X81" s="149">
        <v>0</v>
      </c>
      <c r="Y81" s="18"/>
      <c r="Z81" s="149">
        <v>0</v>
      </c>
      <c r="AA81" s="149">
        <f>Tabela4[[#This Row],[VALOR]]-Tabela4[[#This Row],[PNEUS]]-Tabela4[[#This Row],[BATERIA]]</f>
        <v>700</v>
      </c>
      <c r="AB81" s="19" t="s">
        <v>30</v>
      </c>
      <c r="AC81" s="30">
        <v>0</v>
      </c>
      <c r="AD81" s="162">
        <v>0</v>
      </c>
      <c r="AE81" s="162">
        <v>0</v>
      </c>
      <c r="AF81" s="162">
        <v>0</v>
      </c>
      <c r="AG81" s="162">
        <v>0</v>
      </c>
      <c r="AH81" s="162">
        <v>0</v>
      </c>
      <c r="AI81" s="162">
        <v>0</v>
      </c>
      <c r="AJ81" s="162">
        <v>0</v>
      </c>
    </row>
    <row r="82" spans="1:36" x14ac:dyDescent="0.25">
      <c r="A82" s="15" t="s">
        <v>717</v>
      </c>
      <c r="B82" s="15"/>
      <c r="C82" s="141">
        <v>45304</v>
      </c>
      <c r="D82" s="141">
        <v>45304</v>
      </c>
      <c r="E82">
        <f>Tabela4[[#This Row],[DATA FATURAMENTO]]-Tabela4[[#This Row],[DATA ORÇAMENTO]]</f>
        <v>0</v>
      </c>
      <c r="F82" s="15">
        <v>10294</v>
      </c>
      <c r="G82" s="15" t="s">
        <v>28</v>
      </c>
      <c r="H82" s="15"/>
      <c r="I82" s="149">
        <v>0</v>
      </c>
      <c r="J82" s="149">
        <v>237.6</v>
      </c>
      <c r="K82" s="150">
        <f>Tabela4[[#This Row],[PECAS]]+Tabela4[[#This Row],[SERVICOS]]</f>
        <v>237.6</v>
      </c>
      <c r="L82" s="149">
        <v>0</v>
      </c>
      <c r="M82" s="149">
        <v>0</v>
      </c>
      <c r="N82" s="22"/>
      <c r="O82" s="149">
        <v>0</v>
      </c>
      <c r="P82" s="149">
        <v>0</v>
      </c>
      <c r="Q82" s="149">
        <v>0</v>
      </c>
      <c r="R82" s="149">
        <v>0</v>
      </c>
      <c r="S82" s="149">
        <v>0</v>
      </c>
      <c r="T82" s="149">
        <v>0</v>
      </c>
      <c r="U82" s="160">
        <v>0</v>
      </c>
      <c r="V82" s="21"/>
      <c r="W82" s="22">
        <v>0</v>
      </c>
      <c r="X82" s="149">
        <v>0</v>
      </c>
      <c r="Y82" s="18"/>
      <c r="Z82" s="149">
        <v>0</v>
      </c>
      <c r="AA82" s="149">
        <f>Tabela4[[#This Row],[VALOR]]-Tabela4[[#This Row],[PNEUS]]-Tabela4[[#This Row],[BATERIA]]</f>
        <v>237.6</v>
      </c>
      <c r="AB82" s="19" t="s">
        <v>30</v>
      </c>
      <c r="AC82" s="30">
        <v>0</v>
      </c>
      <c r="AD82" s="162">
        <v>0</v>
      </c>
      <c r="AE82" s="162">
        <v>0</v>
      </c>
      <c r="AF82" s="162">
        <v>0</v>
      </c>
      <c r="AG82" s="162">
        <v>0</v>
      </c>
      <c r="AH82" s="162">
        <v>0</v>
      </c>
      <c r="AI82" s="162">
        <v>0</v>
      </c>
      <c r="AJ82" s="162">
        <v>0</v>
      </c>
    </row>
    <row r="83" spans="1:36" x14ac:dyDescent="0.25">
      <c r="A83" s="15" t="s">
        <v>718</v>
      </c>
      <c r="B83" s="15"/>
      <c r="C83" s="141">
        <v>45304</v>
      </c>
      <c r="D83" s="141">
        <v>45304</v>
      </c>
      <c r="E83">
        <f>Tabela4[[#This Row],[DATA FATURAMENTO]]-Tabela4[[#This Row],[DATA ORÇAMENTO]]</f>
        <v>0</v>
      </c>
      <c r="F83" s="15">
        <v>10296</v>
      </c>
      <c r="G83" s="15" t="s">
        <v>35</v>
      </c>
      <c r="H83" s="15"/>
      <c r="I83" s="149">
        <v>0</v>
      </c>
      <c r="J83" s="149">
        <v>140</v>
      </c>
      <c r="K83" s="150">
        <f>Tabela4[[#This Row],[PECAS]]+Tabela4[[#This Row],[SERVICOS]]</f>
        <v>140</v>
      </c>
      <c r="L83" s="149">
        <v>0</v>
      </c>
      <c r="M83" s="149">
        <v>0</v>
      </c>
      <c r="N83" s="22"/>
      <c r="O83" s="149">
        <v>0</v>
      </c>
      <c r="P83" s="149">
        <v>0</v>
      </c>
      <c r="Q83" s="149">
        <v>0</v>
      </c>
      <c r="R83" s="149">
        <v>0</v>
      </c>
      <c r="S83" s="149">
        <v>140</v>
      </c>
      <c r="T83" s="149">
        <v>0</v>
      </c>
      <c r="U83" s="160">
        <v>0</v>
      </c>
      <c r="V83" s="21"/>
      <c r="W83" s="22">
        <v>0</v>
      </c>
      <c r="X83" s="149">
        <v>0</v>
      </c>
      <c r="Y83" s="18"/>
      <c r="Z83" s="149">
        <v>0</v>
      </c>
      <c r="AA83" s="149">
        <f>Tabela4[[#This Row],[VALOR]]-Tabela4[[#This Row],[PNEUS]]-Tabela4[[#This Row],[BATERIA]]</f>
        <v>140</v>
      </c>
      <c r="AB83" s="19" t="s">
        <v>38</v>
      </c>
      <c r="AC83" s="30">
        <v>0</v>
      </c>
      <c r="AD83" s="162">
        <v>0</v>
      </c>
      <c r="AE83" s="162">
        <v>0</v>
      </c>
      <c r="AF83" s="162">
        <v>0</v>
      </c>
      <c r="AG83" s="162">
        <v>0</v>
      </c>
      <c r="AH83" s="162">
        <v>0</v>
      </c>
      <c r="AI83" s="162">
        <v>0</v>
      </c>
      <c r="AJ83" s="162">
        <v>0</v>
      </c>
    </row>
    <row r="84" spans="1:36" x14ac:dyDescent="0.25">
      <c r="A84" s="15" t="s">
        <v>368</v>
      </c>
      <c r="B84" s="15"/>
      <c r="C84" s="141">
        <v>45295</v>
      </c>
      <c r="D84" s="141">
        <v>45306</v>
      </c>
      <c r="E84">
        <f>Tabela4[[#This Row],[DATA FATURAMENTO]]-Tabela4[[#This Row],[DATA ORÇAMENTO]]</f>
        <v>11</v>
      </c>
      <c r="F84" s="15">
        <v>10187</v>
      </c>
      <c r="G84" s="15" t="s">
        <v>28</v>
      </c>
      <c r="H84" s="15"/>
      <c r="I84" s="149">
        <v>3291.2</v>
      </c>
      <c r="J84" s="149">
        <v>1530.4</v>
      </c>
      <c r="K84" s="150">
        <f>Tabela4[[#This Row],[PECAS]]+Tabela4[[#This Row],[SERVICOS]]</f>
        <v>4821.6000000000004</v>
      </c>
      <c r="L84" s="149">
        <v>0</v>
      </c>
      <c r="M84" s="149">
        <v>0</v>
      </c>
      <c r="N84" s="22"/>
      <c r="O84" s="149">
        <v>0</v>
      </c>
      <c r="P84" s="149">
        <v>0</v>
      </c>
      <c r="Q84" s="149">
        <v>100</v>
      </c>
      <c r="R84" s="149">
        <v>0</v>
      </c>
      <c r="S84" s="149">
        <v>169.9</v>
      </c>
      <c r="T84" s="149">
        <v>2279.6</v>
      </c>
      <c r="U84" s="160">
        <v>0</v>
      </c>
      <c r="V84" s="21"/>
      <c r="W84" s="22">
        <v>3</v>
      </c>
      <c r="X84" s="149">
        <v>0</v>
      </c>
      <c r="Y84" s="18" t="s">
        <v>654</v>
      </c>
      <c r="Z84" s="149">
        <v>0</v>
      </c>
      <c r="AA84" s="149">
        <f>Tabela4[[#This Row],[VALOR]]-Tabela4[[#This Row],[PNEUS]]-Tabela4[[#This Row],[BATERIA]]</f>
        <v>2542.0000000000005</v>
      </c>
      <c r="AB84" s="19" t="s">
        <v>32</v>
      </c>
      <c r="AC84" s="30">
        <v>0</v>
      </c>
      <c r="AD84" s="162">
        <v>0</v>
      </c>
      <c r="AE84" s="162">
        <v>0</v>
      </c>
      <c r="AF84" s="162">
        <v>0</v>
      </c>
      <c r="AG84" s="162">
        <v>0</v>
      </c>
      <c r="AH84" s="162">
        <v>0</v>
      </c>
      <c r="AI84" s="162">
        <v>0</v>
      </c>
      <c r="AJ84" s="162">
        <v>0</v>
      </c>
    </row>
    <row r="85" spans="1:36" x14ac:dyDescent="0.25">
      <c r="A85" s="15" t="s">
        <v>719</v>
      </c>
      <c r="B85" s="15"/>
      <c r="C85" s="141">
        <v>45306</v>
      </c>
      <c r="D85" s="141">
        <v>45306</v>
      </c>
      <c r="E85">
        <f>Tabela4[[#This Row],[DATA FATURAMENTO]]-Tabela4[[#This Row],[DATA ORÇAMENTO]]</f>
        <v>0</v>
      </c>
      <c r="F85" s="15">
        <v>10306</v>
      </c>
      <c r="G85" s="15" t="s">
        <v>22</v>
      </c>
      <c r="H85" s="15"/>
      <c r="I85" s="149">
        <v>368.51</v>
      </c>
      <c r="J85" s="149">
        <v>155</v>
      </c>
      <c r="K85" s="150">
        <f>Tabela4[[#This Row],[PECAS]]+Tabela4[[#This Row],[SERVICOS]]</f>
        <v>523.51</v>
      </c>
      <c r="L85" s="149">
        <v>0</v>
      </c>
      <c r="M85" s="149">
        <v>0</v>
      </c>
      <c r="N85" s="22"/>
      <c r="O85" s="149">
        <v>0</v>
      </c>
      <c r="P85" s="149">
        <v>0</v>
      </c>
      <c r="Q85" s="149">
        <v>0</v>
      </c>
      <c r="R85" s="149">
        <v>0</v>
      </c>
      <c r="S85" s="149">
        <v>155</v>
      </c>
      <c r="T85" s="149">
        <v>0</v>
      </c>
      <c r="U85" s="160">
        <v>0</v>
      </c>
      <c r="V85" s="21"/>
      <c r="W85" s="22">
        <v>4</v>
      </c>
      <c r="X85" s="149">
        <v>0</v>
      </c>
      <c r="Y85" s="18" t="s">
        <v>645</v>
      </c>
      <c r="Z85" s="149">
        <v>0</v>
      </c>
      <c r="AA85" s="149">
        <f>Tabela4[[#This Row],[VALOR]]-Tabela4[[#This Row],[PNEUS]]-Tabela4[[#This Row],[BATERIA]]</f>
        <v>523.51</v>
      </c>
      <c r="AB85" s="19" t="s">
        <v>27</v>
      </c>
      <c r="AC85" s="30">
        <v>0</v>
      </c>
      <c r="AD85" s="162">
        <v>0</v>
      </c>
      <c r="AE85" s="162">
        <v>0</v>
      </c>
      <c r="AF85" s="162">
        <v>0</v>
      </c>
      <c r="AG85" s="162">
        <v>0</v>
      </c>
      <c r="AH85" s="162">
        <v>0</v>
      </c>
      <c r="AI85" s="162">
        <v>0</v>
      </c>
      <c r="AJ85" s="162">
        <v>0</v>
      </c>
    </row>
    <row r="86" spans="1:36" x14ac:dyDescent="0.25">
      <c r="A86" s="15" t="s">
        <v>720</v>
      </c>
      <c r="B86" s="15"/>
      <c r="C86" s="141">
        <v>45306</v>
      </c>
      <c r="D86" s="141">
        <v>45306</v>
      </c>
      <c r="E86">
        <f>Tabela4[[#This Row],[DATA FATURAMENTO]]-Tabela4[[#This Row],[DATA ORÇAMENTO]]</f>
        <v>0</v>
      </c>
      <c r="F86" s="15">
        <v>10307</v>
      </c>
      <c r="G86" s="15" t="s">
        <v>6</v>
      </c>
      <c r="H86" s="15"/>
      <c r="I86" s="149">
        <v>475</v>
      </c>
      <c r="J86" s="149">
        <v>0</v>
      </c>
      <c r="K86" s="150">
        <f>Tabela4[[#This Row],[PECAS]]+Tabela4[[#This Row],[SERVICOS]]</f>
        <v>475</v>
      </c>
      <c r="L86" s="149">
        <v>0</v>
      </c>
      <c r="M86" s="149">
        <v>0</v>
      </c>
      <c r="N86" s="22"/>
      <c r="O86" s="149">
        <v>0</v>
      </c>
      <c r="P86" s="149">
        <v>0</v>
      </c>
      <c r="Q86" s="149">
        <v>0</v>
      </c>
      <c r="R86" s="149">
        <v>0</v>
      </c>
      <c r="S86" s="149">
        <v>0</v>
      </c>
      <c r="T86" s="149">
        <v>0</v>
      </c>
      <c r="U86" s="160">
        <v>475</v>
      </c>
      <c r="V86" s="21" t="s">
        <v>664</v>
      </c>
      <c r="W86" s="22">
        <v>0</v>
      </c>
      <c r="X86" s="149">
        <v>0</v>
      </c>
      <c r="Y86" s="18"/>
      <c r="Z86" s="149">
        <v>0</v>
      </c>
      <c r="AA86" s="149">
        <f>K86-U86-T86</f>
        <v>0</v>
      </c>
      <c r="AB86" s="19" t="s">
        <v>6</v>
      </c>
      <c r="AC86" s="30">
        <v>0</v>
      </c>
      <c r="AD86" s="162">
        <v>0</v>
      </c>
      <c r="AE86" s="162">
        <v>0</v>
      </c>
      <c r="AF86" s="162">
        <v>0</v>
      </c>
      <c r="AG86" s="162">
        <v>0</v>
      </c>
      <c r="AH86" s="162">
        <v>0</v>
      </c>
      <c r="AI86" s="162">
        <v>0</v>
      </c>
      <c r="AJ86" s="162">
        <v>0</v>
      </c>
    </row>
    <row r="87" spans="1:36" x14ac:dyDescent="0.25">
      <c r="A87" s="15" t="s">
        <v>721</v>
      </c>
      <c r="B87" s="15"/>
      <c r="C87" s="141">
        <v>45306</v>
      </c>
      <c r="D87" s="141">
        <v>45306</v>
      </c>
      <c r="E87">
        <f>Tabela4[[#This Row],[DATA FATURAMENTO]]-Tabela4[[#This Row],[DATA ORÇAMENTO]]</f>
        <v>0</v>
      </c>
      <c r="F87" s="15">
        <v>10308</v>
      </c>
      <c r="G87" s="15" t="s">
        <v>6</v>
      </c>
      <c r="H87" s="15"/>
      <c r="I87" s="149">
        <v>869</v>
      </c>
      <c r="J87" s="149">
        <v>0</v>
      </c>
      <c r="K87" s="150">
        <f>Tabela4[[#This Row],[PECAS]]+Tabela4[[#This Row],[SERVICOS]]</f>
        <v>869</v>
      </c>
      <c r="L87" s="149">
        <v>0</v>
      </c>
      <c r="M87" s="149">
        <v>0</v>
      </c>
      <c r="N87" s="22"/>
      <c r="O87" s="149">
        <v>0</v>
      </c>
      <c r="P87" s="149">
        <v>0</v>
      </c>
      <c r="Q87" s="149">
        <v>0</v>
      </c>
      <c r="R87" s="149">
        <v>0</v>
      </c>
      <c r="S87" s="149">
        <v>0</v>
      </c>
      <c r="T87" s="149">
        <v>0</v>
      </c>
      <c r="U87" s="160">
        <v>869</v>
      </c>
      <c r="V87" s="21" t="s">
        <v>722</v>
      </c>
      <c r="W87" s="22">
        <v>0</v>
      </c>
      <c r="X87" s="149">
        <v>0</v>
      </c>
      <c r="Y87" s="18"/>
      <c r="Z87" s="149">
        <v>0</v>
      </c>
      <c r="AA87" s="149">
        <f>K87-U87-T87</f>
        <v>0</v>
      </c>
      <c r="AB87" s="19" t="s">
        <v>6</v>
      </c>
      <c r="AC87" s="30">
        <v>0</v>
      </c>
      <c r="AD87" s="162">
        <v>0</v>
      </c>
      <c r="AE87" s="162">
        <v>0</v>
      </c>
      <c r="AF87" s="162">
        <v>0</v>
      </c>
      <c r="AG87" s="162">
        <v>0</v>
      </c>
      <c r="AH87" s="162">
        <v>0</v>
      </c>
      <c r="AI87" s="162">
        <v>0</v>
      </c>
      <c r="AJ87" s="162">
        <v>0</v>
      </c>
    </row>
    <row r="88" spans="1:36" x14ac:dyDescent="0.25">
      <c r="A88" s="15" t="s">
        <v>723</v>
      </c>
      <c r="B88" s="15"/>
      <c r="C88" s="141">
        <v>45306</v>
      </c>
      <c r="D88" s="141">
        <v>45306</v>
      </c>
      <c r="E88">
        <f>Tabela4[[#This Row],[DATA FATURAMENTO]]-Tabela4[[#This Row],[DATA ORÇAMENTO]]</f>
        <v>0</v>
      </c>
      <c r="F88" s="15">
        <v>10311</v>
      </c>
      <c r="G88" s="15" t="s">
        <v>6</v>
      </c>
      <c r="H88" s="15"/>
      <c r="I88" s="149">
        <v>475</v>
      </c>
      <c r="J88" s="149">
        <v>0</v>
      </c>
      <c r="K88" s="150">
        <f>Tabela4[[#This Row],[PECAS]]+Tabela4[[#This Row],[SERVICOS]]</f>
        <v>475</v>
      </c>
      <c r="L88" s="149">
        <v>0</v>
      </c>
      <c r="M88" s="149">
        <v>0</v>
      </c>
      <c r="N88" s="22"/>
      <c r="O88" s="149">
        <v>0</v>
      </c>
      <c r="P88" s="149">
        <v>0</v>
      </c>
      <c r="Q88" s="149">
        <v>0</v>
      </c>
      <c r="R88" s="149">
        <v>0</v>
      </c>
      <c r="S88" s="149">
        <v>0</v>
      </c>
      <c r="T88" s="149">
        <v>0</v>
      </c>
      <c r="U88" s="160">
        <v>475</v>
      </c>
      <c r="V88" s="21" t="s">
        <v>664</v>
      </c>
      <c r="W88" s="22">
        <v>0</v>
      </c>
      <c r="X88" s="149">
        <v>0</v>
      </c>
      <c r="Y88" s="18"/>
      <c r="Z88" s="149">
        <v>0</v>
      </c>
      <c r="AA88" s="149">
        <f>K88-U88-T88</f>
        <v>0</v>
      </c>
      <c r="AB88" s="19" t="s">
        <v>6</v>
      </c>
      <c r="AC88" s="30">
        <v>0</v>
      </c>
      <c r="AD88" s="162">
        <v>0</v>
      </c>
      <c r="AE88" s="162">
        <v>0</v>
      </c>
      <c r="AF88" s="162">
        <v>0</v>
      </c>
      <c r="AG88" s="162">
        <v>0</v>
      </c>
      <c r="AH88" s="162">
        <v>0</v>
      </c>
      <c r="AI88" s="162">
        <v>0</v>
      </c>
      <c r="AJ88" s="162">
        <v>0</v>
      </c>
    </row>
    <row r="89" spans="1:36" x14ac:dyDescent="0.25">
      <c r="A89" s="15" t="s">
        <v>724</v>
      </c>
      <c r="B89" s="15"/>
      <c r="C89" s="141">
        <v>45306</v>
      </c>
      <c r="D89" s="141">
        <v>45307</v>
      </c>
      <c r="E89">
        <f>Tabela4[[#This Row],[DATA FATURAMENTO]]-Tabela4[[#This Row],[DATA ORÇAMENTO]]</f>
        <v>1</v>
      </c>
      <c r="F89" s="15">
        <v>10300</v>
      </c>
      <c r="G89" s="15" t="s">
        <v>22</v>
      </c>
      <c r="H89" s="15"/>
      <c r="I89" s="149">
        <v>568.29999999999995</v>
      </c>
      <c r="J89" s="149">
        <v>324.72000000000003</v>
      </c>
      <c r="K89" s="150">
        <f>Tabela4[[#This Row],[PECAS]]+Tabela4[[#This Row],[SERVICOS]]</f>
        <v>893.02</v>
      </c>
      <c r="L89" s="149">
        <v>108.24</v>
      </c>
      <c r="M89" s="149">
        <v>0</v>
      </c>
      <c r="N89" s="22"/>
      <c r="O89" s="149">
        <v>0</v>
      </c>
      <c r="P89" s="149">
        <v>0</v>
      </c>
      <c r="Q89" s="149">
        <v>0</v>
      </c>
      <c r="R89" s="149">
        <v>0</v>
      </c>
      <c r="S89" s="149">
        <v>216.48</v>
      </c>
      <c r="T89" s="149">
        <v>0</v>
      </c>
      <c r="U89" s="160">
        <v>0</v>
      </c>
      <c r="V89" s="21"/>
      <c r="W89" s="22">
        <v>5</v>
      </c>
      <c r="X89" s="149">
        <v>0</v>
      </c>
      <c r="Y89" s="18" t="s">
        <v>659</v>
      </c>
      <c r="Z89" s="149">
        <v>0</v>
      </c>
      <c r="AA89" s="149">
        <f>Tabela4[[#This Row],[VALOR]]-Tabela4[[#This Row],[PNEUS]]-Tabela4[[#This Row],[BATERIA]]</f>
        <v>893.02</v>
      </c>
      <c r="AB89" s="19" t="s">
        <v>34</v>
      </c>
      <c r="AC89" s="30">
        <v>0</v>
      </c>
      <c r="AD89" s="162">
        <v>0</v>
      </c>
      <c r="AE89" s="162">
        <v>0</v>
      </c>
      <c r="AF89" s="162">
        <v>0</v>
      </c>
      <c r="AG89" s="162">
        <v>0</v>
      </c>
      <c r="AH89" s="162">
        <v>0</v>
      </c>
      <c r="AI89" s="162">
        <v>0</v>
      </c>
      <c r="AJ89" s="162">
        <v>0</v>
      </c>
    </row>
    <row r="90" spans="1:36" x14ac:dyDescent="0.25">
      <c r="A90" s="15" t="s">
        <v>725</v>
      </c>
      <c r="B90" s="15"/>
      <c r="C90" s="141">
        <v>45306</v>
      </c>
      <c r="D90" s="141">
        <v>45307</v>
      </c>
      <c r="E90">
        <f>Tabela4[[#This Row],[DATA FATURAMENTO]]-Tabela4[[#This Row],[DATA ORÇAMENTO]]</f>
        <v>1</v>
      </c>
      <c r="F90" s="15">
        <v>10317</v>
      </c>
      <c r="G90" s="15" t="s">
        <v>22</v>
      </c>
      <c r="H90" s="15"/>
      <c r="I90" s="149">
        <v>1733.4</v>
      </c>
      <c r="J90" s="149">
        <v>904.03</v>
      </c>
      <c r="K90" s="150">
        <f>Tabela4[[#This Row],[PECAS]]+Tabela4[[#This Row],[SERVICOS]]</f>
        <v>2637.4300000000003</v>
      </c>
      <c r="L90" s="149">
        <v>0</v>
      </c>
      <c r="M90" s="149">
        <f>75+27.69+72.23</f>
        <v>174.92000000000002</v>
      </c>
      <c r="N90" s="22"/>
      <c r="O90" s="149">
        <v>240.77</v>
      </c>
      <c r="P90" s="149">
        <v>0</v>
      </c>
      <c r="Q90" s="149">
        <v>128.41</v>
      </c>
      <c r="R90" s="149">
        <v>0</v>
      </c>
      <c r="S90" s="149">
        <v>0</v>
      </c>
      <c r="T90" s="149">
        <v>0</v>
      </c>
      <c r="U90" s="160">
        <v>0</v>
      </c>
      <c r="V90" s="21"/>
      <c r="W90" s="22">
        <v>0</v>
      </c>
      <c r="X90" s="149">
        <v>0</v>
      </c>
      <c r="Y90" s="18"/>
      <c r="Z90" s="149">
        <v>0</v>
      </c>
      <c r="AA90" s="149">
        <f>Tabela4[[#This Row],[VALOR]]-Tabela4[[#This Row],[PNEUS]]-Tabela4[[#This Row],[BATERIA]]</f>
        <v>2637.4300000000003</v>
      </c>
      <c r="AB90" s="19" t="s">
        <v>32</v>
      </c>
      <c r="AC90" s="30">
        <v>0</v>
      </c>
      <c r="AD90" s="162">
        <v>0</v>
      </c>
      <c r="AE90" s="162">
        <v>0</v>
      </c>
      <c r="AF90" s="162">
        <v>0</v>
      </c>
      <c r="AG90" s="162">
        <v>0</v>
      </c>
      <c r="AH90" s="162">
        <v>0</v>
      </c>
      <c r="AI90" s="162">
        <v>0</v>
      </c>
      <c r="AJ90" s="162">
        <v>0</v>
      </c>
    </row>
    <row r="91" spans="1:36" x14ac:dyDescent="0.25">
      <c r="A91" s="15" t="s">
        <v>726</v>
      </c>
      <c r="B91" s="15"/>
      <c r="C91" s="141">
        <v>45306</v>
      </c>
      <c r="D91" s="141">
        <v>45307</v>
      </c>
      <c r="E91">
        <f>Tabela4[[#This Row],[DATA FATURAMENTO]]-Tabela4[[#This Row],[DATA ORÇAMENTO]]</f>
        <v>1</v>
      </c>
      <c r="F91" s="15">
        <v>10312</v>
      </c>
      <c r="G91" s="15" t="s">
        <v>6</v>
      </c>
      <c r="H91" s="15"/>
      <c r="I91" s="149">
        <v>475</v>
      </c>
      <c r="J91" s="149">
        <v>0</v>
      </c>
      <c r="K91" s="150">
        <f>Tabela4[[#This Row],[PECAS]]+Tabela4[[#This Row],[SERVICOS]]</f>
        <v>475</v>
      </c>
      <c r="L91" s="149">
        <v>0</v>
      </c>
      <c r="M91" s="149">
        <v>0</v>
      </c>
      <c r="N91" s="22"/>
      <c r="O91" s="149">
        <v>0</v>
      </c>
      <c r="P91" s="149">
        <v>0</v>
      </c>
      <c r="Q91" s="149">
        <v>0</v>
      </c>
      <c r="R91" s="149">
        <v>0</v>
      </c>
      <c r="S91" s="149">
        <v>0</v>
      </c>
      <c r="T91" s="149">
        <v>0</v>
      </c>
      <c r="U91" s="160">
        <v>475</v>
      </c>
      <c r="V91" s="21" t="s">
        <v>664</v>
      </c>
      <c r="W91" s="22">
        <v>0</v>
      </c>
      <c r="X91" s="149">
        <v>0</v>
      </c>
      <c r="Y91" s="18"/>
      <c r="Z91" s="149">
        <v>0</v>
      </c>
      <c r="AA91" s="149">
        <f>K91-U91-T91</f>
        <v>0</v>
      </c>
      <c r="AB91" s="19" t="s">
        <v>6</v>
      </c>
      <c r="AC91" s="30">
        <v>0</v>
      </c>
      <c r="AD91" s="162">
        <v>0</v>
      </c>
      <c r="AE91" s="162">
        <v>0</v>
      </c>
      <c r="AF91" s="162">
        <v>0</v>
      </c>
      <c r="AG91" s="162">
        <v>0</v>
      </c>
      <c r="AH91" s="162">
        <v>0</v>
      </c>
      <c r="AI91" s="162">
        <v>0</v>
      </c>
      <c r="AJ91" s="162">
        <v>0</v>
      </c>
    </row>
    <row r="92" spans="1:36" x14ac:dyDescent="0.25">
      <c r="A92" s="15" t="s">
        <v>727</v>
      </c>
      <c r="B92" s="15"/>
      <c r="C92" s="141">
        <v>45306</v>
      </c>
      <c r="D92" s="141">
        <v>45307</v>
      </c>
      <c r="E92">
        <f>Tabela4[[#This Row],[DATA FATURAMENTO]]-Tabela4[[#This Row],[DATA ORÇAMENTO]]</f>
        <v>1</v>
      </c>
      <c r="F92" s="15">
        <v>10313</v>
      </c>
      <c r="G92" s="15" t="s">
        <v>35</v>
      </c>
      <c r="H92" s="15"/>
      <c r="I92" s="149">
        <v>0</v>
      </c>
      <c r="J92" s="149">
        <v>290</v>
      </c>
      <c r="K92" s="150">
        <f>Tabela4[[#This Row],[PECAS]]+Tabela4[[#This Row],[SERVICOS]]</f>
        <v>290</v>
      </c>
      <c r="L92" s="149">
        <v>0</v>
      </c>
      <c r="M92" s="149">
        <v>0</v>
      </c>
      <c r="N92" s="22"/>
      <c r="O92" s="149">
        <v>0</v>
      </c>
      <c r="P92" s="149">
        <v>0</v>
      </c>
      <c r="Q92" s="149">
        <v>0</v>
      </c>
      <c r="R92" s="149">
        <v>0</v>
      </c>
      <c r="S92" s="149">
        <v>0</v>
      </c>
      <c r="T92" s="149">
        <v>0</v>
      </c>
      <c r="U92" s="160">
        <v>0</v>
      </c>
      <c r="V92" s="21"/>
      <c r="W92" s="22">
        <v>0</v>
      </c>
      <c r="X92" s="149">
        <v>0</v>
      </c>
      <c r="Y92" s="18"/>
      <c r="Z92" s="149">
        <v>0</v>
      </c>
      <c r="AA92" s="149">
        <f>Tabela4[[#This Row],[VALOR]]-Tabela4[[#This Row],[PNEUS]]-Tabela4[[#This Row],[BATERIA]]</f>
        <v>290</v>
      </c>
      <c r="AB92" s="19" t="s">
        <v>30</v>
      </c>
      <c r="AC92" s="30">
        <v>0</v>
      </c>
      <c r="AD92" s="162">
        <v>0</v>
      </c>
      <c r="AE92" s="162">
        <v>0</v>
      </c>
      <c r="AF92" s="162">
        <v>0</v>
      </c>
      <c r="AG92" s="162">
        <v>0</v>
      </c>
      <c r="AH92" s="162">
        <v>0</v>
      </c>
      <c r="AI92" s="162">
        <v>0</v>
      </c>
      <c r="AJ92" s="162">
        <v>0</v>
      </c>
    </row>
    <row r="93" spans="1:36" x14ac:dyDescent="0.25">
      <c r="A93" s="15" t="s">
        <v>728</v>
      </c>
      <c r="B93" s="15"/>
      <c r="C93" s="141">
        <v>45307</v>
      </c>
      <c r="D93" s="141">
        <v>45307</v>
      </c>
      <c r="E93">
        <f>Tabela4[[#This Row],[DATA FATURAMENTO]]-Tabela4[[#This Row],[DATA ORÇAMENTO]]</f>
        <v>0</v>
      </c>
      <c r="F93" s="15">
        <v>10320</v>
      </c>
      <c r="G93" s="15" t="s">
        <v>35</v>
      </c>
      <c r="H93" s="15"/>
      <c r="I93" s="149">
        <v>475</v>
      </c>
      <c r="J93" s="149">
        <v>0</v>
      </c>
      <c r="K93" s="150">
        <f>Tabela4[[#This Row],[PECAS]]+Tabela4[[#This Row],[SERVICOS]]</f>
        <v>475</v>
      </c>
      <c r="L93" s="149">
        <v>0</v>
      </c>
      <c r="M93" s="149">
        <v>0</v>
      </c>
      <c r="N93" s="22"/>
      <c r="O93" s="149">
        <v>0</v>
      </c>
      <c r="P93" s="149">
        <v>0</v>
      </c>
      <c r="Q93" s="149">
        <v>0</v>
      </c>
      <c r="R93" s="149">
        <v>0</v>
      </c>
      <c r="S93" s="149">
        <v>0</v>
      </c>
      <c r="T93" s="149">
        <v>0</v>
      </c>
      <c r="U93" s="160">
        <v>475</v>
      </c>
      <c r="V93" s="21" t="s">
        <v>664</v>
      </c>
      <c r="W93" s="22">
        <v>0</v>
      </c>
      <c r="X93" s="149">
        <v>0</v>
      </c>
      <c r="Y93" s="18"/>
      <c r="Z93" s="149">
        <v>0</v>
      </c>
      <c r="AA93" s="149">
        <f>K93-U93-T93</f>
        <v>0</v>
      </c>
      <c r="AB93" s="19" t="s">
        <v>6</v>
      </c>
      <c r="AC93" s="30">
        <v>0</v>
      </c>
      <c r="AD93" s="162">
        <v>0</v>
      </c>
      <c r="AE93" s="162">
        <v>0</v>
      </c>
      <c r="AF93" s="162">
        <v>0</v>
      </c>
      <c r="AG93" s="162">
        <v>0</v>
      </c>
      <c r="AH93" s="162">
        <v>0</v>
      </c>
      <c r="AI93" s="162">
        <v>0</v>
      </c>
      <c r="AJ93" s="162">
        <v>0</v>
      </c>
    </row>
    <row r="94" spans="1:36" x14ac:dyDescent="0.25">
      <c r="A94" s="15" t="s">
        <v>729</v>
      </c>
      <c r="B94" s="15"/>
      <c r="C94" s="141">
        <v>45307</v>
      </c>
      <c r="D94" s="141">
        <v>45307</v>
      </c>
      <c r="E94">
        <f>Tabela4[[#This Row],[DATA FATURAMENTO]]-Tabela4[[#This Row],[DATA ORÇAMENTO]]</f>
        <v>0</v>
      </c>
      <c r="F94" s="15">
        <v>10321</v>
      </c>
      <c r="G94" s="15" t="s">
        <v>22</v>
      </c>
      <c r="H94" s="15"/>
      <c r="I94" s="149">
        <v>55</v>
      </c>
      <c r="J94" s="149">
        <v>125</v>
      </c>
      <c r="K94" s="150">
        <f>Tabela4[[#This Row],[PECAS]]+Tabela4[[#This Row],[SERVICOS]]</f>
        <v>180</v>
      </c>
      <c r="L94" s="149">
        <v>0</v>
      </c>
      <c r="M94" s="149">
        <v>0</v>
      </c>
      <c r="N94" s="22"/>
      <c r="O94" s="149">
        <v>0</v>
      </c>
      <c r="P94" s="149">
        <v>0</v>
      </c>
      <c r="Q94" s="149">
        <v>0</v>
      </c>
      <c r="R94" s="149">
        <v>0</v>
      </c>
      <c r="S94" s="149">
        <v>0</v>
      </c>
      <c r="T94" s="149">
        <v>0</v>
      </c>
      <c r="U94" s="160">
        <v>0</v>
      </c>
      <c r="V94" s="21"/>
      <c r="W94" s="22">
        <v>0</v>
      </c>
      <c r="X94" s="149">
        <v>0</v>
      </c>
      <c r="Y94" s="18"/>
      <c r="Z94" s="149">
        <v>0</v>
      </c>
      <c r="AA94" s="149">
        <f>Tabela4[[#This Row],[VALOR]]-Tabela4[[#This Row],[PNEUS]]-Tabela4[[#This Row],[BATERIA]]</f>
        <v>180</v>
      </c>
      <c r="AB94" s="19" t="s">
        <v>32</v>
      </c>
      <c r="AC94" s="30">
        <v>0</v>
      </c>
      <c r="AD94" s="162">
        <v>0</v>
      </c>
      <c r="AE94" s="162">
        <v>0</v>
      </c>
      <c r="AF94" s="162">
        <v>0</v>
      </c>
      <c r="AG94" s="162">
        <v>0</v>
      </c>
      <c r="AH94" s="162">
        <v>0</v>
      </c>
      <c r="AI94" s="162">
        <v>0</v>
      </c>
      <c r="AJ94" s="162">
        <v>0</v>
      </c>
    </row>
    <row r="95" spans="1:36" x14ac:dyDescent="0.25">
      <c r="A95" s="15" t="s">
        <v>730</v>
      </c>
      <c r="B95" s="15"/>
      <c r="C95" s="141">
        <v>45307</v>
      </c>
      <c r="D95" s="141">
        <v>45307</v>
      </c>
      <c r="E95">
        <f>Tabela4[[#This Row],[DATA FATURAMENTO]]-Tabela4[[#This Row],[DATA ORÇAMENTO]]</f>
        <v>0</v>
      </c>
      <c r="F95" s="15">
        <v>10324</v>
      </c>
      <c r="G95" s="15" t="s">
        <v>6</v>
      </c>
      <c r="H95" s="15"/>
      <c r="I95" s="149">
        <v>473.9</v>
      </c>
      <c r="J95" s="149">
        <v>0</v>
      </c>
      <c r="K95" s="150">
        <f>Tabela4[[#This Row],[PECAS]]+Tabela4[[#This Row],[SERVICOS]]</f>
        <v>473.9</v>
      </c>
      <c r="L95" s="149">
        <v>0</v>
      </c>
      <c r="M95" s="149">
        <v>0</v>
      </c>
      <c r="N95" s="22"/>
      <c r="O95" s="149">
        <v>0</v>
      </c>
      <c r="P95" s="149">
        <v>0</v>
      </c>
      <c r="Q95" s="149">
        <v>0</v>
      </c>
      <c r="R95" s="149">
        <v>0</v>
      </c>
      <c r="S95" s="149">
        <v>0</v>
      </c>
      <c r="T95" s="149">
        <v>0</v>
      </c>
      <c r="U95" s="160">
        <v>473.9</v>
      </c>
      <c r="V95" s="21" t="s">
        <v>640</v>
      </c>
      <c r="W95" s="22">
        <v>0</v>
      </c>
      <c r="X95" s="149">
        <v>0</v>
      </c>
      <c r="Y95" s="18"/>
      <c r="Z95" s="149">
        <v>0</v>
      </c>
      <c r="AA95" s="149">
        <f>K95-U95-T95</f>
        <v>0</v>
      </c>
      <c r="AB95" s="19" t="s">
        <v>6</v>
      </c>
      <c r="AC95" s="30">
        <v>0</v>
      </c>
      <c r="AD95" s="162">
        <v>0</v>
      </c>
      <c r="AE95" s="162">
        <v>0</v>
      </c>
      <c r="AF95" s="162">
        <v>0</v>
      </c>
      <c r="AG95" s="162">
        <v>0</v>
      </c>
      <c r="AH95" s="162">
        <v>0</v>
      </c>
      <c r="AI95" s="162">
        <v>0</v>
      </c>
      <c r="AJ95" s="162">
        <v>0</v>
      </c>
    </row>
    <row r="96" spans="1:36" x14ac:dyDescent="0.25">
      <c r="A96" s="15" t="s">
        <v>731</v>
      </c>
      <c r="B96" s="15"/>
      <c r="C96" s="141">
        <v>45307</v>
      </c>
      <c r="D96" s="141">
        <v>45307</v>
      </c>
      <c r="E96">
        <f>Tabela4[[#This Row],[DATA FATURAMENTO]]-Tabela4[[#This Row],[DATA ORÇAMENTO]]</f>
        <v>0</v>
      </c>
      <c r="F96" s="15">
        <v>10325</v>
      </c>
      <c r="G96" s="15" t="s">
        <v>22</v>
      </c>
      <c r="H96" s="15"/>
      <c r="I96" s="149">
        <v>10</v>
      </c>
      <c r="J96" s="149">
        <v>25</v>
      </c>
      <c r="K96" s="150">
        <f>Tabela4[[#This Row],[PECAS]]+Tabela4[[#This Row],[SERVICOS]]</f>
        <v>35</v>
      </c>
      <c r="L96" s="149">
        <v>0</v>
      </c>
      <c r="M96" s="149">
        <v>0</v>
      </c>
      <c r="N96" s="22"/>
      <c r="O96" s="149">
        <v>0</v>
      </c>
      <c r="P96" s="149">
        <v>0</v>
      </c>
      <c r="Q96" s="149">
        <v>0</v>
      </c>
      <c r="R96" s="149">
        <v>0</v>
      </c>
      <c r="S96" s="149">
        <v>0</v>
      </c>
      <c r="T96" s="149">
        <v>0</v>
      </c>
      <c r="U96" s="160">
        <v>0</v>
      </c>
      <c r="V96" s="21"/>
      <c r="W96" s="22">
        <v>0</v>
      </c>
      <c r="X96" s="149">
        <v>0</v>
      </c>
      <c r="Y96" s="18"/>
      <c r="Z96" s="149">
        <v>0</v>
      </c>
      <c r="AA96" s="149">
        <f>Tabela4[[#This Row],[VALOR]]-Tabela4[[#This Row],[PNEUS]]-Tabela4[[#This Row],[BATERIA]]</f>
        <v>35</v>
      </c>
      <c r="AB96" s="19" t="s">
        <v>27</v>
      </c>
      <c r="AC96" s="30">
        <v>0</v>
      </c>
      <c r="AD96" s="162">
        <v>0</v>
      </c>
      <c r="AE96" s="162">
        <v>0</v>
      </c>
      <c r="AF96" s="162">
        <v>0</v>
      </c>
      <c r="AG96" s="162">
        <v>0</v>
      </c>
      <c r="AH96" s="162">
        <v>0</v>
      </c>
      <c r="AI96" s="162">
        <v>0</v>
      </c>
      <c r="AJ96" s="162">
        <v>0</v>
      </c>
    </row>
    <row r="97" spans="1:36" x14ac:dyDescent="0.25">
      <c r="A97" s="15" t="s">
        <v>732</v>
      </c>
      <c r="B97" s="15"/>
      <c r="C97" s="141">
        <v>45307</v>
      </c>
      <c r="D97" s="141">
        <v>45307</v>
      </c>
      <c r="E97">
        <f>Tabela4[[#This Row],[DATA FATURAMENTO]]-Tabela4[[#This Row],[DATA ORÇAMENTO]]</f>
        <v>0</v>
      </c>
      <c r="F97" s="15">
        <v>10327</v>
      </c>
      <c r="G97" s="15" t="s">
        <v>6</v>
      </c>
      <c r="H97" s="15"/>
      <c r="I97" s="149">
        <v>475</v>
      </c>
      <c r="J97" s="149">
        <v>0</v>
      </c>
      <c r="K97" s="150">
        <f>Tabela4[[#This Row],[PECAS]]+Tabela4[[#This Row],[SERVICOS]]</f>
        <v>475</v>
      </c>
      <c r="L97" s="149">
        <v>0</v>
      </c>
      <c r="M97" s="149">
        <v>0</v>
      </c>
      <c r="N97" s="22"/>
      <c r="O97" s="149">
        <v>0</v>
      </c>
      <c r="P97" s="149">
        <v>0</v>
      </c>
      <c r="Q97" s="149">
        <v>0</v>
      </c>
      <c r="R97" s="149">
        <v>0</v>
      </c>
      <c r="S97" s="149">
        <v>0</v>
      </c>
      <c r="T97" s="149">
        <v>0</v>
      </c>
      <c r="U97" s="160">
        <v>475</v>
      </c>
      <c r="V97" s="21" t="s">
        <v>640</v>
      </c>
      <c r="W97" s="22">
        <v>0</v>
      </c>
      <c r="X97" s="149">
        <v>0</v>
      </c>
      <c r="Y97" s="18"/>
      <c r="Z97" s="149">
        <v>0</v>
      </c>
      <c r="AA97" s="149">
        <f>K97-U97-T97</f>
        <v>0</v>
      </c>
      <c r="AB97" s="19" t="s">
        <v>6</v>
      </c>
      <c r="AC97" s="30">
        <v>0</v>
      </c>
      <c r="AD97" s="162">
        <v>0</v>
      </c>
      <c r="AE97" s="162">
        <v>0</v>
      </c>
      <c r="AF97" s="162">
        <v>0</v>
      </c>
      <c r="AG97" s="162">
        <v>0</v>
      </c>
      <c r="AH97" s="162">
        <v>0</v>
      </c>
      <c r="AI97" s="162">
        <v>0</v>
      </c>
      <c r="AJ97" s="162">
        <v>0</v>
      </c>
    </row>
    <row r="98" spans="1:36" x14ac:dyDescent="0.25">
      <c r="A98" s="15" t="s">
        <v>733</v>
      </c>
      <c r="B98" s="15"/>
      <c r="C98" s="141">
        <v>45307</v>
      </c>
      <c r="D98" s="141">
        <v>45307</v>
      </c>
      <c r="E98">
        <f>Tabela4[[#This Row],[DATA FATURAMENTO]]-Tabela4[[#This Row],[DATA ORÇAMENTO]]</f>
        <v>0</v>
      </c>
      <c r="F98" s="15">
        <v>10328</v>
      </c>
      <c r="G98" s="15" t="s">
        <v>22</v>
      </c>
      <c r="H98" s="15"/>
      <c r="I98" s="149">
        <v>809.91</v>
      </c>
      <c r="J98" s="149">
        <v>0</v>
      </c>
      <c r="K98" s="150">
        <f>Tabela4[[#This Row],[PECAS]]+Tabela4[[#This Row],[SERVICOS]]</f>
        <v>809.91</v>
      </c>
      <c r="L98" s="149">
        <v>0</v>
      </c>
      <c r="M98" s="149">
        <v>0</v>
      </c>
      <c r="N98" s="22"/>
      <c r="O98" s="149">
        <v>0</v>
      </c>
      <c r="P98" s="149">
        <v>0</v>
      </c>
      <c r="Q98" s="149">
        <v>0</v>
      </c>
      <c r="R98" s="149">
        <v>0</v>
      </c>
      <c r="S98" s="149">
        <v>0</v>
      </c>
      <c r="T98" s="149">
        <v>0</v>
      </c>
      <c r="U98" s="160">
        <v>809.91</v>
      </c>
      <c r="V98" s="21" t="s">
        <v>700</v>
      </c>
      <c r="W98" s="22">
        <v>0</v>
      </c>
      <c r="X98" s="149">
        <v>0</v>
      </c>
      <c r="Y98" s="18"/>
      <c r="Z98" s="149">
        <v>0</v>
      </c>
      <c r="AA98" s="149">
        <f>K98-U98-T98</f>
        <v>0</v>
      </c>
      <c r="AB98" s="19" t="s">
        <v>6</v>
      </c>
      <c r="AC98" s="30">
        <v>0</v>
      </c>
      <c r="AD98" s="162">
        <v>0</v>
      </c>
      <c r="AE98" s="162">
        <v>0</v>
      </c>
      <c r="AF98" s="162">
        <v>0</v>
      </c>
      <c r="AG98" s="162">
        <v>0</v>
      </c>
      <c r="AH98" s="162">
        <v>0</v>
      </c>
      <c r="AI98" s="162">
        <v>0</v>
      </c>
      <c r="AJ98" s="162">
        <v>0</v>
      </c>
    </row>
    <row r="99" spans="1:36" x14ac:dyDescent="0.25">
      <c r="A99" s="15" t="s">
        <v>734</v>
      </c>
      <c r="B99" s="15"/>
      <c r="C99" s="141">
        <v>45307</v>
      </c>
      <c r="D99" s="141">
        <v>45307</v>
      </c>
      <c r="E99">
        <f>Tabela4[[#This Row],[DATA FATURAMENTO]]-Tabela4[[#This Row],[DATA ORÇAMENTO]]</f>
        <v>0</v>
      </c>
      <c r="F99" s="15">
        <v>10331</v>
      </c>
      <c r="G99" s="15" t="s">
        <v>6</v>
      </c>
      <c r="H99" s="15"/>
      <c r="I99" s="149">
        <v>473.9</v>
      </c>
      <c r="J99" s="149">
        <v>0</v>
      </c>
      <c r="K99" s="150">
        <f>Tabela4[[#This Row],[PECAS]]+Tabela4[[#This Row],[SERVICOS]]</f>
        <v>473.9</v>
      </c>
      <c r="L99" s="149">
        <v>0</v>
      </c>
      <c r="M99" s="149">
        <v>0</v>
      </c>
      <c r="N99" s="22"/>
      <c r="O99" s="149">
        <v>0</v>
      </c>
      <c r="P99" s="149">
        <v>0</v>
      </c>
      <c r="Q99" s="149">
        <v>0</v>
      </c>
      <c r="R99" s="149">
        <v>0</v>
      </c>
      <c r="S99" s="149">
        <v>0</v>
      </c>
      <c r="T99" s="149">
        <v>0</v>
      </c>
      <c r="U99" s="160">
        <v>473.9</v>
      </c>
      <c r="V99" s="21" t="s">
        <v>640</v>
      </c>
      <c r="W99" s="22">
        <v>0</v>
      </c>
      <c r="X99" s="149">
        <v>0</v>
      </c>
      <c r="Y99" s="18"/>
      <c r="Z99" s="149">
        <v>0</v>
      </c>
      <c r="AA99" s="149">
        <f>K99-U99-T99</f>
        <v>0</v>
      </c>
      <c r="AB99" s="19" t="s">
        <v>6</v>
      </c>
      <c r="AC99" s="30">
        <v>0</v>
      </c>
      <c r="AD99" s="162">
        <v>0</v>
      </c>
      <c r="AE99" s="162">
        <v>0</v>
      </c>
      <c r="AF99" s="162">
        <v>0</v>
      </c>
      <c r="AG99" s="162">
        <v>0</v>
      </c>
      <c r="AH99" s="162">
        <v>0</v>
      </c>
      <c r="AI99" s="162">
        <v>0</v>
      </c>
      <c r="AJ99" s="162">
        <v>0</v>
      </c>
    </row>
    <row r="100" spans="1:36" x14ac:dyDescent="0.25">
      <c r="A100" s="15" t="s">
        <v>735</v>
      </c>
      <c r="B100" s="15"/>
      <c r="C100" s="141">
        <v>45306</v>
      </c>
      <c r="D100" s="141">
        <v>45308</v>
      </c>
      <c r="E100">
        <f>Tabela4[[#This Row],[DATA FATURAMENTO]]-Tabela4[[#This Row],[DATA ORÇAMENTO]]</f>
        <v>2</v>
      </c>
      <c r="F100" s="15">
        <v>10298</v>
      </c>
      <c r="G100" s="15" t="s">
        <v>35</v>
      </c>
      <c r="H100" s="15"/>
      <c r="I100" s="149">
        <v>4085</v>
      </c>
      <c r="J100" s="149">
        <v>1907.68</v>
      </c>
      <c r="K100" s="150">
        <f>Tabela4[[#This Row],[PECAS]]+Tabela4[[#This Row],[SERVICOS]]</f>
        <v>5992.68</v>
      </c>
      <c r="L100" s="149">
        <v>115</v>
      </c>
      <c r="M100" s="149">
        <f>115.5+27+90</f>
        <v>232.5</v>
      </c>
      <c r="N100" s="22"/>
      <c r="O100" s="149">
        <v>0</v>
      </c>
      <c r="P100" s="149">
        <v>117.5</v>
      </c>
      <c r="Q100" s="149">
        <v>0</v>
      </c>
      <c r="R100" s="149">
        <v>0</v>
      </c>
      <c r="S100" s="149">
        <v>240</v>
      </c>
      <c r="T100" s="149">
        <v>0</v>
      </c>
      <c r="U100" s="160">
        <v>0</v>
      </c>
      <c r="V100" s="21"/>
      <c r="W100" s="22">
        <v>4</v>
      </c>
      <c r="X100" s="149">
        <v>0</v>
      </c>
      <c r="Y100" s="18" t="s">
        <v>659</v>
      </c>
      <c r="Z100" s="149">
        <v>0</v>
      </c>
      <c r="AA100" s="149">
        <f>Tabela4[[#This Row],[VALOR]]-Tabela4[[#This Row],[PNEUS]]-Tabela4[[#This Row],[BATERIA]]</f>
        <v>5992.68</v>
      </c>
      <c r="AB100" s="19" t="s">
        <v>24</v>
      </c>
      <c r="AC100" s="30">
        <v>0</v>
      </c>
      <c r="AD100" s="162">
        <v>0</v>
      </c>
      <c r="AE100" s="162">
        <v>0</v>
      </c>
      <c r="AF100" s="162">
        <v>0</v>
      </c>
      <c r="AG100" s="162">
        <v>0</v>
      </c>
      <c r="AH100" s="162">
        <v>0</v>
      </c>
      <c r="AI100" s="162">
        <v>0</v>
      </c>
      <c r="AJ100" s="162">
        <v>0</v>
      </c>
    </row>
    <row r="101" spans="1:36" x14ac:dyDescent="0.25">
      <c r="A101" s="15" t="s">
        <v>736</v>
      </c>
      <c r="B101" s="15"/>
      <c r="C101" s="141">
        <v>45306</v>
      </c>
      <c r="D101" s="141">
        <v>45308</v>
      </c>
      <c r="E101">
        <f>Tabela4[[#This Row],[DATA FATURAMENTO]]-Tabela4[[#This Row],[DATA ORÇAMENTO]]</f>
        <v>2</v>
      </c>
      <c r="F101" s="15">
        <v>10309</v>
      </c>
      <c r="G101" s="15" t="s">
        <v>35</v>
      </c>
      <c r="H101" s="15"/>
      <c r="I101" s="149">
        <v>543.25</v>
      </c>
      <c r="J101" s="149">
        <v>586.75</v>
      </c>
      <c r="K101" s="150">
        <f>Tabela4[[#This Row],[PECAS]]+Tabela4[[#This Row],[SERVICOS]]</f>
        <v>1130</v>
      </c>
      <c r="L101" s="149">
        <v>110</v>
      </c>
      <c r="M101" s="149">
        <f>150+76.75+13.25</f>
        <v>240</v>
      </c>
      <c r="N101" s="22"/>
      <c r="O101" s="149">
        <v>0</v>
      </c>
      <c r="P101" s="149">
        <v>0</v>
      </c>
      <c r="Q101" s="149">
        <v>0</v>
      </c>
      <c r="R101" s="149">
        <v>0</v>
      </c>
      <c r="S101" s="149">
        <v>170</v>
      </c>
      <c r="T101" s="149">
        <v>0</v>
      </c>
      <c r="U101" s="160">
        <v>0</v>
      </c>
      <c r="V101" s="21"/>
      <c r="W101" s="22">
        <v>4</v>
      </c>
      <c r="X101" s="149">
        <v>0</v>
      </c>
      <c r="Y101" s="18" t="s">
        <v>659</v>
      </c>
      <c r="Z101" s="149">
        <v>0</v>
      </c>
      <c r="AA101" s="149">
        <f>Tabela4[[#This Row],[VALOR]]-Tabela4[[#This Row],[PNEUS]]-Tabela4[[#This Row],[BATERIA]]</f>
        <v>1130</v>
      </c>
      <c r="AB101" s="19" t="s">
        <v>24</v>
      </c>
      <c r="AC101" s="30">
        <v>0</v>
      </c>
      <c r="AD101" s="162">
        <v>0</v>
      </c>
      <c r="AE101" s="162">
        <v>0</v>
      </c>
      <c r="AF101" s="162">
        <v>0</v>
      </c>
      <c r="AG101" s="162">
        <v>0</v>
      </c>
      <c r="AH101" s="162">
        <v>0</v>
      </c>
      <c r="AI101" s="162">
        <v>0</v>
      </c>
      <c r="AJ101" s="162">
        <v>0</v>
      </c>
    </row>
    <row r="102" spans="1:36" x14ac:dyDescent="0.25">
      <c r="A102" s="15" t="s">
        <v>737</v>
      </c>
      <c r="B102" s="15"/>
      <c r="C102" s="141">
        <v>45307</v>
      </c>
      <c r="D102" s="141">
        <v>45308</v>
      </c>
      <c r="E102">
        <f>Tabela4[[#This Row],[DATA FATURAMENTO]]-Tabela4[[#This Row],[DATA ORÇAMENTO]]</f>
        <v>1</v>
      </c>
      <c r="F102" s="15">
        <v>10318</v>
      </c>
      <c r="G102" s="15" t="s">
        <v>22</v>
      </c>
      <c r="H102" s="15"/>
      <c r="I102" s="149">
        <v>6647.5</v>
      </c>
      <c r="J102" s="149">
        <v>2582.5</v>
      </c>
      <c r="K102" s="150">
        <f>Tabela4[[#This Row],[PECAS]]+Tabela4[[#This Row],[SERVICOS]]</f>
        <v>9230</v>
      </c>
      <c r="L102" s="149">
        <v>110</v>
      </c>
      <c r="M102" s="149">
        <f>115.5+25.4+70</f>
        <v>210.9</v>
      </c>
      <c r="N102" s="22"/>
      <c r="O102" s="149">
        <v>240</v>
      </c>
      <c r="P102" s="149">
        <v>67.5</v>
      </c>
      <c r="Q102" s="149">
        <v>128</v>
      </c>
      <c r="R102" s="149">
        <v>0</v>
      </c>
      <c r="S102" s="149">
        <v>170</v>
      </c>
      <c r="T102" s="149">
        <v>1840</v>
      </c>
      <c r="U102" s="160">
        <v>0</v>
      </c>
      <c r="V102" s="21"/>
      <c r="W102" s="22">
        <v>4</v>
      </c>
      <c r="X102" s="149">
        <v>0</v>
      </c>
      <c r="Y102" s="18" t="s">
        <v>654</v>
      </c>
      <c r="Z102" s="149">
        <v>170</v>
      </c>
      <c r="AA102" s="149">
        <f>Tabela4[[#This Row],[VALOR]]-Tabela4[[#This Row],[PNEUS]]-Tabela4[[#This Row],[BATERIA]]</f>
        <v>7390</v>
      </c>
      <c r="AB102" s="19" t="s">
        <v>27</v>
      </c>
      <c r="AC102" s="30">
        <v>0</v>
      </c>
      <c r="AD102" s="162">
        <v>0</v>
      </c>
      <c r="AE102" s="162">
        <v>0</v>
      </c>
      <c r="AF102" s="162">
        <v>0</v>
      </c>
      <c r="AG102" s="162">
        <v>0</v>
      </c>
      <c r="AH102" s="162">
        <v>0</v>
      </c>
      <c r="AI102" s="162">
        <v>0</v>
      </c>
      <c r="AJ102" s="162">
        <v>0</v>
      </c>
    </row>
    <row r="103" spans="1:36" x14ac:dyDescent="0.25">
      <c r="A103" s="15" t="s">
        <v>738</v>
      </c>
      <c r="B103" s="15"/>
      <c r="C103" s="141">
        <v>45308</v>
      </c>
      <c r="D103" s="141">
        <v>45308</v>
      </c>
      <c r="E103">
        <f>Tabela4[[#This Row],[DATA FATURAMENTO]]-Tabela4[[#This Row],[DATA ORÇAMENTO]]</f>
        <v>0</v>
      </c>
      <c r="F103" s="15">
        <v>10342</v>
      </c>
      <c r="G103" s="15" t="s">
        <v>37</v>
      </c>
      <c r="H103" s="15"/>
      <c r="I103" s="149">
        <v>402</v>
      </c>
      <c r="J103" s="149">
        <v>430</v>
      </c>
      <c r="K103" s="150">
        <f>Tabela4[[#This Row],[PECAS]]+Tabela4[[#This Row],[SERVICOS]]</f>
        <v>832</v>
      </c>
      <c r="L103" s="149">
        <v>0</v>
      </c>
      <c r="M103" s="149">
        <v>32.5</v>
      </c>
      <c r="N103" s="22"/>
      <c r="O103" s="149">
        <v>0</v>
      </c>
      <c r="P103" s="149">
        <v>0</v>
      </c>
      <c r="Q103" s="149">
        <v>0</v>
      </c>
      <c r="R103" s="149">
        <v>0</v>
      </c>
      <c r="S103" s="149">
        <v>163.9</v>
      </c>
      <c r="T103" s="149">
        <v>0</v>
      </c>
      <c r="U103" s="160">
        <v>0</v>
      </c>
      <c r="V103" s="21"/>
      <c r="W103" s="22">
        <v>5</v>
      </c>
      <c r="X103" s="149">
        <v>0</v>
      </c>
      <c r="Y103" s="18" t="s">
        <v>654</v>
      </c>
      <c r="Z103" s="149">
        <f>63.9+100</f>
        <v>163.9</v>
      </c>
      <c r="AA103" s="149">
        <f>Tabela4[[#This Row],[VALOR]]-Tabela4[[#This Row],[PNEUS]]-Tabela4[[#This Row],[BATERIA]]</f>
        <v>832</v>
      </c>
      <c r="AB103" s="19" t="s">
        <v>34</v>
      </c>
      <c r="AC103" s="30">
        <v>0</v>
      </c>
      <c r="AD103" s="162">
        <v>0</v>
      </c>
      <c r="AE103" s="162">
        <v>0</v>
      </c>
      <c r="AF103" s="162">
        <v>0</v>
      </c>
      <c r="AG103" s="162">
        <v>0</v>
      </c>
      <c r="AH103" s="162">
        <v>0</v>
      </c>
      <c r="AI103" s="162">
        <v>0</v>
      </c>
      <c r="AJ103" s="162">
        <v>0</v>
      </c>
    </row>
    <row r="104" spans="1:36" x14ac:dyDescent="0.25">
      <c r="A104" s="15" t="s">
        <v>268</v>
      </c>
      <c r="B104" s="15"/>
      <c r="C104" s="141">
        <v>45308</v>
      </c>
      <c r="D104" s="141">
        <v>45308</v>
      </c>
      <c r="E104">
        <f>Tabela4[[#This Row],[DATA FATURAMENTO]]-Tabela4[[#This Row],[DATA ORÇAMENTO]]</f>
        <v>0</v>
      </c>
      <c r="F104" s="15">
        <v>10335</v>
      </c>
      <c r="G104" s="15" t="s">
        <v>22</v>
      </c>
      <c r="H104" s="15"/>
      <c r="I104" s="149">
        <v>465</v>
      </c>
      <c r="J104" s="149">
        <v>0</v>
      </c>
      <c r="K104" s="150">
        <f>Tabela4[[#This Row],[PECAS]]+Tabela4[[#This Row],[SERVICOS]]</f>
        <v>465</v>
      </c>
      <c r="L104" s="149">
        <v>0</v>
      </c>
      <c r="M104" s="149">
        <v>0</v>
      </c>
      <c r="N104" s="22"/>
      <c r="O104" s="149">
        <v>0</v>
      </c>
      <c r="P104" s="149">
        <v>0</v>
      </c>
      <c r="Q104" s="149">
        <v>0</v>
      </c>
      <c r="R104" s="149">
        <v>0</v>
      </c>
      <c r="S104" s="149">
        <v>0</v>
      </c>
      <c r="T104" s="149">
        <v>0</v>
      </c>
      <c r="U104" s="160">
        <v>465</v>
      </c>
      <c r="V104" s="21" t="s">
        <v>637</v>
      </c>
      <c r="W104" s="22">
        <v>0</v>
      </c>
      <c r="X104" s="149">
        <v>0</v>
      </c>
      <c r="Y104" s="18"/>
      <c r="Z104" s="149">
        <v>0</v>
      </c>
      <c r="AA104" s="149">
        <f>K104-U104-T104</f>
        <v>0</v>
      </c>
      <c r="AB104" s="19" t="s">
        <v>6</v>
      </c>
      <c r="AC104" s="30">
        <v>0</v>
      </c>
      <c r="AD104" s="162">
        <v>0</v>
      </c>
      <c r="AE104" s="162">
        <v>0</v>
      </c>
      <c r="AF104" s="162">
        <v>0</v>
      </c>
      <c r="AG104" s="162">
        <v>0</v>
      </c>
      <c r="AH104" s="162">
        <v>0</v>
      </c>
      <c r="AI104" s="162">
        <v>0</v>
      </c>
      <c r="AJ104" s="162">
        <v>0</v>
      </c>
    </row>
    <row r="105" spans="1:36" x14ac:dyDescent="0.25">
      <c r="A105" s="15" t="s">
        <v>739</v>
      </c>
      <c r="B105" s="15"/>
      <c r="C105" s="141">
        <v>45306</v>
      </c>
      <c r="D105" s="141">
        <v>45309</v>
      </c>
      <c r="E105">
        <f>Tabela4[[#This Row],[DATA FATURAMENTO]]-Tabela4[[#This Row],[DATA ORÇAMENTO]]</f>
        <v>3</v>
      </c>
      <c r="F105" s="15">
        <v>10301</v>
      </c>
      <c r="G105" s="15" t="s">
        <v>35</v>
      </c>
      <c r="H105" s="15"/>
      <c r="I105" s="149">
        <v>1615.3</v>
      </c>
      <c r="J105" s="149">
        <v>1184.7</v>
      </c>
      <c r="K105" s="150">
        <f>Tabela4[[#This Row],[PECAS]]+Tabela4[[#This Row],[SERVICOS]]</f>
        <v>2800</v>
      </c>
      <c r="L105" s="149">
        <v>0</v>
      </c>
      <c r="M105" s="149">
        <f>115.5+26.8+106.94</f>
        <v>249.24</v>
      </c>
      <c r="N105" s="22"/>
      <c r="O105" s="149">
        <v>0</v>
      </c>
      <c r="P105" s="149">
        <v>0</v>
      </c>
      <c r="Q105" s="149">
        <v>0</v>
      </c>
      <c r="R105" s="149">
        <v>0</v>
      </c>
      <c r="S105" s="149">
        <v>0</v>
      </c>
      <c r="T105" s="149">
        <v>0</v>
      </c>
      <c r="U105" s="160">
        <v>0</v>
      </c>
      <c r="W105" s="22">
        <v>0</v>
      </c>
      <c r="X105" s="149">
        <v>0</v>
      </c>
      <c r="Y105" s="18"/>
      <c r="Z105" s="149">
        <v>0</v>
      </c>
      <c r="AA105" s="149">
        <f>Tabela4[[#This Row],[VALOR]]-Tabela4[[#This Row],[PNEUS]]-Tabela4[[#This Row],[BATERIA]]</f>
        <v>2800</v>
      </c>
      <c r="AB105" s="19" t="s">
        <v>30</v>
      </c>
      <c r="AC105" s="30">
        <v>0</v>
      </c>
      <c r="AD105" s="162">
        <v>0</v>
      </c>
      <c r="AE105" s="162">
        <v>0</v>
      </c>
      <c r="AF105" s="162">
        <v>0</v>
      </c>
      <c r="AG105" s="162">
        <v>0</v>
      </c>
      <c r="AH105" s="162">
        <v>0</v>
      </c>
      <c r="AI105" s="162">
        <v>0</v>
      </c>
      <c r="AJ105" s="162">
        <v>0</v>
      </c>
    </row>
    <row r="106" spans="1:36" x14ac:dyDescent="0.25">
      <c r="A106" s="15" t="s">
        <v>740</v>
      </c>
      <c r="B106" s="15"/>
      <c r="C106" s="141">
        <v>45308</v>
      </c>
      <c r="D106" s="141">
        <v>45309</v>
      </c>
      <c r="E106">
        <f>Tabela4[[#This Row],[DATA FATURAMENTO]]-Tabela4[[#This Row],[DATA ORÇAMENTO]]</f>
        <v>1</v>
      </c>
      <c r="F106" s="15">
        <v>10334</v>
      </c>
      <c r="G106" s="15" t="s">
        <v>22</v>
      </c>
      <c r="H106" s="15"/>
      <c r="I106" s="149">
        <v>480.1</v>
      </c>
      <c r="J106" s="149">
        <v>1383</v>
      </c>
      <c r="K106" s="150">
        <f>Tabela4[[#This Row],[PECAS]]+Tabela4[[#This Row],[SERVICOS]]</f>
        <v>1863.1</v>
      </c>
      <c r="L106" s="149">
        <v>0</v>
      </c>
      <c r="M106" s="149">
        <v>0</v>
      </c>
      <c r="N106" s="22"/>
      <c r="O106" s="149">
        <v>240</v>
      </c>
      <c r="P106" s="149">
        <v>138.5</v>
      </c>
      <c r="Q106" s="149">
        <v>176</v>
      </c>
      <c r="R106" s="149">
        <v>0</v>
      </c>
      <c r="S106" s="149">
        <v>170</v>
      </c>
      <c r="T106" s="149">
        <v>0</v>
      </c>
      <c r="U106" s="160">
        <v>0</v>
      </c>
      <c r="V106" s="13"/>
      <c r="W106" s="22">
        <v>0</v>
      </c>
      <c r="X106" s="149">
        <v>0</v>
      </c>
      <c r="Y106" s="18"/>
      <c r="Z106" s="149">
        <v>0</v>
      </c>
      <c r="AA106" s="149">
        <f>Tabela4[[#This Row],[VALOR]]-Tabela4[[#This Row],[PNEUS]]-Tabela4[[#This Row],[BATERIA]]</f>
        <v>1863.1</v>
      </c>
      <c r="AB106" s="19" t="s">
        <v>24</v>
      </c>
      <c r="AC106" s="30">
        <v>0</v>
      </c>
      <c r="AD106" s="162">
        <v>0</v>
      </c>
      <c r="AE106" s="162">
        <v>0</v>
      </c>
      <c r="AF106" s="162">
        <v>0</v>
      </c>
      <c r="AG106" s="162">
        <v>0</v>
      </c>
      <c r="AH106" s="162">
        <v>0</v>
      </c>
      <c r="AI106" s="162">
        <v>0</v>
      </c>
      <c r="AJ106" s="162">
        <v>0</v>
      </c>
    </row>
    <row r="107" spans="1:36" x14ac:dyDescent="0.25">
      <c r="A107" s="15" t="s">
        <v>741</v>
      </c>
      <c r="B107" s="15"/>
      <c r="C107" s="141">
        <v>45309</v>
      </c>
      <c r="D107" s="141">
        <v>45309</v>
      </c>
      <c r="E107">
        <f>Tabela4[[#This Row],[DATA FATURAMENTO]]-Tabela4[[#This Row],[DATA ORÇAMENTO]]</f>
        <v>0</v>
      </c>
      <c r="F107" s="15">
        <v>10352</v>
      </c>
      <c r="G107" s="15" t="s">
        <v>22</v>
      </c>
      <c r="H107" s="15"/>
      <c r="I107" s="149">
        <v>397.7</v>
      </c>
      <c r="J107" s="149">
        <v>608</v>
      </c>
      <c r="K107" s="150">
        <f>Tabela4[[#This Row],[PECAS]]+Tabela4[[#This Row],[SERVICOS]]</f>
        <v>1005.7</v>
      </c>
      <c r="L107" s="149">
        <v>0</v>
      </c>
      <c r="M107" s="149">
        <v>0</v>
      </c>
      <c r="N107" s="22"/>
      <c r="O107" s="149">
        <v>270</v>
      </c>
      <c r="P107" s="149">
        <v>0</v>
      </c>
      <c r="Q107" s="149">
        <v>190</v>
      </c>
      <c r="R107" s="149">
        <v>0</v>
      </c>
      <c r="S107" s="149">
        <v>0</v>
      </c>
      <c r="T107" s="149">
        <v>0</v>
      </c>
      <c r="U107" s="160">
        <v>0</v>
      </c>
      <c r="V107" s="13"/>
      <c r="W107" s="22">
        <v>0</v>
      </c>
      <c r="X107" s="149">
        <v>0</v>
      </c>
      <c r="Y107" s="18"/>
      <c r="Z107" s="149">
        <v>0</v>
      </c>
      <c r="AA107" s="149">
        <f>Tabela4[[#This Row],[VALOR]]-Tabela4[[#This Row],[PNEUS]]-Tabela4[[#This Row],[BATERIA]]</f>
        <v>1005.7</v>
      </c>
      <c r="AB107" s="19" t="s">
        <v>34</v>
      </c>
      <c r="AC107" s="30">
        <v>0</v>
      </c>
      <c r="AD107" s="162">
        <v>0</v>
      </c>
      <c r="AE107" s="162">
        <v>0</v>
      </c>
      <c r="AF107" s="162">
        <v>0</v>
      </c>
      <c r="AG107" s="162">
        <v>0</v>
      </c>
      <c r="AH107" s="162">
        <v>0</v>
      </c>
      <c r="AI107" s="162">
        <v>0</v>
      </c>
      <c r="AJ107" s="162">
        <v>0</v>
      </c>
    </row>
    <row r="108" spans="1:36" x14ac:dyDescent="0.25">
      <c r="A108" s="15" t="s">
        <v>742</v>
      </c>
      <c r="B108" s="15"/>
      <c r="C108" s="141">
        <v>45309</v>
      </c>
      <c r="D108" s="141">
        <v>45309</v>
      </c>
      <c r="E108">
        <f>Tabela4[[#This Row],[DATA FATURAMENTO]]-Tabela4[[#This Row],[DATA ORÇAMENTO]]</f>
        <v>0</v>
      </c>
      <c r="F108" s="15">
        <v>10346</v>
      </c>
      <c r="G108" s="15" t="s">
        <v>22</v>
      </c>
      <c r="H108" s="15"/>
      <c r="I108" s="149">
        <v>295.39999999999998</v>
      </c>
      <c r="J108" s="149">
        <v>390</v>
      </c>
      <c r="K108" s="150">
        <f>Tabela4[[#This Row],[PECAS]]+Tabela4[[#This Row],[SERVICOS]]</f>
        <v>685.4</v>
      </c>
      <c r="L108" s="149">
        <v>0</v>
      </c>
      <c r="M108" s="149">
        <v>0</v>
      </c>
      <c r="N108" s="22"/>
      <c r="O108" s="149">
        <v>220</v>
      </c>
      <c r="P108" s="149">
        <v>0</v>
      </c>
      <c r="Q108" s="149">
        <v>170</v>
      </c>
      <c r="R108" s="149">
        <v>0</v>
      </c>
      <c r="S108" s="149">
        <v>0</v>
      </c>
      <c r="T108" s="149">
        <v>0</v>
      </c>
      <c r="U108" s="160">
        <v>0</v>
      </c>
      <c r="V108" s="23"/>
      <c r="W108" s="22">
        <v>0</v>
      </c>
      <c r="X108" s="149">
        <v>0</v>
      </c>
      <c r="Y108" s="18"/>
      <c r="Z108" s="149">
        <v>0</v>
      </c>
      <c r="AA108" s="149">
        <f>Tabela4[[#This Row],[VALOR]]-Tabela4[[#This Row],[PNEUS]]-Tabela4[[#This Row],[BATERIA]]</f>
        <v>685.4</v>
      </c>
      <c r="AB108" s="19" t="s">
        <v>27</v>
      </c>
      <c r="AC108" s="30">
        <v>0</v>
      </c>
      <c r="AD108" s="162">
        <v>0</v>
      </c>
      <c r="AE108" s="162">
        <v>0</v>
      </c>
      <c r="AF108" s="162">
        <v>0</v>
      </c>
      <c r="AG108" s="162">
        <v>0</v>
      </c>
      <c r="AH108" s="162">
        <v>0</v>
      </c>
      <c r="AI108" s="162">
        <v>0</v>
      </c>
      <c r="AJ108" s="162">
        <v>0</v>
      </c>
    </row>
    <row r="109" spans="1:36" x14ac:dyDescent="0.25">
      <c r="A109" s="15" t="s">
        <v>743</v>
      </c>
      <c r="B109" s="15"/>
      <c r="C109" s="141">
        <v>45308</v>
      </c>
      <c r="D109" s="141">
        <v>45310</v>
      </c>
      <c r="E109">
        <f>Tabela4[[#This Row],[DATA FATURAMENTO]]-Tabela4[[#This Row],[DATA ORÇAMENTO]]</f>
        <v>2</v>
      </c>
      <c r="F109" s="15">
        <v>10337</v>
      </c>
      <c r="G109" s="15" t="s">
        <v>33</v>
      </c>
      <c r="H109" s="15"/>
      <c r="I109" s="151">
        <v>710.2</v>
      </c>
      <c r="J109" s="151">
        <v>329.8</v>
      </c>
      <c r="K109" s="150">
        <f>Tabela4[[#This Row],[PECAS]]+Tabela4[[#This Row],[SERVICOS]]</f>
        <v>1040</v>
      </c>
      <c r="L109" s="151">
        <v>0</v>
      </c>
      <c r="M109" s="151">
        <v>138</v>
      </c>
      <c r="N109" s="24"/>
      <c r="O109" s="151">
        <v>0</v>
      </c>
      <c r="P109" s="151">
        <v>0</v>
      </c>
      <c r="Q109" s="151">
        <v>0</v>
      </c>
      <c r="R109" s="151">
        <v>0</v>
      </c>
      <c r="S109" s="149">
        <v>170</v>
      </c>
      <c r="T109" s="151">
        <v>0</v>
      </c>
      <c r="U109" s="161">
        <v>0</v>
      </c>
      <c r="V109" s="21"/>
      <c r="W109" s="24">
        <v>5</v>
      </c>
      <c r="X109" s="149">
        <v>0</v>
      </c>
      <c r="Y109" s="15" t="s">
        <v>654</v>
      </c>
      <c r="Z109" s="151">
        <v>170</v>
      </c>
      <c r="AA109" s="149">
        <f>Tabela4[[#This Row],[VALOR]]-Tabela4[[#This Row],[PNEUS]]-Tabela4[[#This Row],[BATERIA]]</f>
        <v>1040</v>
      </c>
      <c r="AB109" s="19" t="s">
        <v>30</v>
      </c>
      <c r="AC109" s="30">
        <v>0</v>
      </c>
      <c r="AD109" s="162">
        <v>0</v>
      </c>
      <c r="AE109" s="162">
        <v>0</v>
      </c>
      <c r="AF109" s="162">
        <v>0</v>
      </c>
      <c r="AG109" s="162">
        <v>0</v>
      </c>
      <c r="AH109" s="162">
        <v>0</v>
      </c>
      <c r="AI109" s="162">
        <v>0</v>
      </c>
      <c r="AJ109" s="162">
        <v>0</v>
      </c>
    </row>
    <row r="110" spans="1:36" x14ac:dyDescent="0.25">
      <c r="A110" s="15" t="s">
        <v>744</v>
      </c>
      <c r="B110" s="15"/>
      <c r="C110" s="141">
        <v>45309</v>
      </c>
      <c r="D110" s="141">
        <v>45310</v>
      </c>
      <c r="E110">
        <f>Tabela4[[#This Row],[DATA FATURAMENTO]]-Tabela4[[#This Row],[DATA ORÇAMENTO]]</f>
        <v>1</v>
      </c>
      <c r="F110" s="15">
        <v>10354</v>
      </c>
      <c r="G110" s="15" t="s">
        <v>31</v>
      </c>
      <c r="H110" s="15"/>
      <c r="I110" s="151">
        <v>376.26</v>
      </c>
      <c r="J110" s="151">
        <v>571.54</v>
      </c>
      <c r="K110" s="150">
        <f>Tabela4[[#This Row],[PECAS]]+Tabela4[[#This Row],[SERVICOS]]</f>
        <v>947.8</v>
      </c>
      <c r="L110" s="151">
        <v>0</v>
      </c>
      <c r="M110" s="151">
        <v>0</v>
      </c>
      <c r="N110" s="24"/>
      <c r="O110" s="151">
        <v>0</v>
      </c>
      <c r="P110" s="151">
        <v>0</v>
      </c>
      <c r="Q110" s="151">
        <v>0</v>
      </c>
      <c r="R110" s="151">
        <v>0</v>
      </c>
      <c r="S110" s="149">
        <v>0</v>
      </c>
      <c r="T110" s="151">
        <v>0</v>
      </c>
      <c r="U110" s="161">
        <v>0</v>
      </c>
      <c r="V110" s="21"/>
      <c r="W110" s="22">
        <v>0</v>
      </c>
      <c r="X110" s="149">
        <v>0</v>
      </c>
      <c r="Y110" s="15"/>
      <c r="Z110" s="151">
        <v>0</v>
      </c>
      <c r="AA110" s="149">
        <f>Tabela4[[#This Row],[VALOR]]-Tabela4[[#This Row],[PNEUS]]-Tabela4[[#This Row],[BATERIA]]</f>
        <v>947.8</v>
      </c>
      <c r="AB110" s="19" t="s">
        <v>30</v>
      </c>
      <c r="AC110" s="30">
        <v>0</v>
      </c>
      <c r="AD110" s="162">
        <v>0</v>
      </c>
      <c r="AE110" s="162">
        <v>0</v>
      </c>
      <c r="AF110" s="162">
        <v>0</v>
      </c>
      <c r="AG110" s="162">
        <v>0</v>
      </c>
      <c r="AH110" s="162">
        <v>0</v>
      </c>
      <c r="AI110" s="162">
        <v>0</v>
      </c>
      <c r="AJ110" s="162">
        <v>0</v>
      </c>
    </row>
    <row r="111" spans="1:36" x14ac:dyDescent="0.25">
      <c r="A111" s="15" t="s">
        <v>173</v>
      </c>
      <c r="B111" s="15"/>
      <c r="C111" s="141">
        <v>45310</v>
      </c>
      <c r="D111" s="141">
        <v>45310</v>
      </c>
      <c r="E111">
        <f>Tabela4[[#This Row],[DATA FATURAMENTO]]-Tabela4[[#This Row],[DATA ORÇAMENTO]]</f>
        <v>0</v>
      </c>
      <c r="F111" s="15">
        <v>10356</v>
      </c>
      <c r="G111" s="15" t="s">
        <v>35</v>
      </c>
      <c r="H111" s="15"/>
      <c r="I111" s="151">
        <v>0</v>
      </c>
      <c r="J111" s="151">
        <v>170</v>
      </c>
      <c r="K111" s="150">
        <f>Tabela4[[#This Row],[PECAS]]+Tabela4[[#This Row],[SERVICOS]]</f>
        <v>170</v>
      </c>
      <c r="L111" s="151">
        <v>0</v>
      </c>
      <c r="M111" s="151">
        <v>0</v>
      </c>
      <c r="N111" s="24"/>
      <c r="O111" s="151">
        <v>0</v>
      </c>
      <c r="P111" s="151">
        <v>0</v>
      </c>
      <c r="Q111" s="151">
        <v>0</v>
      </c>
      <c r="R111" s="151">
        <v>0</v>
      </c>
      <c r="S111" s="149">
        <v>170</v>
      </c>
      <c r="T111" s="151">
        <v>0</v>
      </c>
      <c r="U111" s="161">
        <v>0</v>
      </c>
      <c r="V111" s="21"/>
      <c r="W111" s="22">
        <v>0</v>
      </c>
      <c r="X111" s="149">
        <v>0</v>
      </c>
      <c r="Y111" s="15"/>
      <c r="Z111" s="151">
        <v>0</v>
      </c>
      <c r="AA111" s="149">
        <f>Tabela4[[#This Row],[VALOR]]-Tabela4[[#This Row],[PNEUS]]-Tabela4[[#This Row],[BATERIA]]</f>
        <v>170</v>
      </c>
      <c r="AB111" s="19" t="s">
        <v>38</v>
      </c>
      <c r="AC111" s="30">
        <v>0</v>
      </c>
      <c r="AD111" s="162">
        <v>0</v>
      </c>
      <c r="AE111" s="162">
        <v>0</v>
      </c>
      <c r="AF111" s="162">
        <v>0</v>
      </c>
      <c r="AG111" s="162">
        <v>0</v>
      </c>
      <c r="AH111" s="162">
        <v>0</v>
      </c>
      <c r="AI111" s="162">
        <v>0</v>
      </c>
      <c r="AJ111" s="162">
        <v>0</v>
      </c>
    </row>
    <row r="112" spans="1:36" x14ac:dyDescent="0.25">
      <c r="A112" s="15" t="s">
        <v>745</v>
      </c>
      <c r="B112" s="15"/>
      <c r="C112" s="141">
        <v>45310</v>
      </c>
      <c r="D112" s="141">
        <v>45310</v>
      </c>
      <c r="E112">
        <f>Tabela4[[#This Row],[DATA FATURAMENTO]]-Tabela4[[#This Row],[DATA ORÇAMENTO]]</f>
        <v>0</v>
      </c>
      <c r="F112" s="15">
        <v>10357</v>
      </c>
      <c r="G112" s="15" t="s">
        <v>31</v>
      </c>
      <c r="H112" s="15"/>
      <c r="I112" s="151">
        <v>372.1</v>
      </c>
      <c r="J112" s="151">
        <v>264.89999999999998</v>
      </c>
      <c r="K112" s="150">
        <f>Tabela4[[#This Row],[PECAS]]+Tabela4[[#This Row],[SERVICOS]]</f>
        <v>637</v>
      </c>
      <c r="L112" s="151">
        <v>0</v>
      </c>
      <c r="M112" s="151">
        <v>0</v>
      </c>
      <c r="N112" s="24"/>
      <c r="O112" s="151">
        <v>0</v>
      </c>
      <c r="P112" s="151">
        <v>0</v>
      </c>
      <c r="Q112" s="151">
        <v>0</v>
      </c>
      <c r="R112" s="151">
        <v>0</v>
      </c>
      <c r="S112" s="149">
        <v>0</v>
      </c>
      <c r="T112" s="151">
        <v>0</v>
      </c>
      <c r="U112" s="161">
        <v>0</v>
      </c>
      <c r="V112" s="21"/>
      <c r="W112" s="24">
        <v>3</v>
      </c>
      <c r="X112" s="149">
        <v>0</v>
      </c>
      <c r="Y112" s="15" t="s">
        <v>654</v>
      </c>
      <c r="Z112" s="151">
        <v>0</v>
      </c>
      <c r="AA112" s="149">
        <f>Tabela4[[#This Row],[VALOR]]-Tabela4[[#This Row],[PNEUS]]-Tabela4[[#This Row],[BATERIA]]</f>
        <v>637</v>
      </c>
      <c r="AB112" s="19" t="s">
        <v>24</v>
      </c>
      <c r="AC112" s="30">
        <v>0</v>
      </c>
      <c r="AD112" s="162">
        <v>0</v>
      </c>
      <c r="AE112" s="162">
        <v>0</v>
      </c>
      <c r="AF112" s="162">
        <v>0</v>
      </c>
      <c r="AG112" s="162">
        <v>0</v>
      </c>
      <c r="AH112" s="162">
        <v>0</v>
      </c>
      <c r="AI112" s="162">
        <v>0</v>
      </c>
      <c r="AJ112" s="162">
        <v>0</v>
      </c>
    </row>
    <row r="113" spans="1:36" x14ac:dyDescent="0.25">
      <c r="A113" s="15" t="s">
        <v>746</v>
      </c>
      <c r="B113" s="15"/>
      <c r="C113" s="141">
        <v>45310</v>
      </c>
      <c r="D113" s="141">
        <v>45310</v>
      </c>
      <c r="E113">
        <f>Tabela4[[#This Row],[DATA FATURAMENTO]]-Tabela4[[#This Row],[DATA ORÇAMENTO]]</f>
        <v>0</v>
      </c>
      <c r="F113" s="15">
        <v>10359</v>
      </c>
      <c r="G113" s="15" t="s">
        <v>31</v>
      </c>
      <c r="H113" s="15"/>
      <c r="I113" s="151">
        <v>376</v>
      </c>
      <c r="J113" s="151">
        <v>151</v>
      </c>
      <c r="K113" s="150">
        <f>Tabela4[[#This Row],[PECAS]]+Tabela4[[#This Row],[SERVICOS]]</f>
        <v>527</v>
      </c>
      <c r="L113" s="151">
        <v>0</v>
      </c>
      <c r="M113" s="151">
        <v>0</v>
      </c>
      <c r="N113" s="24"/>
      <c r="O113" s="151">
        <v>0</v>
      </c>
      <c r="P113" s="151">
        <v>0</v>
      </c>
      <c r="Q113" s="151">
        <v>0</v>
      </c>
      <c r="R113" s="151">
        <v>0</v>
      </c>
      <c r="S113" s="149">
        <v>0</v>
      </c>
      <c r="T113" s="151">
        <v>0</v>
      </c>
      <c r="U113" s="161">
        <v>0</v>
      </c>
      <c r="V113" s="21"/>
      <c r="W113" s="24">
        <v>3</v>
      </c>
      <c r="X113" s="149">
        <v>0</v>
      </c>
      <c r="Y113" s="15" t="s">
        <v>654</v>
      </c>
      <c r="Z113" s="151">
        <v>0</v>
      </c>
      <c r="AA113" s="149">
        <f>Tabela4[[#This Row],[VALOR]]-Tabela4[[#This Row],[PNEUS]]-Tabela4[[#This Row],[BATERIA]]</f>
        <v>527</v>
      </c>
      <c r="AB113" s="19" t="s">
        <v>24</v>
      </c>
      <c r="AC113" s="30">
        <v>0</v>
      </c>
      <c r="AD113" s="162">
        <v>0</v>
      </c>
      <c r="AE113" s="162">
        <v>0</v>
      </c>
      <c r="AF113" s="162">
        <v>0</v>
      </c>
      <c r="AG113" s="162">
        <v>0</v>
      </c>
      <c r="AH113" s="162">
        <v>0</v>
      </c>
      <c r="AI113" s="162">
        <v>0</v>
      </c>
      <c r="AJ113" s="162">
        <v>0</v>
      </c>
    </row>
    <row r="114" spans="1:36" x14ac:dyDescent="0.25">
      <c r="A114" s="15" t="s">
        <v>104</v>
      </c>
      <c r="B114" s="15"/>
      <c r="C114" s="141">
        <v>45310</v>
      </c>
      <c r="D114" s="141">
        <v>45310</v>
      </c>
      <c r="E114">
        <f>Tabela4[[#This Row],[DATA FATURAMENTO]]-Tabela4[[#This Row],[DATA ORÇAMENTO]]</f>
        <v>0</v>
      </c>
      <c r="F114" s="15">
        <v>10364</v>
      </c>
      <c r="G114" s="15" t="s">
        <v>22</v>
      </c>
      <c r="H114" s="15"/>
      <c r="I114" s="151">
        <v>0</v>
      </c>
      <c r="J114" s="151">
        <v>160</v>
      </c>
      <c r="K114" s="150">
        <f>Tabela4[[#This Row],[PECAS]]+Tabela4[[#This Row],[SERVICOS]]</f>
        <v>160</v>
      </c>
      <c r="L114" s="151">
        <v>0</v>
      </c>
      <c r="M114" s="151">
        <v>0</v>
      </c>
      <c r="N114" s="24"/>
      <c r="O114" s="151">
        <v>0</v>
      </c>
      <c r="P114" s="151">
        <v>0</v>
      </c>
      <c r="Q114" s="151">
        <v>0</v>
      </c>
      <c r="R114" s="151">
        <v>0</v>
      </c>
      <c r="S114" s="149">
        <v>160</v>
      </c>
      <c r="T114" s="151">
        <v>0</v>
      </c>
      <c r="U114" s="161">
        <v>0</v>
      </c>
      <c r="V114" s="21"/>
      <c r="W114" s="22">
        <v>0</v>
      </c>
      <c r="X114" s="149">
        <v>0</v>
      </c>
      <c r="Y114" s="15"/>
      <c r="Z114" s="151">
        <v>0</v>
      </c>
      <c r="AA114" s="149">
        <f>Tabela4[[#This Row],[VALOR]]-Tabela4[[#This Row],[PNEUS]]-Tabela4[[#This Row],[BATERIA]]</f>
        <v>160</v>
      </c>
      <c r="AB114" s="19" t="s">
        <v>38</v>
      </c>
      <c r="AC114" s="30">
        <v>0</v>
      </c>
      <c r="AD114" s="162">
        <v>0</v>
      </c>
      <c r="AE114" s="162">
        <v>0</v>
      </c>
      <c r="AF114" s="162">
        <v>0</v>
      </c>
      <c r="AG114" s="162">
        <v>0</v>
      </c>
      <c r="AH114" s="162">
        <v>0</v>
      </c>
      <c r="AI114" s="162">
        <v>0</v>
      </c>
      <c r="AJ114" s="162">
        <v>0</v>
      </c>
    </row>
    <row r="115" spans="1:36" x14ac:dyDescent="0.25">
      <c r="A115" s="15" t="s">
        <v>745</v>
      </c>
      <c r="B115" s="15"/>
      <c r="C115" s="141">
        <v>45310</v>
      </c>
      <c r="D115" s="141">
        <v>45310</v>
      </c>
      <c r="E115">
        <f>Tabela4[[#This Row],[DATA FATURAMENTO]]-Tabela4[[#This Row],[DATA ORÇAMENTO]]</f>
        <v>0</v>
      </c>
      <c r="F115" s="15">
        <v>10363</v>
      </c>
      <c r="G115" s="15" t="s">
        <v>31</v>
      </c>
      <c r="H115" s="15"/>
      <c r="I115" s="151">
        <v>0</v>
      </c>
      <c r="J115" s="151">
        <v>170</v>
      </c>
      <c r="K115" s="150">
        <f>Tabela4[[#This Row],[PECAS]]+Tabela4[[#This Row],[SERVICOS]]</f>
        <v>170</v>
      </c>
      <c r="L115" s="151">
        <v>0</v>
      </c>
      <c r="M115" s="151">
        <v>0</v>
      </c>
      <c r="N115" s="24"/>
      <c r="O115" s="151">
        <v>0</v>
      </c>
      <c r="P115" s="151">
        <v>0</v>
      </c>
      <c r="Q115" s="151">
        <v>0</v>
      </c>
      <c r="R115" s="151">
        <v>0</v>
      </c>
      <c r="S115" s="149">
        <v>170</v>
      </c>
      <c r="T115" s="151">
        <v>0</v>
      </c>
      <c r="U115" s="161">
        <v>0</v>
      </c>
      <c r="V115" s="21"/>
      <c r="W115" s="22">
        <v>0</v>
      </c>
      <c r="X115" s="149">
        <v>0</v>
      </c>
      <c r="Y115" s="15"/>
      <c r="Z115" s="151">
        <v>0</v>
      </c>
      <c r="AA115" s="149">
        <f>Tabela4[[#This Row],[VALOR]]-Tabela4[[#This Row],[PNEUS]]-Tabela4[[#This Row],[BATERIA]]</f>
        <v>170</v>
      </c>
      <c r="AB115" s="19" t="s">
        <v>38</v>
      </c>
      <c r="AC115" s="30">
        <v>0</v>
      </c>
      <c r="AD115" s="162">
        <v>0</v>
      </c>
      <c r="AE115" s="162">
        <v>0</v>
      </c>
      <c r="AF115" s="162">
        <v>0</v>
      </c>
      <c r="AG115" s="162">
        <v>0</v>
      </c>
      <c r="AH115" s="162">
        <v>0</v>
      </c>
      <c r="AI115" s="162">
        <v>0</v>
      </c>
      <c r="AJ115" s="162">
        <v>0</v>
      </c>
    </row>
    <row r="116" spans="1:36" x14ac:dyDescent="0.25">
      <c r="A116" s="15" t="s">
        <v>747</v>
      </c>
      <c r="B116" s="15"/>
      <c r="C116" s="141">
        <v>45310</v>
      </c>
      <c r="D116" s="141">
        <v>45310</v>
      </c>
      <c r="E116">
        <f>Tabela4[[#This Row],[DATA FATURAMENTO]]-Tabela4[[#This Row],[DATA ORÇAMENTO]]</f>
        <v>0</v>
      </c>
      <c r="F116" s="15">
        <v>10369</v>
      </c>
      <c r="G116" s="15" t="s">
        <v>6</v>
      </c>
      <c r="H116" s="15"/>
      <c r="I116" s="151">
        <v>533.5</v>
      </c>
      <c r="J116" s="151">
        <v>0</v>
      </c>
      <c r="K116" s="150">
        <f>Tabela4[[#This Row],[PECAS]]+Tabela4[[#This Row],[SERVICOS]]</f>
        <v>533.5</v>
      </c>
      <c r="L116" s="151">
        <v>0</v>
      </c>
      <c r="M116" s="151">
        <v>0</v>
      </c>
      <c r="N116" s="24"/>
      <c r="O116" s="151">
        <v>0</v>
      </c>
      <c r="P116" s="151">
        <v>0</v>
      </c>
      <c r="Q116" s="151">
        <v>0</v>
      </c>
      <c r="R116" s="151">
        <v>0</v>
      </c>
      <c r="S116" s="149">
        <v>0</v>
      </c>
      <c r="T116" s="151">
        <v>0</v>
      </c>
      <c r="U116" s="161">
        <v>533.5</v>
      </c>
      <c r="V116" s="21" t="s">
        <v>661</v>
      </c>
      <c r="W116" s="22">
        <v>0</v>
      </c>
      <c r="X116" s="149">
        <v>0</v>
      </c>
      <c r="Y116" s="15"/>
      <c r="Z116" s="151">
        <v>0</v>
      </c>
      <c r="AA116" s="151">
        <f>K116-U116-T116</f>
        <v>0</v>
      </c>
      <c r="AB116" s="19" t="s">
        <v>6</v>
      </c>
      <c r="AC116" s="30">
        <v>0</v>
      </c>
      <c r="AD116" s="162">
        <v>0</v>
      </c>
      <c r="AE116" s="162">
        <v>0</v>
      </c>
      <c r="AF116" s="162">
        <v>0</v>
      </c>
      <c r="AG116" s="162">
        <v>0</v>
      </c>
      <c r="AH116" s="162">
        <v>0</v>
      </c>
      <c r="AI116" s="162">
        <v>0</v>
      </c>
      <c r="AJ116" s="162">
        <v>0</v>
      </c>
    </row>
    <row r="117" spans="1:36" x14ac:dyDescent="0.25">
      <c r="A117" s="15" t="s">
        <v>397</v>
      </c>
      <c r="B117" s="15"/>
      <c r="C117" s="141">
        <v>45310</v>
      </c>
      <c r="D117" s="141">
        <v>45310</v>
      </c>
      <c r="E117">
        <f>Tabela4[[#This Row],[DATA FATURAMENTO]]-Tabela4[[#This Row],[DATA ORÇAMENTO]]</f>
        <v>0</v>
      </c>
      <c r="F117" s="15">
        <v>10371</v>
      </c>
      <c r="G117" s="15" t="s">
        <v>31</v>
      </c>
      <c r="H117" s="15"/>
      <c r="I117" s="151">
        <v>850</v>
      </c>
      <c r="J117" s="151">
        <v>550</v>
      </c>
      <c r="K117" s="150">
        <f>Tabela4[[#This Row],[PECAS]]+Tabela4[[#This Row],[SERVICOS]]</f>
        <v>1400</v>
      </c>
      <c r="L117" s="151">
        <v>0</v>
      </c>
      <c r="M117" s="151">
        <v>0</v>
      </c>
      <c r="N117" s="24"/>
      <c r="O117" s="151">
        <v>0</v>
      </c>
      <c r="P117" s="151">
        <v>0</v>
      </c>
      <c r="Q117" s="151">
        <v>0</v>
      </c>
      <c r="R117" s="151">
        <v>0</v>
      </c>
      <c r="S117" s="149">
        <v>0</v>
      </c>
      <c r="T117" s="151">
        <v>0</v>
      </c>
      <c r="U117" s="161">
        <v>0</v>
      </c>
      <c r="V117" s="21"/>
      <c r="W117" s="22">
        <v>0</v>
      </c>
      <c r="X117" s="149">
        <v>0</v>
      </c>
      <c r="Y117" s="15"/>
      <c r="Z117" s="151">
        <v>0</v>
      </c>
      <c r="AA117" s="149">
        <f>Tabela4[[#This Row],[VALOR]]-Tabela4[[#This Row],[PNEUS]]-Tabela4[[#This Row],[BATERIA]]</f>
        <v>1400</v>
      </c>
      <c r="AB117" s="19" t="s">
        <v>32</v>
      </c>
      <c r="AC117" s="30">
        <v>0</v>
      </c>
      <c r="AD117" s="162">
        <v>0</v>
      </c>
      <c r="AE117" s="162">
        <v>0</v>
      </c>
      <c r="AF117" s="162">
        <v>0</v>
      </c>
      <c r="AG117" s="162">
        <v>0</v>
      </c>
      <c r="AH117" s="162">
        <v>0</v>
      </c>
      <c r="AI117" s="162">
        <v>0</v>
      </c>
      <c r="AJ117" s="162">
        <v>0</v>
      </c>
    </row>
    <row r="118" spans="1:36" x14ac:dyDescent="0.25">
      <c r="A118" s="15" t="s">
        <v>748</v>
      </c>
      <c r="B118" s="15"/>
      <c r="C118" s="141">
        <v>45303</v>
      </c>
      <c r="D118" s="141">
        <v>45311</v>
      </c>
      <c r="E118">
        <f>Tabela4[[#This Row],[DATA FATURAMENTO]]-Tabela4[[#This Row],[DATA ORÇAMENTO]]</f>
        <v>8</v>
      </c>
      <c r="F118" s="15">
        <v>10288</v>
      </c>
      <c r="G118" s="15" t="s">
        <v>6</v>
      </c>
      <c r="H118" s="15"/>
      <c r="I118" s="151">
        <v>469</v>
      </c>
      <c r="J118" s="151">
        <v>0</v>
      </c>
      <c r="K118" s="150">
        <f>Tabela4[[#This Row],[PECAS]]+Tabela4[[#This Row],[SERVICOS]]</f>
        <v>469</v>
      </c>
      <c r="L118" s="151">
        <v>0</v>
      </c>
      <c r="M118" s="151">
        <v>0</v>
      </c>
      <c r="N118" s="24"/>
      <c r="O118" s="151">
        <v>0</v>
      </c>
      <c r="P118" s="151">
        <v>0</v>
      </c>
      <c r="Q118" s="151">
        <v>0</v>
      </c>
      <c r="R118" s="151">
        <v>0</v>
      </c>
      <c r="S118" s="149">
        <v>0</v>
      </c>
      <c r="T118" s="151">
        <v>0</v>
      </c>
      <c r="U118" s="151">
        <v>469</v>
      </c>
      <c r="V118" s="15" t="s">
        <v>664</v>
      </c>
      <c r="W118" s="22">
        <v>0</v>
      </c>
      <c r="X118" s="149">
        <v>0</v>
      </c>
      <c r="Y118" s="15"/>
      <c r="Z118" s="151">
        <v>0</v>
      </c>
      <c r="AA118" s="151">
        <f>K118-U118-T118</f>
        <v>0</v>
      </c>
      <c r="AB118" s="19" t="s">
        <v>6</v>
      </c>
      <c r="AC118" s="30">
        <v>0</v>
      </c>
      <c r="AD118" s="162">
        <v>0</v>
      </c>
      <c r="AE118" s="162">
        <v>0</v>
      </c>
      <c r="AF118" s="162">
        <v>0</v>
      </c>
      <c r="AG118" s="162">
        <v>0</v>
      </c>
      <c r="AH118" s="162">
        <v>0</v>
      </c>
      <c r="AI118" s="162">
        <v>0</v>
      </c>
      <c r="AJ118" s="162">
        <v>0</v>
      </c>
    </row>
    <row r="119" spans="1:36" x14ac:dyDescent="0.25">
      <c r="A119" s="15" t="s">
        <v>749</v>
      </c>
      <c r="B119" s="15"/>
      <c r="C119" s="141">
        <v>45307</v>
      </c>
      <c r="D119" s="141">
        <v>45311</v>
      </c>
      <c r="E119">
        <f>Tabela4[[#This Row],[DATA FATURAMENTO]]-Tabela4[[#This Row],[DATA ORÇAMENTO]]</f>
        <v>4</v>
      </c>
      <c r="F119" s="15">
        <v>10322</v>
      </c>
      <c r="G119" s="15" t="s">
        <v>37</v>
      </c>
      <c r="H119" s="15"/>
      <c r="I119" s="151">
        <v>263.42</v>
      </c>
      <c r="J119" s="151">
        <v>387</v>
      </c>
      <c r="K119" s="150">
        <f>Tabela4[[#This Row],[PECAS]]+Tabela4[[#This Row],[SERVICOS]]</f>
        <v>650.42000000000007</v>
      </c>
      <c r="L119" s="151">
        <v>0</v>
      </c>
      <c r="M119" s="151">
        <f>37.5+40</f>
        <v>77.5</v>
      </c>
      <c r="N119" s="24"/>
      <c r="O119" s="151">
        <v>0</v>
      </c>
      <c r="P119" s="151">
        <v>0</v>
      </c>
      <c r="Q119" s="151">
        <v>0</v>
      </c>
      <c r="R119" s="151">
        <v>0</v>
      </c>
      <c r="S119" s="149">
        <v>128.16999999999999</v>
      </c>
      <c r="T119" s="151">
        <v>0</v>
      </c>
      <c r="U119" s="151">
        <v>0</v>
      </c>
      <c r="V119" s="15"/>
      <c r="W119" s="22">
        <v>3</v>
      </c>
      <c r="X119" s="149">
        <v>0</v>
      </c>
      <c r="Y119" s="15" t="s">
        <v>654</v>
      </c>
      <c r="Z119" s="151">
        <v>0</v>
      </c>
      <c r="AA119" s="149">
        <f>Tabela4[[#This Row],[VALOR]]-Tabela4[[#This Row],[PNEUS]]-Tabela4[[#This Row],[BATERIA]]</f>
        <v>650.42000000000007</v>
      </c>
      <c r="AB119" s="19" t="s">
        <v>34</v>
      </c>
      <c r="AC119" s="30">
        <v>0</v>
      </c>
      <c r="AD119" s="162">
        <v>0</v>
      </c>
      <c r="AE119" s="162">
        <v>0</v>
      </c>
      <c r="AF119" s="162">
        <v>0</v>
      </c>
      <c r="AG119" s="162">
        <v>0</v>
      </c>
      <c r="AH119" s="162">
        <v>0</v>
      </c>
      <c r="AI119" s="162">
        <v>0</v>
      </c>
      <c r="AJ119" s="162">
        <v>0</v>
      </c>
    </row>
    <row r="120" spans="1:36" x14ac:dyDescent="0.25">
      <c r="A120" s="15" t="s">
        <v>750</v>
      </c>
      <c r="B120" s="15"/>
      <c r="C120" s="141">
        <v>45307</v>
      </c>
      <c r="D120" s="141">
        <v>45311</v>
      </c>
      <c r="E120">
        <f>Tabela4[[#This Row],[DATA FATURAMENTO]]-Tabela4[[#This Row],[DATA ORÇAMENTO]]</f>
        <v>4</v>
      </c>
      <c r="F120" s="15">
        <v>10326</v>
      </c>
      <c r="G120" s="15" t="s">
        <v>39</v>
      </c>
      <c r="H120" s="15" t="s">
        <v>44</v>
      </c>
      <c r="I120" s="151">
        <v>40</v>
      </c>
      <c r="J120" s="151">
        <v>220</v>
      </c>
      <c r="K120" s="150">
        <f>Tabela4[[#This Row],[PECAS]]+Tabela4[[#This Row],[SERVICOS]]</f>
        <v>260</v>
      </c>
      <c r="L120" s="151">
        <v>0</v>
      </c>
      <c r="M120" s="151">
        <v>0</v>
      </c>
      <c r="N120" s="24"/>
      <c r="O120" s="151">
        <v>0</v>
      </c>
      <c r="P120" s="151">
        <v>0</v>
      </c>
      <c r="Q120" s="151">
        <v>0</v>
      </c>
      <c r="R120" s="151">
        <v>0</v>
      </c>
      <c r="S120" s="149">
        <v>0</v>
      </c>
      <c r="T120" s="151">
        <v>0</v>
      </c>
      <c r="U120" s="151">
        <v>0</v>
      </c>
      <c r="V120" s="15"/>
      <c r="W120" s="22">
        <v>0</v>
      </c>
      <c r="X120" s="149">
        <v>0</v>
      </c>
      <c r="Y120" s="15"/>
      <c r="Z120" s="151">
        <v>0</v>
      </c>
      <c r="AA120" s="149">
        <f>Tabela4[[#This Row],[VALOR]]-Tabela4[[#This Row],[PNEUS]]-Tabela4[[#This Row],[BATERIA]]</f>
        <v>260</v>
      </c>
      <c r="AB120" s="19" t="s">
        <v>24</v>
      </c>
      <c r="AC120" s="30">
        <v>0</v>
      </c>
      <c r="AD120" s="162">
        <v>0</v>
      </c>
      <c r="AE120" s="162">
        <v>0</v>
      </c>
      <c r="AF120" s="162">
        <v>0</v>
      </c>
      <c r="AG120" s="162">
        <v>0</v>
      </c>
      <c r="AH120" s="162">
        <v>0</v>
      </c>
      <c r="AI120" s="162">
        <v>0</v>
      </c>
      <c r="AJ120" s="162">
        <v>0</v>
      </c>
    </row>
    <row r="121" spans="1:36" x14ac:dyDescent="0.25">
      <c r="A121" s="15" t="s">
        <v>751</v>
      </c>
      <c r="B121" s="15"/>
      <c r="C121" s="141">
        <v>45310</v>
      </c>
      <c r="D121" s="141">
        <v>45311</v>
      </c>
      <c r="E121">
        <f>Tabela4[[#This Row],[DATA FATURAMENTO]]-Tabela4[[#This Row],[DATA ORÇAMENTO]]</f>
        <v>1</v>
      </c>
      <c r="F121" s="15">
        <v>10370</v>
      </c>
      <c r="G121" s="15" t="s">
        <v>22</v>
      </c>
      <c r="H121" s="15"/>
      <c r="I121" s="151">
        <v>776.9</v>
      </c>
      <c r="J121" s="151">
        <v>577.84</v>
      </c>
      <c r="K121" s="150">
        <f>Tabela4[[#This Row],[PECAS]]+Tabela4[[#This Row],[SERVICOS]]</f>
        <v>1354.74</v>
      </c>
      <c r="L121" s="151">
        <v>0</v>
      </c>
      <c r="M121" s="151">
        <v>0</v>
      </c>
      <c r="N121" s="24"/>
      <c r="O121" s="151">
        <v>0</v>
      </c>
      <c r="P121" s="151">
        <v>0</v>
      </c>
      <c r="Q121" s="151">
        <v>0</v>
      </c>
      <c r="R121" s="151">
        <v>0</v>
      </c>
      <c r="S121" s="149">
        <v>0</v>
      </c>
      <c r="T121" s="151">
        <v>0</v>
      </c>
      <c r="U121" s="151">
        <v>0</v>
      </c>
      <c r="V121" s="15"/>
      <c r="W121" s="22">
        <v>0</v>
      </c>
      <c r="X121" s="149">
        <v>0</v>
      </c>
      <c r="Y121" s="15"/>
      <c r="Z121" s="151">
        <v>0</v>
      </c>
      <c r="AA121" s="149">
        <f>Tabela4[[#This Row],[VALOR]]-Tabela4[[#This Row],[PNEUS]]-Tabela4[[#This Row],[BATERIA]]</f>
        <v>1354.74</v>
      </c>
      <c r="AB121" s="19" t="s">
        <v>34</v>
      </c>
      <c r="AC121" s="30">
        <v>0</v>
      </c>
      <c r="AD121" s="162">
        <v>0</v>
      </c>
      <c r="AE121" s="162">
        <v>0</v>
      </c>
      <c r="AF121" s="162">
        <v>0</v>
      </c>
      <c r="AG121" s="162">
        <v>0</v>
      </c>
      <c r="AH121" s="162">
        <v>0</v>
      </c>
      <c r="AI121" s="162">
        <v>0</v>
      </c>
      <c r="AJ121" s="162">
        <v>0</v>
      </c>
    </row>
    <row r="122" spans="1:36" x14ac:dyDescent="0.25">
      <c r="A122" s="15" t="s">
        <v>752</v>
      </c>
      <c r="B122" s="15"/>
      <c r="C122" s="141">
        <v>45311</v>
      </c>
      <c r="D122" s="141">
        <v>45311</v>
      </c>
      <c r="E122">
        <f>Tabela4[[#This Row],[DATA FATURAMENTO]]-Tabela4[[#This Row],[DATA ORÇAMENTO]]</f>
        <v>0</v>
      </c>
      <c r="F122" s="15">
        <v>10377</v>
      </c>
      <c r="G122" s="15" t="s">
        <v>31</v>
      </c>
      <c r="H122" s="15"/>
      <c r="I122" s="151">
        <v>2062.9</v>
      </c>
      <c r="J122" s="151">
        <v>573.1</v>
      </c>
      <c r="K122" s="150">
        <f>Tabela4[[#This Row],[PECAS]]+Tabela4[[#This Row],[SERVICOS]]</f>
        <v>2636</v>
      </c>
      <c r="L122" s="151">
        <v>0</v>
      </c>
      <c r="M122" s="151">
        <v>0</v>
      </c>
      <c r="N122" s="24"/>
      <c r="O122" s="151">
        <v>90</v>
      </c>
      <c r="P122" s="151">
        <v>0</v>
      </c>
      <c r="Q122" s="151">
        <v>0</v>
      </c>
      <c r="R122" s="151">
        <v>0</v>
      </c>
      <c r="S122" s="149">
        <v>80</v>
      </c>
      <c r="T122" s="151">
        <v>0</v>
      </c>
      <c r="U122" s="151">
        <v>0</v>
      </c>
      <c r="V122" s="15"/>
      <c r="W122" s="24">
        <v>4</v>
      </c>
      <c r="X122" s="149">
        <v>0</v>
      </c>
      <c r="Y122" s="15" t="s">
        <v>753</v>
      </c>
      <c r="Z122" s="151">
        <v>80</v>
      </c>
      <c r="AA122" s="149">
        <f>Tabela4[[#This Row],[VALOR]]-Tabela4[[#This Row],[PNEUS]]-Tabela4[[#This Row],[BATERIA]]</f>
        <v>2636</v>
      </c>
      <c r="AB122" s="19" t="s">
        <v>32</v>
      </c>
      <c r="AC122" s="30">
        <v>0</v>
      </c>
      <c r="AD122" s="162">
        <v>0</v>
      </c>
      <c r="AE122" s="162">
        <v>0</v>
      </c>
      <c r="AF122" s="162">
        <v>0</v>
      </c>
      <c r="AG122" s="162">
        <v>0</v>
      </c>
      <c r="AH122" s="162">
        <v>0</v>
      </c>
      <c r="AI122" s="162">
        <v>0</v>
      </c>
      <c r="AJ122" s="162">
        <v>0</v>
      </c>
    </row>
    <row r="123" spans="1:36" x14ac:dyDescent="0.25">
      <c r="A123" s="15" t="s">
        <v>754</v>
      </c>
      <c r="B123" s="15"/>
      <c r="C123" s="141">
        <v>45311</v>
      </c>
      <c r="D123" s="141">
        <v>45311</v>
      </c>
      <c r="E123">
        <f>Tabela4[[#This Row],[DATA FATURAMENTO]]-Tabela4[[#This Row],[DATA ORÇAMENTO]]</f>
        <v>0</v>
      </c>
      <c r="F123" s="15">
        <v>10375</v>
      </c>
      <c r="G123" s="15" t="s">
        <v>6</v>
      </c>
      <c r="H123" s="15"/>
      <c r="I123" s="151">
        <v>469</v>
      </c>
      <c r="J123" s="151">
        <v>0</v>
      </c>
      <c r="K123" s="150">
        <f>Tabela4[[#This Row],[PECAS]]+Tabela4[[#This Row],[SERVICOS]]</f>
        <v>469</v>
      </c>
      <c r="L123" s="151">
        <v>0</v>
      </c>
      <c r="M123" s="151">
        <v>0</v>
      </c>
      <c r="N123" s="24"/>
      <c r="O123" s="151">
        <v>0</v>
      </c>
      <c r="P123" s="151">
        <v>0</v>
      </c>
      <c r="Q123" s="151">
        <v>0</v>
      </c>
      <c r="R123" s="151">
        <v>0</v>
      </c>
      <c r="S123" s="149">
        <v>0</v>
      </c>
      <c r="T123" s="151">
        <v>0</v>
      </c>
      <c r="U123" s="151">
        <v>469</v>
      </c>
      <c r="V123" s="15" t="s">
        <v>664</v>
      </c>
      <c r="W123" s="22">
        <v>0</v>
      </c>
      <c r="X123" s="149">
        <v>0</v>
      </c>
      <c r="Y123" s="15"/>
      <c r="Z123" s="151">
        <v>0</v>
      </c>
      <c r="AA123" s="151">
        <f>K123-U123-T123</f>
        <v>0</v>
      </c>
      <c r="AB123" s="19" t="s">
        <v>6</v>
      </c>
      <c r="AC123" s="30">
        <v>0</v>
      </c>
      <c r="AD123" s="162">
        <v>0</v>
      </c>
      <c r="AE123" s="162">
        <v>0</v>
      </c>
      <c r="AF123" s="162">
        <v>0</v>
      </c>
      <c r="AG123" s="162">
        <v>0</v>
      </c>
      <c r="AH123" s="162">
        <v>0</v>
      </c>
      <c r="AI123" s="162">
        <v>0</v>
      </c>
      <c r="AJ123" s="162">
        <v>0</v>
      </c>
    </row>
    <row r="124" spans="1:36" x14ac:dyDescent="0.25">
      <c r="A124" s="15" t="s">
        <v>755</v>
      </c>
      <c r="B124" s="15"/>
      <c r="C124" s="141">
        <v>45311</v>
      </c>
      <c r="D124" s="141">
        <v>45311</v>
      </c>
      <c r="E124">
        <f>Tabela4[[#This Row],[DATA FATURAMENTO]]-Tabela4[[#This Row],[DATA ORÇAMENTO]]</f>
        <v>0</v>
      </c>
      <c r="F124" s="15">
        <v>10376</v>
      </c>
      <c r="G124" s="15" t="s">
        <v>6</v>
      </c>
      <c r="H124" s="15"/>
      <c r="I124" s="151">
        <v>469</v>
      </c>
      <c r="J124" s="151">
        <v>0</v>
      </c>
      <c r="K124" s="150">
        <f>Tabela4[[#This Row],[PECAS]]+Tabela4[[#This Row],[SERVICOS]]</f>
        <v>469</v>
      </c>
      <c r="L124" s="151">
        <v>0</v>
      </c>
      <c r="M124" s="151">
        <v>0</v>
      </c>
      <c r="N124" s="24"/>
      <c r="O124" s="151">
        <v>0</v>
      </c>
      <c r="P124" s="151">
        <v>0</v>
      </c>
      <c r="Q124" s="151">
        <v>0</v>
      </c>
      <c r="R124" s="151">
        <v>0</v>
      </c>
      <c r="S124" s="149">
        <v>0</v>
      </c>
      <c r="T124" s="151">
        <v>0</v>
      </c>
      <c r="U124" s="151">
        <v>469</v>
      </c>
      <c r="V124" s="15" t="s">
        <v>707</v>
      </c>
      <c r="W124" s="22">
        <v>0</v>
      </c>
      <c r="X124" s="149">
        <v>0</v>
      </c>
      <c r="Y124" s="15"/>
      <c r="Z124" s="151">
        <v>0</v>
      </c>
      <c r="AA124" s="151">
        <f>K124-U124-T124</f>
        <v>0</v>
      </c>
      <c r="AB124" s="19" t="s">
        <v>6</v>
      </c>
      <c r="AC124" s="30">
        <v>0</v>
      </c>
      <c r="AD124" s="162">
        <v>0</v>
      </c>
      <c r="AE124" s="162">
        <v>0</v>
      </c>
      <c r="AF124" s="162">
        <v>0</v>
      </c>
      <c r="AG124" s="162">
        <v>0</v>
      </c>
      <c r="AH124" s="162">
        <v>0</v>
      </c>
      <c r="AI124" s="162">
        <v>0</v>
      </c>
      <c r="AJ124" s="162">
        <v>0</v>
      </c>
    </row>
    <row r="125" spans="1:36" x14ac:dyDescent="0.25">
      <c r="A125" s="15" t="s">
        <v>756</v>
      </c>
      <c r="B125" s="15"/>
      <c r="C125" s="141">
        <v>45311</v>
      </c>
      <c r="D125" s="141">
        <v>45311</v>
      </c>
      <c r="E125">
        <f>Tabela4[[#This Row],[DATA FATURAMENTO]]-Tabela4[[#This Row],[DATA ORÇAMENTO]]</f>
        <v>0</v>
      </c>
      <c r="F125" s="15">
        <v>10378</v>
      </c>
      <c r="G125" s="15" t="s">
        <v>31</v>
      </c>
      <c r="H125" s="15"/>
      <c r="I125" s="151">
        <v>426.3</v>
      </c>
      <c r="J125" s="151">
        <v>0</v>
      </c>
      <c r="K125" s="150">
        <f>Tabela4[[#This Row],[PECAS]]+Tabela4[[#This Row],[SERVICOS]]</f>
        <v>426.3</v>
      </c>
      <c r="L125" s="151">
        <v>0</v>
      </c>
      <c r="M125" s="151">
        <v>0</v>
      </c>
      <c r="N125" s="24"/>
      <c r="O125" s="151">
        <v>0</v>
      </c>
      <c r="P125" s="151">
        <v>0</v>
      </c>
      <c r="Q125" s="151">
        <v>0</v>
      </c>
      <c r="R125" s="151">
        <v>0</v>
      </c>
      <c r="S125" s="149">
        <v>0</v>
      </c>
      <c r="T125" s="151">
        <v>0</v>
      </c>
      <c r="U125" s="151">
        <v>0</v>
      </c>
      <c r="V125" s="15"/>
      <c r="W125" s="22">
        <v>4</v>
      </c>
      <c r="X125" s="149">
        <v>0</v>
      </c>
      <c r="Y125" s="15" t="s">
        <v>645</v>
      </c>
      <c r="Z125" s="151">
        <v>0</v>
      </c>
      <c r="AA125" s="151">
        <f>K125-U125-T125</f>
        <v>426.3</v>
      </c>
      <c r="AB125" s="19" t="s">
        <v>34</v>
      </c>
      <c r="AC125" s="30">
        <v>0</v>
      </c>
      <c r="AD125" s="162">
        <v>0</v>
      </c>
      <c r="AE125" s="162">
        <v>0</v>
      </c>
      <c r="AF125" s="162">
        <v>0</v>
      </c>
      <c r="AG125" s="162">
        <v>0</v>
      </c>
      <c r="AH125" s="162">
        <v>0</v>
      </c>
      <c r="AI125" s="162">
        <v>0</v>
      </c>
      <c r="AJ125" s="162">
        <v>0</v>
      </c>
    </row>
    <row r="126" spans="1:36" x14ac:dyDescent="0.25">
      <c r="A126" s="15" t="s">
        <v>757</v>
      </c>
      <c r="B126" s="15"/>
      <c r="C126" s="141">
        <v>45311</v>
      </c>
      <c r="D126" s="141">
        <v>45311</v>
      </c>
      <c r="E126">
        <f>Tabela4[[#This Row],[DATA FATURAMENTO]]-Tabela4[[#This Row],[DATA ORÇAMENTO]]</f>
        <v>0</v>
      </c>
      <c r="F126" s="15">
        <v>10379</v>
      </c>
      <c r="G126" s="15" t="s">
        <v>22</v>
      </c>
      <c r="H126" s="15"/>
      <c r="I126" s="151">
        <v>20</v>
      </c>
      <c r="J126" s="151">
        <v>0</v>
      </c>
      <c r="K126" s="150">
        <f>Tabela4[[#This Row],[PECAS]]+Tabela4[[#This Row],[SERVICOS]]</f>
        <v>20</v>
      </c>
      <c r="L126" s="151">
        <v>0</v>
      </c>
      <c r="M126" s="151">
        <v>0</v>
      </c>
      <c r="N126" s="24"/>
      <c r="O126" s="151">
        <v>0</v>
      </c>
      <c r="P126" s="151">
        <v>0</v>
      </c>
      <c r="Q126" s="151">
        <v>0</v>
      </c>
      <c r="R126" s="151">
        <v>0</v>
      </c>
      <c r="S126" s="149">
        <v>0</v>
      </c>
      <c r="T126" s="151">
        <v>0</v>
      </c>
      <c r="U126" s="151">
        <v>0</v>
      </c>
      <c r="V126" s="15"/>
      <c r="W126" s="22">
        <v>0</v>
      </c>
      <c r="X126" s="149">
        <v>0</v>
      </c>
      <c r="Y126" s="15"/>
      <c r="Z126" s="151">
        <v>0</v>
      </c>
      <c r="AA126" s="151">
        <f>K126-U126-T126</f>
        <v>20</v>
      </c>
      <c r="AB126" s="19" t="s">
        <v>38</v>
      </c>
      <c r="AC126" s="30">
        <v>0</v>
      </c>
      <c r="AD126" s="162">
        <v>0</v>
      </c>
      <c r="AE126" s="162">
        <v>0</v>
      </c>
      <c r="AF126" s="162">
        <v>0</v>
      </c>
      <c r="AG126" s="162">
        <v>0</v>
      </c>
      <c r="AH126" s="162">
        <v>0</v>
      </c>
      <c r="AI126" s="162">
        <v>0</v>
      </c>
      <c r="AJ126" s="162">
        <v>0</v>
      </c>
    </row>
    <row r="127" spans="1:36" x14ac:dyDescent="0.25">
      <c r="A127" s="15" t="s">
        <v>542</v>
      </c>
      <c r="B127" s="15"/>
      <c r="C127" s="141">
        <v>45308</v>
      </c>
      <c r="D127" s="141">
        <v>45313</v>
      </c>
      <c r="E127">
        <f>Tabela4[[#This Row],[DATA FATURAMENTO]]-Tabela4[[#This Row],[DATA ORÇAMENTO]]</f>
        <v>5</v>
      </c>
      <c r="F127" s="15">
        <v>10336</v>
      </c>
      <c r="G127" s="15" t="s">
        <v>22</v>
      </c>
      <c r="H127" s="15"/>
      <c r="I127" s="151">
        <v>650</v>
      </c>
      <c r="J127" s="151">
        <v>0</v>
      </c>
      <c r="K127" s="150">
        <f>Tabela4[[#This Row],[PECAS]]+Tabela4[[#This Row],[SERVICOS]]</f>
        <v>650</v>
      </c>
      <c r="L127" s="151">
        <v>0</v>
      </c>
      <c r="M127" s="151">
        <v>0</v>
      </c>
      <c r="N127" s="24"/>
      <c r="O127" s="151">
        <v>0</v>
      </c>
      <c r="P127" s="151">
        <v>0</v>
      </c>
      <c r="Q127" s="151">
        <v>0</v>
      </c>
      <c r="R127" s="151">
        <v>0</v>
      </c>
      <c r="S127" s="149">
        <v>0</v>
      </c>
      <c r="T127" s="151">
        <v>0</v>
      </c>
      <c r="U127" s="151">
        <v>0</v>
      </c>
      <c r="V127" s="15"/>
      <c r="W127" s="22">
        <v>3</v>
      </c>
      <c r="X127" s="149">
        <v>0</v>
      </c>
      <c r="Y127" s="15" t="s">
        <v>654</v>
      </c>
      <c r="Z127" s="151">
        <v>0</v>
      </c>
      <c r="AA127" s="151">
        <f>K127-U127-T127</f>
        <v>650</v>
      </c>
      <c r="AB127" s="19" t="s">
        <v>34</v>
      </c>
      <c r="AC127" s="30">
        <v>0</v>
      </c>
      <c r="AD127" s="162">
        <v>0</v>
      </c>
      <c r="AE127" s="162">
        <v>0</v>
      </c>
      <c r="AF127" s="162">
        <v>0</v>
      </c>
      <c r="AG127" s="162">
        <v>0</v>
      </c>
      <c r="AH127" s="162">
        <v>0</v>
      </c>
      <c r="AI127" s="162">
        <v>0</v>
      </c>
      <c r="AJ127" s="162">
        <v>0</v>
      </c>
    </row>
    <row r="128" spans="1:36" x14ac:dyDescent="0.25">
      <c r="A128" s="15" t="s">
        <v>758</v>
      </c>
      <c r="B128" s="15"/>
      <c r="C128" s="141">
        <v>45310</v>
      </c>
      <c r="D128" s="141">
        <v>45313</v>
      </c>
      <c r="E128">
        <f>Tabela4[[#This Row],[DATA FATURAMENTO]]-Tabela4[[#This Row],[DATA ORÇAMENTO]]</f>
        <v>3</v>
      </c>
      <c r="F128" s="15">
        <v>10373</v>
      </c>
      <c r="G128" s="15" t="s">
        <v>22</v>
      </c>
      <c r="H128" s="15"/>
      <c r="I128" s="151">
        <v>1665.7</v>
      </c>
      <c r="J128" s="151">
        <v>1043.3</v>
      </c>
      <c r="K128" s="150">
        <f>Tabela4[[#This Row],[PECAS]]+Tabela4[[#This Row],[SERVICOS]]</f>
        <v>2709</v>
      </c>
      <c r="L128" s="151">
        <v>0</v>
      </c>
      <c r="M128" s="151">
        <v>0</v>
      </c>
      <c r="N128" s="24"/>
      <c r="O128" s="151">
        <v>47.7</v>
      </c>
      <c r="P128" s="151">
        <v>0</v>
      </c>
      <c r="Q128" s="151">
        <v>0</v>
      </c>
      <c r="R128" s="151">
        <v>0</v>
      </c>
      <c r="S128" s="149">
        <v>0</v>
      </c>
      <c r="T128" s="151">
        <v>0</v>
      </c>
      <c r="U128" s="151">
        <v>0</v>
      </c>
      <c r="V128" s="15"/>
      <c r="W128" s="22">
        <v>6</v>
      </c>
      <c r="X128" s="149">
        <v>0</v>
      </c>
      <c r="Y128" s="15" t="s">
        <v>753</v>
      </c>
      <c r="Z128" s="151">
        <v>0</v>
      </c>
      <c r="AA128" s="149">
        <f>Tabela4[[#This Row],[VALOR]]-Tabela4[[#This Row],[PNEUS]]-Tabela4[[#This Row],[BATERIA]]</f>
        <v>2709</v>
      </c>
      <c r="AB128" s="19" t="s">
        <v>30</v>
      </c>
      <c r="AC128" s="30">
        <v>0</v>
      </c>
      <c r="AD128" s="162">
        <v>0</v>
      </c>
      <c r="AE128" s="162">
        <v>0</v>
      </c>
      <c r="AF128" s="162">
        <v>0</v>
      </c>
      <c r="AG128" s="162">
        <v>0</v>
      </c>
      <c r="AH128" s="162">
        <v>0</v>
      </c>
      <c r="AI128" s="162">
        <v>0</v>
      </c>
      <c r="AJ128" s="162">
        <v>0</v>
      </c>
    </row>
    <row r="129" spans="1:36" x14ac:dyDescent="0.25">
      <c r="A129" s="15" t="s">
        <v>759</v>
      </c>
      <c r="B129" s="15"/>
      <c r="C129" s="141">
        <v>45311</v>
      </c>
      <c r="D129" s="141">
        <v>45313</v>
      </c>
      <c r="E129">
        <f>Tabela4[[#This Row],[DATA FATURAMENTO]]-Tabela4[[#This Row],[DATA ORÇAMENTO]]</f>
        <v>2</v>
      </c>
      <c r="F129" s="15">
        <v>10251</v>
      </c>
      <c r="G129" s="15" t="s">
        <v>25</v>
      </c>
      <c r="H129" s="15"/>
      <c r="I129" s="151">
        <v>9802.17</v>
      </c>
      <c r="J129" s="151">
        <v>2350</v>
      </c>
      <c r="K129" s="150">
        <f>Tabela4[[#This Row],[PECAS]]+Tabela4[[#This Row],[SERVICOS]]</f>
        <v>12152.17</v>
      </c>
      <c r="L129" s="151">
        <v>0</v>
      </c>
      <c r="M129" s="151">
        <f>121.2+140</f>
        <v>261.2</v>
      </c>
      <c r="N129" s="24"/>
      <c r="O129" s="151">
        <f>40.2+124</f>
        <v>164.2</v>
      </c>
      <c r="P129" s="151">
        <v>109.93</v>
      </c>
      <c r="Q129" s="151">
        <v>0</v>
      </c>
      <c r="R129" s="151">
        <v>0</v>
      </c>
      <c r="S129" s="149">
        <v>26.12</v>
      </c>
      <c r="T129" s="151">
        <v>1139.8</v>
      </c>
      <c r="U129" s="151">
        <v>0</v>
      </c>
      <c r="V129" s="15"/>
      <c r="W129" s="22">
        <v>0</v>
      </c>
      <c r="X129" s="149">
        <v>0</v>
      </c>
      <c r="Y129" s="15"/>
      <c r="Z129" s="151">
        <v>0</v>
      </c>
      <c r="AA129" s="149">
        <f>Tabela4[[#This Row],[VALOR]]-Tabela4[[#This Row],[PNEUS]]-Tabela4[[#This Row],[BATERIA]]</f>
        <v>11012.37</v>
      </c>
      <c r="AB129" s="19" t="s">
        <v>34</v>
      </c>
      <c r="AC129" s="30">
        <v>0</v>
      </c>
      <c r="AD129" s="162">
        <v>0</v>
      </c>
      <c r="AE129" s="162">
        <v>0</v>
      </c>
      <c r="AF129" s="162">
        <v>0</v>
      </c>
      <c r="AG129" s="162">
        <v>0</v>
      </c>
      <c r="AH129" s="162">
        <v>0</v>
      </c>
      <c r="AI129" s="162">
        <v>0</v>
      </c>
      <c r="AJ129" s="162">
        <v>0</v>
      </c>
    </row>
    <row r="130" spans="1:36" x14ac:dyDescent="0.25">
      <c r="A130" s="15" t="s">
        <v>211</v>
      </c>
      <c r="B130" s="15"/>
      <c r="C130" s="141">
        <v>45313</v>
      </c>
      <c r="D130" s="141">
        <v>45313</v>
      </c>
      <c r="E130">
        <f>Tabela4[[#This Row],[DATA FATURAMENTO]]-Tabela4[[#This Row],[DATA ORÇAMENTO]]</f>
        <v>0</v>
      </c>
      <c r="F130" s="15">
        <v>10396</v>
      </c>
      <c r="G130" s="15" t="s">
        <v>35</v>
      </c>
      <c r="H130" s="15"/>
      <c r="I130" s="151">
        <v>1173.68</v>
      </c>
      <c r="J130" s="151">
        <v>1096.32</v>
      </c>
      <c r="K130" s="150">
        <f>Tabela4[[#This Row],[PECAS]]+Tabela4[[#This Row],[SERVICOS]]</f>
        <v>2270</v>
      </c>
      <c r="L130" s="151">
        <v>0</v>
      </c>
      <c r="M130" s="151">
        <v>0</v>
      </c>
      <c r="N130" s="24"/>
      <c r="O130" s="151">
        <v>0</v>
      </c>
      <c r="P130" s="151">
        <v>0</v>
      </c>
      <c r="Q130" s="151">
        <v>0</v>
      </c>
      <c r="R130" s="151">
        <v>0</v>
      </c>
      <c r="S130" s="149">
        <v>0</v>
      </c>
      <c r="T130" s="151">
        <v>0</v>
      </c>
      <c r="U130" s="151">
        <v>0</v>
      </c>
      <c r="V130" s="15"/>
      <c r="W130" s="22">
        <v>0</v>
      </c>
      <c r="X130" s="149">
        <v>0</v>
      </c>
      <c r="Y130" s="15"/>
      <c r="Z130" s="151">
        <v>0</v>
      </c>
      <c r="AA130" s="149">
        <f>Tabela4[[#This Row],[VALOR]]-Tabela4[[#This Row],[PNEUS]]-Tabela4[[#This Row],[BATERIA]]</f>
        <v>2270</v>
      </c>
      <c r="AB130" s="19" t="s">
        <v>34</v>
      </c>
      <c r="AC130" s="30">
        <v>0</v>
      </c>
      <c r="AD130" s="162">
        <v>0</v>
      </c>
      <c r="AE130" s="162">
        <v>0</v>
      </c>
      <c r="AF130" s="162">
        <v>0</v>
      </c>
      <c r="AG130" s="162">
        <v>0</v>
      </c>
      <c r="AH130" s="162">
        <v>0</v>
      </c>
      <c r="AI130" s="162">
        <v>0</v>
      </c>
      <c r="AJ130" s="162">
        <v>0</v>
      </c>
    </row>
    <row r="131" spans="1:36" x14ac:dyDescent="0.25">
      <c r="A131" s="15" t="s">
        <v>760</v>
      </c>
      <c r="B131" s="15"/>
      <c r="C131" s="141">
        <v>45313</v>
      </c>
      <c r="D131" s="141">
        <v>45313</v>
      </c>
      <c r="E131">
        <f>Tabela4[[#This Row],[DATA FATURAMENTO]]-Tabela4[[#This Row],[DATA ORÇAMENTO]]</f>
        <v>0</v>
      </c>
      <c r="F131" s="15">
        <v>10383</v>
      </c>
      <c r="G131" s="15" t="s">
        <v>35</v>
      </c>
      <c r="H131" s="15"/>
      <c r="I131" s="151">
        <v>623.70000000000005</v>
      </c>
      <c r="J131" s="151">
        <v>272.86</v>
      </c>
      <c r="K131" s="150">
        <f>Tabela4[[#This Row],[PECAS]]+Tabela4[[#This Row],[SERVICOS]]</f>
        <v>896.56000000000006</v>
      </c>
      <c r="L131" s="151">
        <v>0</v>
      </c>
      <c r="M131" s="149">
        <f>116.4+85.27+24.8</f>
        <v>226.47000000000003</v>
      </c>
      <c r="N131" s="22"/>
      <c r="O131" s="151">
        <v>0</v>
      </c>
      <c r="P131" s="151">
        <v>0</v>
      </c>
      <c r="Q131" s="151">
        <v>0</v>
      </c>
      <c r="R131" s="151">
        <v>0</v>
      </c>
      <c r="S131" s="149">
        <v>187.59</v>
      </c>
      <c r="T131" s="151">
        <v>0</v>
      </c>
      <c r="U131" s="151">
        <v>0</v>
      </c>
      <c r="V131" s="15"/>
      <c r="W131" s="24">
        <v>4</v>
      </c>
      <c r="X131" s="149">
        <v>0</v>
      </c>
      <c r="Y131" s="15" t="s">
        <v>645</v>
      </c>
      <c r="Z131" s="151">
        <v>0</v>
      </c>
      <c r="AA131" s="149">
        <f>Tabela4[[#This Row],[VALOR]]-Tabela4[[#This Row],[PNEUS]]-Tabela4[[#This Row],[BATERIA]]</f>
        <v>896.56000000000006</v>
      </c>
      <c r="AB131" s="19" t="s">
        <v>32</v>
      </c>
      <c r="AC131" s="30">
        <v>0</v>
      </c>
      <c r="AD131" s="162">
        <v>0</v>
      </c>
      <c r="AE131" s="162">
        <v>0</v>
      </c>
      <c r="AF131" s="162">
        <v>0</v>
      </c>
      <c r="AG131" s="162">
        <v>0</v>
      </c>
      <c r="AH131" s="162">
        <v>0</v>
      </c>
      <c r="AI131" s="162">
        <v>0</v>
      </c>
      <c r="AJ131" s="162">
        <v>0</v>
      </c>
    </row>
    <row r="132" spans="1:36" x14ac:dyDescent="0.25">
      <c r="A132" s="15" t="s">
        <v>761</v>
      </c>
      <c r="B132" s="15"/>
      <c r="C132" s="141">
        <v>45313</v>
      </c>
      <c r="D132" s="141">
        <v>45313</v>
      </c>
      <c r="E132">
        <f>Tabela4[[#This Row],[DATA FATURAMENTO]]-Tabela4[[#This Row],[DATA ORÇAMENTO]]</f>
        <v>0</v>
      </c>
      <c r="F132" s="15">
        <v>10384</v>
      </c>
      <c r="G132" s="15" t="s">
        <v>31</v>
      </c>
      <c r="H132" s="15"/>
      <c r="I132" s="151">
        <v>116.7</v>
      </c>
      <c r="J132" s="151">
        <v>307.7</v>
      </c>
      <c r="K132" s="150">
        <f>Tabela4[[#This Row],[PECAS]]+Tabela4[[#This Row],[SERVICOS]]</f>
        <v>424.4</v>
      </c>
      <c r="L132" s="151">
        <v>0</v>
      </c>
      <c r="M132" s="149">
        <v>0</v>
      </c>
      <c r="N132" s="22"/>
      <c r="O132" s="151">
        <v>0</v>
      </c>
      <c r="P132" s="151">
        <v>0</v>
      </c>
      <c r="Q132" s="151">
        <v>0</v>
      </c>
      <c r="R132" s="151">
        <v>0</v>
      </c>
      <c r="S132" s="149">
        <v>0</v>
      </c>
      <c r="T132" s="151">
        <v>0</v>
      </c>
      <c r="U132" s="151">
        <v>0</v>
      </c>
      <c r="V132" s="15"/>
      <c r="W132" s="22">
        <v>0</v>
      </c>
      <c r="X132" s="149">
        <v>0</v>
      </c>
      <c r="Y132" s="15"/>
      <c r="Z132" s="151">
        <v>0</v>
      </c>
      <c r="AA132" s="149">
        <f>Tabela4[[#This Row],[VALOR]]-Tabela4[[#This Row],[PNEUS]]-Tabela4[[#This Row],[BATERIA]]</f>
        <v>424.4</v>
      </c>
      <c r="AB132" s="19" t="s">
        <v>27</v>
      </c>
      <c r="AC132" s="30">
        <v>0</v>
      </c>
      <c r="AD132" s="162">
        <v>0</v>
      </c>
      <c r="AE132" s="162">
        <v>0</v>
      </c>
      <c r="AF132" s="162">
        <v>0</v>
      </c>
      <c r="AG132" s="162">
        <v>0</v>
      </c>
      <c r="AH132" s="162">
        <v>0</v>
      </c>
      <c r="AI132" s="162">
        <v>0</v>
      </c>
      <c r="AJ132" s="162">
        <v>0</v>
      </c>
    </row>
    <row r="133" spans="1:36" x14ac:dyDescent="0.25">
      <c r="A133" s="15" t="s">
        <v>762</v>
      </c>
      <c r="B133" s="15"/>
      <c r="C133" s="141">
        <v>45313</v>
      </c>
      <c r="D133" s="141">
        <v>45313</v>
      </c>
      <c r="E133">
        <f>Tabela4[[#This Row],[DATA FATURAMENTO]]-Tabela4[[#This Row],[DATA ORÇAMENTO]]</f>
        <v>0</v>
      </c>
      <c r="F133" s="15">
        <v>10397</v>
      </c>
      <c r="G133" s="15" t="s">
        <v>35</v>
      </c>
      <c r="H133" s="15"/>
      <c r="I133" s="151">
        <v>35</v>
      </c>
      <c r="J133" s="151">
        <v>25</v>
      </c>
      <c r="K133" s="150">
        <f>Tabela4[[#This Row],[PECAS]]+Tabela4[[#This Row],[SERVICOS]]</f>
        <v>60</v>
      </c>
      <c r="L133" s="151">
        <v>0</v>
      </c>
      <c r="M133" s="149">
        <v>0</v>
      </c>
      <c r="N133" s="22"/>
      <c r="O133" s="151">
        <v>0</v>
      </c>
      <c r="P133" s="151">
        <v>0</v>
      </c>
      <c r="Q133" s="151">
        <v>0</v>
      </c>
      <c r="R133" s="151">
        <v>0</v>
      </c>
      <c r="S133" s="149">
        <v>0</v>
      </c>
      <c r="T133" s="151">
        <v>0</v>
      </c>
      <c r="U133" s="151">
        <v>0</v>
      </c>
      <c r="V133" s="15"/>
      <c r="W133" s="22">
        <v>0</v>
      </c>
      <c r="X133" s="149">
        <v>0</v>
      </c>
      <c r="Y133" s="15"/>
      <c r="Z133" s="151">
        <v>0</v>
      </c>
      <c r="AA133" s="149">
        <f>Tabela4[[#This Row],[VALOR]]-Tabela4[[#This Row],[PNEUS]]-Tabela4[[#This Row],[BATERIA]]</f>
        <v>60</v>
      </c>
      <c r="AB133" s="19" t="s">
        <v>38</v>
      </c>
      <c r="AC133" s="30">
        <v>0</v>
      </c>
      <c r="AD133" s="162">
        <v>0</v>
      </c>
      <c r="AE133" s="162">
        <v>0</v>
      </c>
      <c r="AF133" s="162">
        <v>0</v>
      </c>
      <c r="AG133" s="162">
        <v>0</v>
      </c>
      <c r="AH133" s="162">
        <v>0</v>
      </c>
      <c r="AI133" s="162">
        <v>0</v>
      </c>
      <c r="AJ133" s="162">
        <v>0</v>
      </c>
    </row>
    <row r="134" spans="1:36" x14ac:dyDescent="0.25">
      <c r="A134" s="15" t="s">
        <v>763</v>
      </c>
      <c r="B134" s="15"/>
      <c r="C134" s="141">
        <v>45310</v>
      </c>
      <c r="D134" s="141">
        <v>45314</v>
      </c>
      <c r="E134">
        <f>Tabela4[[#This Row],[DATA FATURAMENTO]]-Tabela4[[#This Row],[DATA ORÇAMENTO]]</f>
        <v>4</v>
      </c>
      <c r="F134" s="15">
        <v>10372</v>
      </c>
      <c r="G134" s="15" t="s">
        <v>25</v>
      </c>
      <c r="H134" s="15"/>
      <c r="I134" s="151">
        <v>1507.8</v>
      </c>
      <c r="J134" s="151">
        <v>197.6</v>
      </c>
      <c r="K134" s="150">
        <f>Tabela4[[#This Row],[PECAS]]+Tabela4[[#This Row],[SERVICOS]]</f>
        <v>1705.3999999999999</v>
      </c>
      <c r="L134" s="151">
        <v>0</v>
      </c>
      <c r="M134" s="151">
        <v>0</v>
      </c>
      <c r="N134" s="24"/>
      <c r="O134" s="151">
        <v>0</v>
      </c>
      <c r="P134" s="151">
        <v>0</v>
      </c>
      <c r="Q134" s="151">
        <v>0</v>
      </c>
      <c r="R134" s="151">
        <v>0</v>
      </c>
      <c r="S134" s="149">
        <v>0</v>
      </c>
      <c r="T134" s="151">
        <v>1489.9</v>
      </c>
      <c r="U134" s="151">
        <v>0</v>
      </c>
      <c r="V134" s="15"/>
      <c r="W134" s="22">
        <v>0</v>
      </c>
      <c r="X134" s="149">
        <v>0</v>
      </c>
      <c r="Y134" s="15"/>
      <c r="Z134" s="151">
        <v>0</v>
      </c>
      <c r="AA134" s="149">
        <f>Tabela4[[#This Row],[VALOR]]-Tabela4[[#This Row],[PNEUS]]-Tabela4[[#This Row],[BATERIA]]</f>
        <v>215.49999999999977</v>
      </c>
      <c r="AB134" s="19" t="s">
        <v>27</v>
      </c>
      <c r="AC134" s="30">
        <v>0</v>
      </c>
      <c r="AD134" s="162">
        <v>0</v>
      </c>
      <c r="AE134" s="162">
        <v>0</v>
      </c>
      <c r="AF134" s="162">
        <v>0</v>
      </c>
      <c r="AG134" s="162">
        <v>0</v>
      </c>
      <c r="AH134" s="162">
        <v>0</v>
      </c>
      <c r="AI134" s="162">
        <v>0</v>
      </c>
      <c r="AJ134" s="162">
        <v>0</v>
      </c>
    </row>
    <row r="135" spans="1:36" x14ac:dyDescent="0.25">
      <c r="A135" s="15" t="s">
        <v>764</v>
      </c>
      <c r="B135" s="15"/>
      <c r="C135" s="141">
        <v>45313</v>
      </c>
      <c r="D135" s="141">
        <v>45314</v>
      </c>
      <c r="E135">
        <f>Tabela4[[#This Row],[DATA FATURAMENTO]]-Tabela4[[#This Row],[DATA ORÇAMENTO]]</f>
        <v>1</v>
      </c>
      <c r="F135" s="15">
        <v>10390</v>
      </c>
      <c r="G135" s="15" t="s">
        <v>35</v>
      </c>
      <c r="H135" s="15"/>
      <c r="I135" s="151">
        <v>177</v>
      </c>
      <c r="J135" s="151">
        <v>170.01</v>
      </c>
      <c r="K135" s="150">
        <f>Tabela4[[#This Row],[PECAS]]+Tabela4[[#This Row],[SERVICOS]]</f>
        <v>347.01</v>
      </c>
      <c r="L135" s="151">
        <v>0</v>
      </c>
      <c r="M135" s="151">
        <v>77</v>
      </c>
      <c r="N135" s="24"/>
      <c r="O135" s="151">
        <v>0</v>
      </c>
      <c r="P135" s="151">
        <v>0</v>
      </c>
      <c r="Q135" s="151">
        <v>0</v>
      </c>
      <c r="R135" s="151">
        <v>0</v>
      </c>
      <c r="S135" s="149">
        <v>80</v>
      </c>
      <c r="T135" s="151">
        <v>0</v>
      </c>
      <c r="U135" s="151">
        <v>0</v>
      </c>
      <c r="V135" s="15"/>
      <c r="W135" s="22">
        <v>0</v>
      </c>
      <c r="X135" s="149">
        <v>0</v>
      </c>
      <c r="Y135" s="15"/>
      <c r="Z135" s="151">
        <v>0</v>
      </c>
      <c r="AA135" s="149">
        <f>Tabela4[[#This Row],[VALOR]]-Tabela4[[#This Row],[PNEUS]]-Tabela4[[#This Row],[BATERIA]]</f>
        <v>347.01</v>
      </c>
      <c r="AB135" s="19" t="s">
        <v>24</v>
      </c>
      <c r="AC135" s="30">
        <v>0</v>
      </c>
      <c r="AD135" s="162">
        <v>0</v>
      </c>
      <c r="AE135" s="162">
        <v>0</v>
      </c>
      <c r="AF135" s="162">
        <v>0</v>
      </c>
      <c r="AG135" s="162">
        <v>0</v>
      </c>
      <c r="AH135" s="162">
        <v>0</v>
      </c>
      <c r="AI135" s="162">
        <v>0</v>
      </c>
      <c r="AJ135" s="162">
        <v>0</v>
      </c>
    </row>
    <row r="136" spans="1:36" x14ac:dyDescent="0.25">
      <c r="A136" s="15" t="s">
        <v>756</v>
      </c>
      <c r="B136" s="15"/>
      <c r="C136" s="141">
        <v>45314</v>
      </c>
      <c r="D136" s="141">
        <v>45314</v>
      </c>
      <c r="E136">
        <f>Tabela4[[#This Row],[DATA FATURAMENTO]]-Tabela4[[#This Row],[DATA ORÇAMENTO]]</f>
        <v>0</v>
      </c>
      <c r="F136" s="15">
        <v>10403</v>
      </c>
      <c r="G136" s="15" t="s">
        <v>31</v>
      </c>
      <c r="H136" s="15"/>
      <c r="I136" s="151">
        <v>40</v>
      </c>
      <c r="J136" s="151">
        <v>0</v>
      </c>
      <c r="K136" s="150">
        <f>Tabela4[[#This Row],[PECAS]]+Tabela4[[#This Row],[SERVICOS]]</f>
        <v>40</v>
      </c>
      <c r="L136" s="151">
        <v>0</v>
      </c>
      <c r="M136" s="151">
        <v>0</v>
      </c>
      <c r="N136" s="24"/>
      <c r="O136" s="151">
        <v>0</v>
      </c>
      <c r="P136" s="151">
        <v>0</v>
      </c>
      <c r="Q136" s="151">
        <v>0</v>
      </c>
      <c r="R136" s="151">
        <v>0</v>
      </c>
      <c r="S136" s="149">
        <v>0</v>
      </c>
      <c r="T136" s="151">
        <v>0</v>
      </c>
      <c r="U136" s="151">
        <v>0</v>
      </c>
      <c r="V136" s="15"/>
      <c r="W136" s="22">
        <v>0</v>
      </c>
      <c r="X136" s="149">
        <v>0</v>
      </c>
      <c r="Y136" s="15"/>
      <c r="Z136" s="151">
        <v>0</v>
      </c>
      <c r="AA136" s="151">
        <f>K136-U136-T136</f>
        <v>40</v>
      </c>
      <c r="AB136" s="19" t="s">
        <v>38</v>
      </c>
      <c r="AC136" s="30">
        <v>0</v>
      </c>
      <c r="AD136" s="162">
        <v>0</v>
      </c>
      <c r="AE136" s="162">
        <v>0</v>
      </c>
      <c r="AF136" s="162">
        <v>0</v>
      </c>
      <c r="AG136" s="162">
        <v>0</v>
      </c>
      <c r="AH136" s="162">
        <v>0</v>
      </c>
      <c r="AI136" s="162">
        <v>0</v>
      </c>
      <c r="AJ136" s="162">
        <v>0</v>
      </c>
    </row>
    <row r="137" spans="1:36" x14ac:dyDescent="0.25">
      <c r="A137" s="15" t="s">
        <v>156</v>
      </c>
      <c r="B137" s="15"/>
      <c r="C137" s="141">
        <v>45314</v>
      </c>
      <c r="D137" s="141">
        <v>45314</v>
      </c>
      <c r="E137">
        <f>Tabela4[[#This Row],[DATA FATURAMENTO]]-Tabela4[[#This Row],[DATA ORÇAMENTO]]</f>
        <v>0</v>
      </c>
      <c r="F137" s="15">
        <v>10405</v>
      </c>
      <c r="G137" s="15" t="s">
        <v>35</v>
      </c>
      <c r="H137" s="15"/>
      <c r="I137" s="151">
        <v>340.9</v>
      </c>
      <c r="J137" s="151">
        <v>290</v>
      </c>
      <c r="K137" s="150">
        <f>Tabela4[[#This Row],[PECAS]]+Tabela4[[#This Row],[SERVICOS]]</f>
        <v>630.9</v>
      </c>
      <c r="L137" s="151">
        <v>0</v>
      </c>
      <c r="M137" s="151">
        <v>110.1</v>
      </c>
      <c r="N137" s="24"/>
      <c r="O137" s="151">
        <v>0</v>
      </c>
      <c r="P137" s="151">
        <v>62.8</v>
      </c>
      <c r="Q137" s="151">
        <v>0</v>
      </c>
      <c r="R137" s="151">
        <v>0</v>
      </c>
      <c r="S137" s="149">
        <v>0</v>
      </c>
      <c r="T137" s="151">
        <v>0</v>
      </c>
      <c r="U137" s="151">
        <v>0</v>
      </c>
      <c r="V137" s="15"/>
      <c r="W137" s="22">
        <v>0</v>
      </c>
      <c r="X137" s="149">
        <v>0</v>
      </c>
      <c r="Y137" s="15"/>
      <c r="Z137" s="151">
        <v>0</v>
      </c>
      <c r="AA137" s="149">
        <f>Tabela4[[#This Row],[VALOR]]-Tabela4[[#This Row],[PNEUS]]-Tabela4[[#This Row],[BATERIA]]</f>
        <v>630.9</v>
      </c>
      <c r="AB137" s="19" t="s">
        <v>24</v>
      </c>
      <c r="AC137" s="30">
        <v>0</v>
      </c>
      <c r="AD137" s="162">
        <v>0</v>
      </c>
      <c r="AE137" s="162">
        <v>0</v>
      </c>
      <c r="AF137" s="162">
        <v>0</v>
      </c>
      <c r="AG137" s="162">
        <v>0</v>
      </c>
      <c r="AH137" s="162">
        <v>0</v>
      </c>
      <c r="AI137" s="162">
        <v>0</v>
      </c>
      <c r="AJ137" s="162">
        <v>0</v>
      </c>
    </row>
    <row r="138" spans="1:36" x14ac:dyDescent="0.25">
      <c r="A138" s="15" t="s">
        <v>765</v>
      </c>
      <c r="B138" s="15"/>
      <c r="C138" s="141">
        <v>45314</v>
      </c>
      <c r="D138" s="141">
        <v>45314</v>
      </c>
      <c r="E138">
        <f>Tabela4[[#This Row],[DATA FATURAMENTO]]-Tabela4[[#This Row],[DATA ORÇAMENTO]]</f>
        <v>0</v>
      </c>
      <c r="F138" s="15">
        <v>10406</v>
      </c>
      <c r="G138" s="15" t="s">
        <v>22</v>
      </c>
      <c r="H138" s="15"/>
      <c r="I138" s="151">
        <v>486.4</v>
      </c>
      <c r="J138" s="151">
        <v>0</v>
      </c>
      <c r="K138" s="150">
        <f>Tabela4[[#This Row],[PECAS]]+Tabela4[[#This Row],[SERVICOS]]</f>
        <v>486.4</v>
      </c>
      <c r="L138" s="151">
        <v>0</v>
      </c>
      <c r="M138" s="151">
        <v>0</v>
      </c>
      <c r="N138" s="24"/>
      <c r="O138" s="151">
        <v>0</v>
      </c>
      <c r="P138" s="151">
        <v>0</v>
      </c>
      <c r="Q138" s="151">
        <v>0</v>
      </c>
      <c r="R138" s="151">
        <v>0</v>
      </c>
      <c r="S138" s="149">
        <v>0</v>
      </c>
      <c r="T138" s="151">
        <v>0</v>
      </c>
      <c r="U138" s="151">
        <v>0</v>
      </c>
      <c r="V138" s="15"/>
      <c r="W138" s="24">
        <v>4</v>
      </c>
      <c r="X138" s="149">
        <v>0</v>
      </c>
      <c r="Y138" s="15" t="s">
        <v>635</v>
      </c>
      <c r="Z138" s="151">
        <v>0</v>
      </c>
      <c r="AA138" s="151">
        <f>K138-U138-T138</f>
        <v>486.4</v>
      </c>
      <c r="AB138" s="19" t="s">
        <v>32</v>
      </c>
      <c r="AC138" s="30">
        <v>0</v>
      </c>
      <c r="AD138" s="162">
        <v>0</v>
      </c>
      <c r="AE138" s="162">
        <v>0</v>
      </c>
      <c r="AF138" s="162">
        <v>0</v>
      </c>
      <c r="AG138" s="162">
        <v>0</v>
      </c>
      <c r="AH138" s="162">
        <v>0</v>
      </c>
      <c r="AI138" s="162">
        <v>0</v>
      </c>
      <c r="AJ138" s="162">
        <v>0</v>
      </c>
    </row>
    <row r="139" spans="1:36" x14ac:dyDescent="0.25">
      <c r="A139" s="15" t="s">
        <v>757</v>
      </c>
      <c r="B139" s="15"/>
      <c r="C139" s="141">
        <v>45314</v>
      </c>
      <c r="D139" s="141">
        <v>45314</v>
      </c>
      <c r="E139">
        <f>Tabela4[[#This Row],[DATA FATURAMENTO]]-Tabela4[[#This Row],[DATA ORÇAMENTO]]</f>
        <v>0</v>
      </c>
      <c r="F139" s="15">
        <v>10407</v>
      </c>
      <c r="G139" s="15" t="s">
        <v>22</v>
      </c>
      <c r="H139" s="15"/>
      <c r="I139" s="151">
        <v>578</v>
      </c>
      <c r="J139" s="151">
        <v>872</v>
      </c>
      <c r="K139" s="150">
        <f>Tabela4[[#This Row],[PECAS]]+Tabela4[[#This Row],[SERVICOS]]</f>
        <v>1450</v>
      </c>
      <c r="L139" s="151">
        <v>0</v>
      </c>
      <c r="M139" s="151">
        <v>0</v>
      </c>
      <c r="N139" s="24"/>
      <c r="O139" s="151">
        <v>0</v>
      </c>
      <c r="P139" s="151">
        <v>0</v>
      </c>
      <c r="Q139" s="151">
        <v>0</v>
      </c>
      <c r="R139" s="151">
        <v>0</v>
      </c>
      <c r="S139" s="149">
        <v>140</v>
      </c>
      <c r="T139" s="151">
        <v>0</v>
      </c>
      <c r="U139" s="151">
        <v>0</v>
      </c>
      <c r="V139" s="15"/>
      <c r="W139" s="22">
        <v>0</v>
      </c>
      <c r="X139" s="149">
        <v>0</v>
      </c>
      <c r="Y139" s="15"/>
      <c r="Z139" s="151">
        <v>0</v>
      </c>
      <c r="AA139" s="149">
        <f>Tabela4[[#This Row],[VALOR]]-Tabela4[[#This Row],[PNEUS]]-Tabela4[[#This Row],[BATERIA]]</f>
        <v>1450</v>
      </c>
      <c r="AB139" s="19" t="s">
        <v>38</v>
      </c>
      <c r="AC139" s="30">
        <v>0</v>
      </c>
      <c r="AD139" s="162">
        <v>0</v>
      </c>
      <c r="AE139" s="162">
        <v>0</v>
      </c>
      <c r="AF139" s="162">
        <v>0</v>
      </c>
      <c r="AG139" s="162">
        <v>0</v>
      </c>
      <c r="AH139" s="162">
        <v>0</v>
      </c>
      <c r="AI139" s="162">
        <v>0</v>
      </c>
      <c r="AJ139" s="162">
        <v>0</v>
      </c>
    </row>
    <row r="140" spans="1:36" x14ac:dyDescent="0.25">
      <c r="A140" s="15" t="s">
        <v>766</v>
      </c>
      <c r="B140" s="15"/>
      <c r="C140" s="141">
        <v>45314</v>
      </c>
      <c r="D140" s="141">
        <v>45314</v>
      </c>
      <c r="E140">
        <f>Tabela4[[#This Row],[DATA FATURAMENTO]]-Tabela4[[#This Row],[DATA ORÇAMENTO]]</f>
        <v>0</v>
      </c>
      <c r="F140" s="15">
        <v>10409</v>
      </c>
      <c r="G140" s="15" t="s">
        <v>22</v>
      </c>
      <c r="H140" s="15"/>
      <c r="I140" s="151">
        <v>60</v>
      </c>
      <c r="J140" s="151">
        <v>170</v>
      </c>
      <c r="K140" s="150">
        <f>Tabela4[[#This Row],[PECAS]]+Tabela4[[#This Row],[SERVICOS]]</f>
        <v>230</v>
      </c>
      <c r="L140" s="151">
        <v>0</v>
      </c>
      <c r="M140" s="151">
        <v>0</v>
      </c>
      <c r="N140" s="24"/>
      <c r="O140" s="151">
        <v>0</v>
      </c>
      <c r="P140" s="151">
        <v>0</v>
      </c>
      <c r="Q140" s="151">
        <v>0</v>
      </c>
      <c r="R140" s="151">
        <v>0</v>
      </c>
      <c r="S140" s="149">
        <v>170</v>
      </c>
      <c r="T140" s="151">
        <v>0</v>
      </c>
      <c r="U140" s="151">
        <v>0</v>
      </c>
      <c r="V140" s="15"/>
      <c r="W140" s="22">
        <v>0</v>
      </c>
      <c r="X140" s="149">
        <v>0</v>
      </c>
      <c r="Y140" s="15"/>
      <c r="Z140" s="151">
        <v>0</v>
      </c>
      <c r="AA140" s="149">
        <f>Tabela4[[#This Row],[VALOR]]-Tabela4[[#This Row],[PNEUS]]-Tabela4[[#This Row],[BATERIA]]</f>
        <v>230</v>
      </c>
      <c r="AB140" s="19" t="s">
        <v>24</v>
      </c>
      <c r="AC140" s="30">
        <v>0</v>
      </c>
      <c r="AD140" s="162">
        <v>0</v>
      </c>
      <c r="AE140" s="162">
        <v>0</v>
      </c>
      <c r="AF140" s="162">
        <v>0</v>
      </c>
      <c r="AG140" s="162">
        <v>0</v>
      </c>
      <c r="AH140" s="162">
        <v>0</v>
      </c>
      <c r="AI140" s="162">
        <v>0</v>
      </c>
      <c r="AJ140" s="162">
        <v>0</v>
      </c>
    </row>
    <row r="141" spans="1:36" x14ac:dyDescent="0.25">
      <c r="A141" s="15" t="s">
        <v>186</v>
      </c>
      <c r="B141" s="15"/>
      <c r="C141" s="141">
        <v>45307</v>
      </c>
      <c r="D141" s="141">
        <v>45315</v>
      </c>
      <c r="E141">
        <f>Tabela4[[#This Row],[DATA FATURAMENTO]]-Tabela4[[#This Row],[DATA ORÇAMENTO]]</f>
        <v>8</v>
      </c>
      <c r="F141" s="15">
        <v>10329</v>
      </c>
      <c r="G141" s="15" t="s">
        <v>37</v>
      </c>
      <c r="H141" s="15"/>
      <c r="I141" s="151">
        <v>751.7</v>
      </c>
      <c r="J141" s="151">
        <v>1259.5999999999999</v>
      </c>
      <c r="K141" s="150">
        <f>Tabela4[[#This Row],[PECAS]]+Tabela4[[#This Row],[SERVICOS]]</f>
        <v>2011.3</v>
      </c>
      <c r="L141" s="151">
        <v>0</v>
      </c>
      <c r="M141" s="151">
        <v>0</v>
      </c>
      <c r="N141" s="24"/>
      <c r="O141" s="152">
        <f>48+100</f>
        <v>148</v>
      </c>
      <c r="P141" s="151">
        <v>0</v>
      </c>
      <c r="Q141" s="151">
        <v>0</v>
      </c>
      <c r="R141" s="151">
        <v>0</v>
      </c>
      <c r="S141" s="149">
        <v>0</v>
      </c>
      <c r="T141" s="151">
        <v>0</v>
      </c>
      <c r="U141" s="151">
        <v>0</v>
      </c>
      <c r="V141" s="15"/>
      <c r="W141" s="22">
        <v>0</v>
      </c>
      <c r="X141" s="149">
        <v>0</v>
      </c>
      <c r="Y141" s="15"/>
      <c r="Z141" s="151">
        <v>0</v>
      </c>
      <c r="AA141" s="149">
        <f>Tabela4[[#This Row],[VALOR]]-Tabela4[[#This Row],[PNEUS]]-Tabela4[[#This Row],[BATERIA]]</f>
        <v>2011.3</v>
      </c>
      <c r="AB141" s="19" t="s">
        <v>30</v>
      </c>
      <c r="AC141" s="30">
        <v>0</v>
      </c>
      <c r="AD141" s="162">
        <v>0</v>
      </c>
      <c r="AE141" s="162">
        <v>0</v>
      </c>
      <c r="AF141" s="162">
        <v>0</v>
      </c>
      <c r="AG141" s="162">
        <v>0</v>
      </c>
      <c r="AH141" s="162">
        <v>0</v>
      </c>
      <c r="AI141" s="162">
        <v>0</v>
      </c>
      <c r="AJ141" s="162">
        <v>0</v>
      </c>
    </row>
    <row r="142" spans="1:36" x14ac:dyDescent="0.25">
      <c r="A142" s="15" t="s">
        <v>767</v>
      </c>
      <c r="B142" s="15"/>
      <c r="C142" s="141">
        <v>45310</v>
      </c>
      <c r="D142" s="141">
        <v>45315</v>
      </c>
      <c r="E142">
        <f>Tabela4[[#This Row],[DATA FATURAMENTO]]-Tabela4[[#This Row],[DATA ORÇAMENTO]]</f>
        <v>5</v>
      </c>
      <c r="F142" s="15">
        <v>10365</v>
      </c>
      <c r="G142" s="15" t="s">
        <v>31</v>
      </c>
      <c r="H142" s="15"/>
      <c r="I142" s="151">
        <v>1527.28</v>
      </c>
      <c r="J142" s="151">
        <v>1347.72</v>
      </c>
      <c r="K142" s="150">
        <f>Tabela4[[#This Row],[PECAS]]+Tabela4[[#This Row],[SERVICOS]]</f>
        <v>2875</v>
      </c>
      <c r="L142" s="151">
        <v>0</v>
      </c>
      <c r="M142" s="151">
        <v>116.4</v>
      </c>
      <c r="N142" s="24"/>
      <c r="O142" s="151">
        <v>220</v>
      </c>
      <c r="P142" s="151">
        <v>0</v>
      </c>
      <c r="Q142" s="151">
        <v>0</v>
      </c>
      <c r="R142" s="151">
        <v>0</v>
      </c>
      <c r="S142" s="149">
        <v>0</v>
      </c>
      <c r="T142" s="151">
        <v>0</v>
      </c>
      <c r="U142" s="151">
        <v>0</v>
      </c>
      <c r="V142" s="15"/>
      <c r="W142" s="24">
        <v>4</v>
      </c>
      <c r="X142" s="149">
        <v>0</v>
      </c>
      <c r="Y142" s="15" t="s">
        <v>635</v>
      </c>
      <c r="Z142" s="151">
        <v>0</v>
      </c>
      <c r="AA142" s="149">
        <f>Tabela4[[#This Row],[VALOR]]-Tabela4[[#This Row],[PNEUS]]-Tabela4[[#This Row],[BATERIA]]</f>
        <v>2875</v>
      </c>
      <c r="AB142" s="19" t="s">
        <v>24</v>
      </c>
      <c r="AC142" s="30">
        <v>0</v>
      </c>
      <c r="AD142" s="162">
        <v>0</v>
      </c>
      <c r="AE142" s="162">
        <v>0</v>
      </c>
      <c r="AF142" s="162">
        <v>0</v>
      </c>
      <c r="AG142" s="162">
        <v>0</v>
      </c>
      <c r="AH142" s="162">
        <v>0</v>
      </c>
      <c r="AI142" s="162">
        <v>0</v>
      </c>
      <c r="AJ142" s="162">
        <v>0</v>
      </c>
    </row>
    <row r="143" spans="1:36" x14ac:dyDescent="0.25">
      <c r="A143" s="15" t="s">
        <v>768</v>
      </c>
      <c r="B143" s="15"/>
      <c r="C143" s="141">
        <v>45313</v>
      </c>
      <c r="D143" s="141">
        <v>45315</v>
      </c>
      <c r="E143">
        <f>Tabela4[[#This Row],[DATA FATURAMENTO]]-Tabela4[[#This Row],[DATA ORÇAMENTO]]</f>
        <v>2</v>
      </c>
      <c r="F143" s="15">
        <v>10386</v>
      </c>
      <c r="G143" s="15" t="s">
        <v>39</v>
      </c>
      <c r="H143" s="15" t="s">
        <v>44</v>
      </c>
      <c r="I143" s="151">
        <v>40</v>
      </c>
      <c r="J143" s="151">
        <v>220</v>
      </c>
      <c r="K143" s="150">
        <f>Tabela4[[#This Row],[PECAS]]+Tabela4[[#This Row],[SERVICOS]]</f>
        <v>260</v>
      </c>
      <c r="L143" s="151">
        <v>0</v>
      </c>
      <c r="M143" s="151">
        <v>0</v>
      </c>
      <c r="N143" s="24"/>
      <c r="O143" s="151">
        <v>0</v>
      </c>
      <c r="P143" s="151">
        <v>0</v>
      </c>
      <c r="Q143" s="151">
        <v>0</v>
      </c>
      <c r="R143" s="151">
        <v>0</v>
      </c>
      <c r="S143" s="149">
        <v>0</v>
      </c>
      <c r="T143" s="151">
        <v>0</v>
      </c>
      <c r="U143" s="151">
        <v>0</v>
      </c>
      <c r="V143" s="15"/>
      <c r="W143" s="22">
        <v>0</v>
      </c>
      <c r="X143" s="149">
        <v>0</v>
      </c>
      <c r="Y143" s="15"/>
      <c r="Z143" s="151">
        <v>0</v>
      </c>
      <c r="AA143" s="149">
        <f>Tabela4[[#This Row],[VALOR]]-Tabela4[[#This Row],[PNEUS]]-Tabela4[[#This Row],[BATERIA]]</f>
        <v>260</v>
      </c>
      <c r="AB143" s="19" t="s">
        <v>24</v>
      </c>
      <c r="AC143" s="30">
        <v>0</v>
      </c>
      <c r="AD143" s="162">
        <v>0</v>
      </c>
      <c r="AE143" s="162">
        <v>0</v>
      </c>
      <c r="AF143" s="162">
        <v>0</v>
      </c>
      <c r="AG143" s="162">
        <v>0</v>
      </c>
      <c r="AH143" s="162">
        <v>0</v>
      </c>
      <c r="AI143" s="162">
        <v>0</v>
      </c>
      <c r="AJ143" s="162">
        <v>0</v>
      </c>
    </row>
    <row r="144" spans="1:36" x14ac:dyDescent="0.25">
      <c r="A144" s="15" t="s">
        <v>769</v>
      </c>
      <c r="B144" s="15"/>
      <c r="C144" s="141">
        <v>45313</v>
      </c>
      <c r="D144" s="141">
        <v>45315</v>
      </c>
      <c r="E144">
        <f>Tabela4[[#This Row],[DATA FATURAMENTO]]-Tabela4[[#This Row],[DATA ORÇAMENTO]]</f>
        <v>2</v>
      </c>
      <c r="F144" s="15">
        <v>10387</v>
      </c>
      <c r="G144" s="15" t="s">
        <v>6</v>
      </c>
      <c r="H144" s="15"/>
      <c r="I144" s="151">
        <v>511.5</v>
      </c>
      <c r="J144" s="151">
        <v>0</v>
      </c>
      <c r="K144" s="150">
        <f>Tabela4[[#This Row],[PECAS]]+Tabela4[[#This Row],[SERVICOS]]</f>
        <v>511.5</v>
      </c>
      <c r="L144" s="151">
        <v>0</v>
      </c>
      <c r="M144" s="151">
        <v>0</v>
      </c>
      <c r="N144" s="24"/>
      <c r="O144" s="151">
        <v>0</v>
      </c>
      <c r="P144" s="151">
        <v>0</v>
      </c>
      <c r="Q144" s="151">
        <v>0</v>
      </c>
      <c r="R144" s="151">
        <v>0</v>
      </c>
      <c r="S144" s="149">
        <v>0</v>
      </c>
      <c r="T144" s="151">
        <v>0</v>
      </c>
      <c r="U144" s="151">
        <v>511.5</v>
      </c>
      <c r="V144" s="15" t="s">
        <v>711</v>
      </c>
      <c r="W144" s="22">
        <v>0</v>
      </c>
      <c r="X144" s="149">
        <v>0</v>
      </c>
      <c r="Y144" s="15"/>
      <c r="Z144" s="151">
        <v>0</v>
      </c>
      <c r="AA144" s="151">
        <f>K144-U144-T144</f>
        <v>0</v>
      </c>
      <c r="AB144" s="19" t="s">
        <v>6</v>
      </c>
      <c r="AC144" s="30">
        <v>0</v>
      </c>
      <c r="AD144" s="162">
        <v>0</v>
      </c>
      <c r="AE144" s="162">
        <v>0</v>
      </c>
      <c r="AF144" s="162">
        <v>0</v>
      </c>
      <c r="AG144" s="162">
        <v>0</v>
      </c>
      <c r="AH144" s="162">
        <v>0</v>
      </c>
      <c r="AI144" s="162">
        <v>0</v>
      </c>
      <c r="AJ144" s="162">
        <v>0</v>
      </c>
    </row>
    <row r="145" spans="1:36" x14ac:dyDescent="0.25">
      <c r="A145" s="15" t="s">
        <v>534</v>
      </c>
      <c r="B145" s="15"/>
      <c r="C145" s="141">
        <v>45315</v>
      </c>
      <c r="D145" s="141">
        <v>45315</v>
      </c>
      <c r="E145">
        <f>Tabela4[[#This Row],[DATA FATURAMENTO]]-Tabela4[[#This Row],[DATA ORÇAMENTO]]</f>
        <v>0</v>
      </c>
      <c r="F145" s="15">
        <v>10413</v>
      </c>
      <c r="G145" s="15" t="s">
        <v>31</v>
      </c>
      <c r="H145" s="15"/>
      <c r="I145" s="151">
        <v>1155.9000000000001</v>
      </c>
      <c r="J145" s="151">
        <v>844.1</v>
      </c>
      <c r="K145" s="150">
        <f>Tabela4[[#This Row],[PECAS]]+Tabela4[[#This Row],[SERVICOS]]</f>
        <v>2000</v>
      </c>
      <c r="L145" s="151">
        <v>0</v>
      </c>
      <c r="M145" s="151">
        <v>70</v>
      </c>
      <c r="N145" s="24"/>
      <c r="O145" s="151">
        <v>0</v>
      </c>
      <c r="P145" s="151">
        <v>0</v>
      </c>
      <c r="Q145" s="151">
        <v>0</v>
      </c>
      <c r="R145" s="151">
        <v>0</v>
      </c>
      <c r="S145" s="149">
        <v>0</v>
      </c>
      <c r="T145" s="151">
        <v>0</v>
      </c>
      <c r="U145" s="151">
        <v>0</v>
      </c>
      <c r="V145" s="15"/>
      <c r="W145" s="24">
        <v>4</v>
      </c>
      <c r="X145" s="149">
        <v>0</v>
      </c>
      <c r="Y145" s="15" t="s">
        <v>645</v>
      </c>
      <c r="Z145" s="151">
        <v>0</v>
      </c>
      <c r="AA145" s="149">
        <f>Tabela4[[#This Row],[VALOR]]-Tabela4[[#This Row],[PNEUS]]-Tabela4[[#This Row],[BATERIA]]</f>
        <v>2000</v>
      </c>
      <c r="AB145" s="19" t="s">
        <v>32</v>
      </c>
      <c r="AC145" s="30">
        <v>0</v>
      </c>
      <c r="AD145" s="162">
        <v>0</v>
      </c>
      <c r="AE145" s="162">
        <v>0</v>
      </c>
      <c r="AF145" s="162">
        <v>0</v>
      </c>
      <c r="AG145" s="162">
        <v>0</v>
      </c>
      <c r="AH145" s="162">
        <v>0</v>
      </c>
      <c r="AI145" s="162">
        <v>0</v>
      </c>
      <c r="AJ145" s="162">
        <v>0</v>
      </c>
    </row>
    <row r="146" spans="1:36" x14ac:dyDescent="0.25">
      <c r="A146" s="15" t="s">
        <v>770</v>
      </c>
      <c r="B146" s="15"/>
      <c r="C146" s="141">
        <v>45315</v>
      </c>
      <c r="D146" s="141">
        <v>45315</v>
      </c>
      <c r="E146">
        <f>Tabela4[[#This Row],[DATA FATURAMENTO]]-Tabela4[[#This Row],[DATA ORÇAMENTO]]</f>
        <v>0</v>
      </c>
      <c r="F146" s="15">
        <v>10414</v>
      </c>
      <c r="G146" s="15" t="s">
        <v>6</v>
      </c>
      <c r="H146" s="15"/>
      <c r="I146" s="151">
        <v>522</v>
      </c>
      <c r="J146" s="151">
        <v>0</v>
      </c>
      <c r="K146" s="150">
        <f>Tabela4[[#This Row],[PECAS]]+Tabela4[[#This Row],[SERVICOS]]</f>
        <v>522</v>
      </c>
      <c r="L146" s="151">
        <v>0</v>
      </c>
      <c r="M146" s="151">
        <v>0</v>
      </c>
      <c r="N146" s="24"/>
      <c r="O146" s="151">
        <v>0</v>
      </c>
      <c r="P146" s="151">
        <v>0</v>
      </c>
      <c r="Q146" s="151">
        <v>0</v>
      </c>
      <c r="R146" s="151">
        <v>0</v>
      </c>
      <c r="S146" s="149">
        <v>0</v>
      </c>
      <c r="T146" s="151">
        <v>0</v>
      </c>
      <c r="U146" s="151">
        <v>522</v>
      </c>
      <c r="V146" s="15" t="s">
        <v>640</v>
      </c>
      <c r="W146" s="22">
        <v>0</v>
      </c>
      <c r="X146" s="149">
        <v>0</v>
      </c>
      <c r="Y146" s="15"/>
      <c r="Z146" s="151">
        <v>0</v>
      </c>
      <c r="AA146" s="151">
        <f>K146-U146-T146</f>
        <v>0</v>
      </c>
      <c r="AB146" s="19" t="s">
        <v>6</v>
      </c>
      <c r="AC146" s="30">
        <v>0</v>
      </c>
      <c r="AD146" s="162">
        <v>0</v>
      </c>
      <c r="AE146" s="162">
        <v>0</v>
      </c>
      <c r="AF146" s="162">
        <v>0</v>
      </c>
      <c r="AG146" s="162">
        <v>0</v>
      </c>
      <c r="AH146" s="162">
        <v>0</v>
      </c>
      <c r="AI146" s="162">
        <v>0</v>
      </c>
      <c r="AJ146" s="162">
        <v>0</v>
      </c>
    </row>
    <row r="147" spans="1:36" x14ac:dyDescent="0.25">
      <c r="A147" s="15" t="s">
        <v>330</v>
      </c>
      <c r="B147" s="15"/>
      <c r="C147" s="141">
        <v>45315</v>
      </c>
      <c r="D147" s="141">
        <v>45315</v>
      </c>
      <c r="E147">
        <f>Tabela4[[#This Row],[DATA FATURAMENTO]]-Tabela4[[#This Row],[DATA ORÇAMENTO]]</f>
        <v>0</v>
      </c>
      <c r="F147" s="15">
        <v>10415</v>
      </c>
      <c r="G147" s="15" t="s">
        <v>22</v>
      </c>
      <c r="H147" s="15"/>
      <c r="I147" s="151">
        <v>857.6</v>
      </c>
      <c r="J147" s="151">
        <v>1542.4</v>
      </c>
      <c r="K147" s="150">
        <f>Tabela4[[#This Row],[PECAS]]+Tabela4[[#This Row],[SERVICOS]]</f>
        <v>2400</v>
      </c>
      <c r="L147" s="151">
        <v>100</v>
      </c>
      <c r="M147" s="152">
        <f>127.2+24.4+127.69</f>
        <v>279.28999999999996</v>
      </c>
      <c r="N147" s="15"/>
      <c r="O147" s="151">
        <v>192.19</v>
      </c>
      <c r="P147" s="151">
        <v>0</v>
      </c>
      <c r="Q147" s="151">
        <v>155</v>
      </c>
      <c r="R147" s="151">
        <v>0</v>
      </c>
      <c r="S147" s="149">
        <v>190</v>
      </c>
      <c r="T147" s="151">
        <v>0</v>
      </c>
      <c r="U147" s="151">
        <v>0</v>
      </c>
      <c r="V147" s="15"/>
      <c r="W147" s="24">
        <v>4</v>
      </c>
      <c r="X147" s="149">
        <v>0</v>
      </c>
      <c r="Y147" s="15" t="s">
        <v>645</v>
      </c>
      <c r="Z147" s="151">
        <v>190</v>
      </c>
      <c r="AA147" s="149">
        <f>Tabela4[[#This Row],[VALOR]]-Tabela4[[#This Row],[PNEUS]]-Tabela4[[#This Row],[BATERIA]]</f>
        <v>2400</v>
      </c>
      <c r="AB147" s="19" t="s">
        <v>24</v>
      </c>
      <c r="AC147" s="30">
        <v>0</v>
      </c>
      <c r="AD147" s="162">
        <v>0</v>
      </c>
      <c r="AE147" s="162">
        <v>0</v>
      </c>
      <c r="AF147" s="162">
        <v>0</v>
      </c>
      <c r="AG147" s="162">
        <v>0</v>
      </c>
      <c r="AH147" s="162">
        <v>0</v>
      </c>
      <c r="AI147" s="162">
        <v>0</v>
      </c>
      <c r="AJ147" s="162">
        <v>0</v>
      </c>
    </row>
    <row r="148" spans="1:36" x14ac:dyDescent="0.25">
      <c r="A148" s="15" t="s">
        <v>771</v>
      </c>
      <c r="B148" s="15"/>
      <c r="C148" s="141">
        <v>45315</v>
      </c>
      <c r="D148" s="141">
        <v>45315</v>
      </c>
      <c r="E148">
        <f>Tabela4[[#This Row],[DATA FATURAMENTO]]-Tabela4[[#This Row],[DATA ORÇAMENTO]]</f>
        <v>0</v>
      </c>
      <c r="F148" s="15">
        <v>10418</v>
      </c>
      <c r="G148" s="15" t="s">
        <v>6</v>
      </c>
      <c r="H148" s="15"/>
      <c r="I148" s="151">
        <v>469</v>
      </c>
      <c r="J148" s="151">
        <v>0</v>
      </c>
      <c r="K148" s="150">
        <f>Tabela4[[#This Row],[PECAS]]+Tabela4[[#This Row],[SERVICOS]]</f>
        <v>469</v>
      </c>
      <c r="L148" s="151">
        <v>0</v>
      </c>
      <c r="M148" s="151">
        <v>0</v>
      </c>
      <c r="N148" s="24"/>
      <c r="O148" s="151">
        <v>0</v>
      </c>
      <c r="P148" s="151">
        <v>0</v>
      </c>
      <c r="Q148" s="151">
        <v>0</v>
      </c>
      <c r="R148" s="151">
        <v>0</v>
      </c>
      <c r="S148" s="149">
        <v>0</v>
      </c>
      <c r="T148" s="151">
        <v>0</v>
      </c>
      <c r="U148" s="151">
        <v>469</v>
      </c>
      <c r="V148" s="15" t="s">
        <v>664</v>
      </c>
      <c r="W148" s="22">
        <v>0</v>
      </c>
      <c r="X148" s="149">
        <v>0</v>
      </c>
      <c r="Y148" s="15"/>
      <c r="Z148" s="151">
        <v>0</v>
      </c>
      <c r="AA148" s="151">
        <f>K148-U148-T148</f>
        <v>0</v>
      </c>
      <c r="AB148" s="19" t="s">
        <v>6</v>
      </c>
      <c r="AC148" s="30">
        <v>0</v>
      </c>
      <c r="AD148" s="162">
        <v>0</v>
      </c>
      <c r="AE148" s="162">
        <v>0</v>
      </c>
      <c r="AF148" s="162">
        <v>0</v>
      </c>
      <c r="AG148" s="162">
        <v>0</v>
      </c>
      <c r="AH148" s="162">
        <v>0</v>
      </c>
      <c r="AI148" s="162">
        <v>0</v>
      </c>
      <c r="AJ148" s="162">
        <v>0</v>
      </c>
    </row>
    <row r="149" spans="1:36" x14ac:dyDescent="0.25">
      <c r="A149" s="15" t="s">
        <v>772</v>
      </c>
      <c r="B149" s="15"/>
      <c r="C149" s="141">
        <v>45315</v>
      </c>
      <c r="D149" s="141">
        <v>45315</v>
      </c>
      <c r="E149">
        <f>Tabela4[[#This Row],[DATA FATURAMENTO]]-Tabela4[[#This Row],[DATA ORÇAMENTO]]</f>
        <v>0</v>
      </c>
      <c r="F149" s="15">
        <v>10421</v>
      </c>
      <c r="G149" s="15" t="s">
        <v>6</v>
      </c>
      <c r="H149" s="15"/>
      <c r="I149" s="151">
        <v>533.5</v>
      </c>
      <c r="J149" s="151">
        <v>0</v>
      </c>
      <c r="K149" s="150">
        <f>Tabela4[[#This Row],[PECAS]]+Tabela4[[#This Row],[SERVICOS]]</f>
        <v>533.5</v>
      </c>
      <c r="L149" s="151">
        <v>0</v>
      </c>
      <c r="M149" s="151">
        <v>0</v>
      </c>
      <c r="N149" s="24"/>
      <c r="O149" s="151">
        <v>0</v>
      </c>
      <c r="P149" s="151">
        <v>0</v>
      </c>
      <c r="Q149" s="151">
        <v>0</v>
      </c>
      <c r="R149" s="151">
        <v>0</v>
      </c>
      <c r="S149" s="149">
        <v>0</v>
      </c>
      <c r="T149" s="151">
        <v>0</v>
      </c>
      <c r="U149" s="151">
        <v>533.5</v>
      </c>
      <c r="V149" s="15" t="s">
        <v>661</v>
      </c>
      <c r="W149" s="22">
        <v>0</v>
      </c>
      <c r="X149" s="149">
        <v>0</v>
      </c>
      <c r="Y149" s="15"/>
      <c r="Z149" s="151">
        <v>0</v>
      </c>
      <c r="AA149" s="151">
        <f>K149-U149-T149</f>
        <v>0</v>
      </c>
      <c r="AB149" s="19" t="s">
        <v>6</v>
      </c>
      <c r="AC149" s="30">
        <v>0</v>
      </c>
      <c r="AD149" s="162">
        <v>0</v>
      </c>
      <c r="AE149" s="162">
        <v>0</v>
      </c>
      <c r="AF149" s="162">
        <v>0</v>
      </c>
      <c r="AG149" s="162">
        <v>0</v>
      </c>
      <c r="AH149" s="162">
        <v>0</v>
      </c>
      <c r="AI149" s="162">
        <v>0</v>
      </c>
      <c r="AJ149" s="162">
        <v>0</v>
      </c>
    </row>
    <row r="150" spans="1:36" x14ac:dyDescent="0.25">
      <c r="A150" s="15" t="s">
        <v>773</v>
      </c>
      <c r="B150" s="15"/>
      <c r="C150" s="141">
        <v>45315</v>
      </c>
      <c r="D150" s="141">
        <v>45315</v>
      </c>
      <c r="E150">
        <f>Tabela4[[#This Row],[DATA FATURAMENTO]]-Tabela4[[#This Row],[DATA ORÇAMENTO]]</f>
        <v>0</v>
      </c>
      <c r="F150" s="15">
        <v>10423</v>
      </c>
      <c r="G150" s="15" t="s">
        <v>37</v>
      </c>
      <c r="H150" s="15"/>
      <c r="I150" s="151">
        <v>562.96</v>
      </c>
      <c r="J150" s="151">
        <v>654</v>
      </c>
      <c r="K150" s="150">
        <f>Tabela4[[#This Row],[PECAS]]+Tabela4[[#This Row],[SERVICOS]]</f>
        <v>1216.96</v>
      </c>
      <c r="L150" s="151">
        <v>0</v>
      </c>
      <c r="M150" s="151">
        <v>0</v>
      </c>
      <c r="N150" s="24"/>
      <c r="O150" s="149">
        <f>180+48</f>
        <v>228</v>
      </c>
      <c r="P150" s="151">
        <v>0</v>
      </c>
      <c r="Q150" s="151">
        <v>0</v>
      </c>
      <c r="R150" s="151">
        <v>0</v>
      </c>
      <c r="S150" s="149">
        <v>157</v>
      </c>
      <c r="T150" s="151">
        <v>0</v>
      </c>
      <c r="U150" s="151">
        <v>0</v>
      </c>
      <c r="V150" s="15"/>
      <c r="W150" s="24">
        <v>4</v>
      </c>
      <c r="X150" s="149">
        <v>0</v>
      </c>
      <c r="Y150" s="15" t="s">
        <v>654</v>
      </c>
      <c r="Z150" s="151">
        <v>0</v>
      </c>
      <c r="AA150" s="149">
        <f>Tabela4[[#This Row],[VALOR]]-Tabela4[[#This Row],[PNEUS]]-Tabela4[[#This Row],[BATERIA]]</f>
        <v>1216.96</v>
      </c>
      <c r="AB150" s="19" t="s">
        <v>27</v>
      </c>
      <c r="AC150" s="30">
        <v>0</v>
      </c>
      <c r="AD150" s="162">
        <v>0</v>
      </c>
      <c r="AE150" s="162">
        <v>0</v>
      </c>
      <c r="AF150" s="162">
        <v>0</v>
      </c>
      <c r="AG150" s="162">
        <v>0</v>
      </c>
      <c r="AH150" s="162">
        <v>0</v>
      </c>
      <c r="AI150" s="162">
        <v>0</v>
      </c>
      <c r="AJ150" s="162">
        <v>0</v>
      </c>
    </row>
    <row r="151" spans="1:36" x14ac:dyDescent="0.25">
      <c r="A151" s="15" t="s">
        <v>774</v>
      </c>
      <c r="B151" s="15"/>
      <c r="C151" s="141">
        <v>45281</v>
      </c>
      <c r="D151" s="141">
        <v>45317</v>
      </c>
      <c r="E151">
        <f>Tabela4[[#This Row],[DATA FATURAMENTO]]-Tabela4[[#This Row],[DATA ORÇAMENTO]]</f>
        <v>36</v>
      </c>
      <c r="F151" s="15">
        <v>10063</v>
      </c>
      <c r="G151" s="15" t="s">
        <v>28</v>
      </c>
      <c r="H151" s="15"/>
      <c r="I151" s="151">
        <v>1487.6</v>
      </c>
      <c r="J151" s="151">
        <v>1000.01</v>
      </c>
      <c r="K151" s="150">
        <f>Tabela4[[#This Row],[PECAS]]+Tabela4[[#This Row],[SERVICOS]]</f>
        <v>2487.6099999999997</v>
      </c>
      <c r="L151" s="151">
        <v>0</v>
      </c>
      <c r="M151" s="151">
        <v>0</v>
      </c>
      <c r="N151" s="24"/>
      <c r="O151" s="151">
        <v>0</v>
      </c>
      <c r="P151" s="151">
        <v>0</v>
      </c>
      <c r="Q151" s="151">
        <v>0</v>
      </c>
      <c r="R151" s="151">
        <v>0</v>
      </c>
      <c r="S151" s="149">
        <v>0</v>
      </c>
      <c r="T151" s="151">
        <v>0</v>
      </c>
      <c r="U151" s="151">
        <v>0</v>
      </c>
      <c r="V151" s="15"/>
      <c r="W151" s="22">
        <v>0</v>
      </c>
      <c r="X151" s="149">
        <v>0</v>
      </c>
      <c r="Y151" s="15"/>
      <c r="Z151" s="151">
        <v>0</v>
      </c>
      <c r="AA151" s="149">
        <f>Tabela4[[#This Row],[VALOR]]-Tabela4[[#This Row],[PNEUS]]-Tabela4[[#This Row],[BATERIA]]</f>
        <v>2487.6099999999997</v>
      </c>
      <c r="AB151" s="19" t="s">
        <v>32</v>
      </c>
      <c r="AC151" s="30">
        <v>0</v>
      </c>
      <c r="AD151" s="162">
        <v>0</v>
      </c>
      <c r="AE151" s="162">
        <v>0</v>
      </c>
      <c r="AF151" s="162">
        <v>0</v>
      </c>
      <c r="AG151" s="162">
        <v>0</v>
      </c>
      <c r="AH151" s="162">
        <v>0</v>
      </c>
      <c r="AI151" s="162">
        <v>0</v>
      </c>
      <c r="AJ151" s="162">
        <v>0</v>
      </c>
    </row>
    <row r="152" spans="1:36" x14ac:dyDescent="0.25">
      <c r="A152" s="15" t="s">
        <v>775</v>
      </c>
      <c r="B152" s="15"/>
      <c r="C152" s="141">
        <v>45313</v>
      </c>
      <c r="D152" s="141">
        <v>45317</v>
      </c>
      <c r="E152">
        <f>Tabela4[[#This Row],[DATA FATURAMENTO]]-Tabela4[[#This Row],[DATA ORÇAMENTO]]</f>
        <v>4</v>
      </c>
      <c r="F152" s="15">
        <v>10392</v>
      </c>
      <c r="G152" s="15" t="s">
        <v>37</v>
      </c>
      <c r="H152" s="15"/>
      <c r="I152" s="151">
        <v>1177.68</v>
      </c>
      <c r="J152" s="151">
        <v>972.8</v>
      </c>
      <c r="K152" s="150">
        <f>Tabela4[[#This Row],[PECAS]]+Tabela4[[#This Row],[SERVICOS]]</f>
        <v>2150.48</v>
      </c>
      <c r="L152" s="151">
        <v>0</v>
      </c>
      <c r="M152" s="152">
        <f>130+140</f>
        <v>270</v>
      </c>
      <c r="N152" s="15"/>
      <c r="O152" s="152">
        <f>48+180</f>
        <v>228</v>
      </c>
      <c r="P152" s="151">
        <v>0</v>
      </c>
      <c r="Q152" s="151">
        <v>0</v>
      </c>
      <c r="R152" s="151">
        <v>0</v>
      </c>
      <c r="S152" s="149">
        <v>169.9</v>
      </c>
      <c r="T152" s="151">
        <v>0</v>
      </c>
      <c r="U152" s="151">
        <v>0</v>
      </c>
      <c r="V152" s="15"/>
      <c r="W152" s="22">
        <v>0</v>
      </c>
      <c r="X152" s="149">
        <v>0</v>
      </c>
      <c r="Y152" s="15"/>
      <c r="Z152" s="151">
        <v>0</v>
      </c>
      <c r="AA152" s="149">
        <f>Tabela4[[#This Row],[VALOR]]-Tabela4[[#This Row],[PNEUS]]-Tabela4[[#This Row],[BATERIA]]</f>
        <v>2150.48</v>
      </c>
      <c r="AB152" s="19" t="s">
        <v>34</v>
      </c>
      <c r="AC152" s="30">
        <v>0</v>
      </c>
      <c r="AD152" s="162">
        <v>0</v>
      </c>
      <c r="AE152" s="162">
        <v>0</v>
      </c>
      <c r="AF152" s="162">
        <v>0</v>
      </c>
      <c r="AG152" s="162">
        <v>0</v>
      </c>
      <c r="AH152" s="162">
        <v>0</v>
      </c>
      <c r="AI152" s="162">
        <v>0</v>
      </c>
      <c r="AJ152" s="162">
        <v>0</v>
      </c>
    </row>
    <row r="153" spans="1:36" x14ac:dyDescent="0.25">
      <c r="A153" s="15" t="s">
        <v>775</v>
      </c>
      <c r="B153" s="15"/>
      <c r="C153" s="141">
        <v>45315</v>
      </c>
      <c r="D153" s="141">
        <v>45317</v>
      </c>
      <c r="E153">
        <f>Tabela4[[#This Row],[DATA FATURAMENTO]]-Tabela4[[#This Row],[DATA ORÇAMENTO]]</f>
        <v>2</v>
      </c>
      <c r="F153" s="15">
        <v>10417</v>
      </c>
      <c r="G153" s="15" t="s">
        <v>37</v>
      </c>
      <c r="H153" s="15"/>
      <c r="I153" s="151">
        <v>0</v>
      </c>
      <c r="J153" s="151">
        <v>80</v>
      </c>
      <c r="K153" s="150">
        <f>Tabela4[[#This Row],[PECAS]]+Tabela4[[#This Row],[SERVICOS]]</f>
        <v>80</v>
      </c>
      <c r="L153" s="151">
        <v>0</v>
      </c>
      <c r="M153" s="151">
        <v>0</v>
      </c>
      <c r="N153" s="24"/>
      <c r="O153" s="151">
        <v>0</v>
      </c>
      <c r="P153" s="151">
        <v>0</v>
      </c>
      <c r="Q153" s="151">
        <v>0</v>
      </c>
      <c r="R153" s="151">
        <v>0</v>
      </c>
      <c r="S153" s="149">
        <v>0</v>
      </c>
      <c r="T153" s="151">
        <v>0</v>
      </c>
      <c r="U153" s="151">
        <v>0</v>
      </c>
      <c r="V153" s="15"/>
      <c r="W153" s="22">
        <v>0</v>
      </c>
      <c r="X153" s="149">
        <v>0</v>
      </c>
      <c r="Y153" s="15"/>
      <c r="Z153" s="151">
        <v>0</v>
      </c>
      <c r="AA153" s="149">
        <f>Tabela4[[#This Row],[VALOR]]-Tabela4[[#This Row],[PNEUS]]-Tabela4[[#This Row],[BATERIA]]</f>
        <v>80</v>
      </c>
      <c r="AB153" s="19" t="s">
        <v>38</v>
      </c>
      <c r="AC153" s="30">
        <v>0</v>
      </c>
      <c r="AD153" s="162">
        <v>0</v>
      </c>
      <c r="AE153" s="162">
        <v>0</v>
      </c>
      <c r="AF153" s="162">
        <v>0</v>
      </c>
      <c r="AG153" s="162">
        <v>0</v>
      </c>
      <c r="AH153" s="162">
        <v>0</v>
      </c>
      <c r="AI153" s="162">
        <v>0</v>
      </c>
      <c r="AJ153" s="162">
        <v>0</v>
      </c>
    </row>
    <row r="154" spans="1:36" x14ac:dyDescent="0.25">
      <c r="A154" s="15" t="s">
        <v>776</v>
      </c>
      <c r="B154" s="15"/>
      <c r="C154" s="141">
        <v>45315</v>
      </c>
      <c r="D154" s="141">
        <v>45317</v>
      </c>
      <c r="E154">
        <f>Tabela4[[#This Row],[DATA FATURAMENTO]]-Tabela4[[#This Row],[DATA ORÇAMENTO]]</f>
        <v>2</v>
      </c>
      <c r="F154" s="15">
        <v>10419</v>
      </c>
      <c r="G154" s="15" t="s">
        <v>31</v>
      </c>
      <c r="H154" s="15"/>
      <c r="I154" s="151">
        <v>260</v>
      </c>
      <c r="J154" s="151">
        <v>128</v>
      </c>
      <c r="K154" s="150">
        <f>Tabela4[[#This Row],[PECAS]]+Tabela4[[#This Row],[SERVICOS]]</f>
        <v>388</v>
      </c>
      <c r="L154" s="151">
        <v>0</v>
      </c>
      <c r="M154" s="151">
        <v>90</v>
      </c>
      <c r="N154" s="24"/>
      <c r="O154" s="151">
        <v>0</v>
      </c>
      <c r="P154" s="151">
        <v>0</v>
      </c>
      <c r="Q154" s="151">
        <v>0</v>
      </c>
      <c r="R154" s="151">
        <v>0</v>
      </c>
      <c r="S154" s="149">
        <v>0</v>
      </c>
      <c r="T154" s="151">
        <v>0</v>
      </c>
      <c r="U154" s="151">
        <v>0</v>
      </c>
      <c r="V154" s="15"/>
      <c r="W154" s="22">
        <v>0</v>
      </c>
      <c r="X154" s="149">
        <v>0</v>
      </c>
      <c r="Y154" s="15"/>
      <c r="Z154" s="151">
        <v>0</v>
      </c>
      <c r="AA154" s="149">
        <f>Tabela4[[#This Row],[VALOR]]-Tabela4[[#This Row],[PNEUS]]-Tabela4[[#This Row],[BATERIA]]</f>
        <v>388</v>
      </c>
      <c r="AB154" s="19" t="s">
        <v>24</v>
      </c>
      <c r="AC154" s="30">
        <v>0</v>
      </c>
      <c r="AD154" s="162">
        <v>0</v>
      </c>
      <c r="AE154" s="162">
        <v>0</v>
      </c>
      <c r="AF154" s="162">
        <v>0</v>
      </c>
      <c r="AG154" s="162">
        <v>0</v>
      </c>
      <c r="AH154" s="162">
        <v>0</v>
      </c>
      <c r="AI154" s="162">
        <v>0</v>
      </c>
      <c r="AJ154" s="162">
        <v>0</v>
      </c>
    </row>
    <row r="155" spans="1:36" x14ac:dyDescent="0.25">
      <c r="A155" s="15" t="s">
        <v>777</v>
      </c>
      <c r="B155" s="15"/>
      <c r="C155" s="141">
        <v>45315</v>
      </c>
      <c r="D155" s="141">
        <v>45317</v>
      </c>
      <c r="E155">
        <f>Tabela4[[#This Row],[DATA FATURAMENTO]]-Tabela4[[#This Row],[DATA ORÇAMENTO]]</f>
        <v>2</v>
      </c>
      <c r="F155" s="15">
        <v>10425</v>
      </c>
      <c r="G155" s="15" t="s">
        <v>6</v>
      </c>
      <c r="H155" s="15"/>
      <c r="I155" s="151">
        <v>522.5</v>
      </c>
      <c r="J155" s="151">
        <v>0</v>
      </c>
      <c r="K155" s="150">
        <f>Tabela4[[#This Row],[PECAS]]+Tabela4[[#This Row],[SERVICOS]]</f>
        <v>522.5</v>
      </c>
      <c r="L155" s="151">
        <v>0</v>
      </c>
      <c r="M155" s="151">
        <v>0</v>
      </c>
      <c r="N155" s="24"/>
      <c r="O155" s="151">
        <v>0</v>
      </c>
      <c r="P155" s="151">
        <v>0</v>
      </c>
      <c r="Q155" s="151">
        <v>0</v>
      </c>
      <c r="R155" s="151">
        <v>0</v>
      </c>
      <c r="S155" s="149">
        <v>0</v>
      </c>
      <c r="T155" s="151">
        <v>0</v>
      </c>
      <c r="U155" s="151">
        <v>522.5</v>
      </c>
      <c r="V155" s="15" t="s">
        <v>664</v>
      </c>
      <c r="W155" s="22">
        <v>0</v>
      </c>
      <c r="X155" s="149">
        <v>0</v>
      </c>
      <c r="Y155" s="15"/>
      <c r="Z155" s="151">
        <v>0</v>
      </c>
      <c r="AA155" s="151">
        <f>K155-U155-T155</f>
        <v>0</v>
      </c>
      <c r="AB155" s="19" t="s">
        <v>6</v>
      </c>
      <c r="AC155" s="30">
        <v>0</v>
      </c>
      <c r="AD155" s="162">
        <v>0</v>
      </c>
      <c r="AE155" s="162">
        <v>0</v>
      </c>
      <c r="AF155" s="162">
        <v>0</v>
      </c>
      <c r="AG155" s="162">
        <v>0</v>
      </c>
      <c r="AH155" s="162">
        <v>0</v>
      </c>
      <c r="AI155" s="162">
        <v>0</v>
      </c>
      <c r="AJ155" s="162">
        <v>0</v>
      </c>
    </row>
    <row r="156" spans="1:36" x14ac:dyDescent="0.25">
      <c r="A156" s="15" t="s">
        <v>778</v>
      </c>
      <c r="B156" s="15"/>
      <c r="C156" s="141">
        <v>45317</v>
      </c>
      <c r="D156" s="141">
        <v>45317</v>
      </c>
      <c r="E156">
        <f>Tabela4[[#This Row],[DATA FATURAMENTO]]-Tabela4[[#This Row],[DATA ORÇAMENTO]]</f>
        <v>0</v>
      </c>
      <c r="F156" s="15">
        <v>10426</v>
      </c>
      <c r="G156" s="15" t="s">
        <v>6</v>
      </c>
      <c r="H156" s="15"/>
      <c r="I156" s="151">
        <v>469</v>
      </c>
      <c r="J156" s="151">
        <v>0</v>
      </c>
      <c r="K156" s="150">
        <f>Tabela4[[#This Row],[PECAS]]+Tabela4[[#This Row],[SERVICOS]]</f>
        <v>469</v>
      </c>
      <c r="L156" s="151">
        <v>0</v>
      </c>
      <c r="M156" s="151">
        <v>0</v>
      </c>
      <c r="N156" s="24"/>
      <c r="O156" s="151">
        <v>0</v>
      </c>
      <c r="P156" s="151">
        <v>0</v>
      </c>
      <c r="Q156" s="151">
        <v>0</v>
      </c>
      <c r="R156" s="151">
        <v>0</v>
      </c>
      <c r="S156" s="149">
        <v>0</v>
      </c>
      <c r="T156" s="151">
        <v>0</v>
      </c>
      <c r="U156" s="151">
        <v>469</v>
      </c>
      <c r="V156" s="15" t="s">
        <v>640</v>
      </c>
      <c r="W156" s="22">
        <v>0</v>
      </c>
      <c r="X156" s="149">
        <v>0</v>
      </c>
      <c r="Y156" s="15"/>
      <c r="Z156" s="151">
        <v>0</v>
      </c>
      <c r="AA156" s="151">
        <f>K156-U156-T156</f>
        <v>0</v>
      </c>
      <c r="AB156" s="19" t="s">
        <v>6</v>
      </c>
      <c r="AC156" s="30">
        <v>0</v>
      </c>
      <c r="AD156" s="162">
        <v>0</v>
      </c>
      <c r="AE156" s="162">
        <v>0</v>
      </c>
      <c r="AF156" s="162">
        <v>0</v>
      </c>
      <c r="AG156" s="162">
        <v>0</v>
      </c>
      <c r="AH156" s="162">
        <v>0</v>
      </c>
      <c r="AI156" s="162">
        <v>0</v>
      </c>
      <c r="AJ156" s="162">
        <v>0</v>
      </c>
    </row>
    <row r="157" spans="1:36" x14ac:dyDescent="0.25">
      <c r="A157" s="15" t="s">
        <v>779</v>
      </c>
      <c r="B157" s="15"/>
      <c r="C157" s="141">
        <v>45317</v>
      </c>
      <c r="D157" s="141">
        <v>45317</v>
      </c>
      <c r="E157">
        <f>Tabela4[[#This Row],[DATA FATURAMENTO]]-Tabela4[[#This Row],[DATA ORÇAMENTO]]</f>
        <v>0</v>
      </c>
      <c r="F157" s="15">
        <v>10427</v>
      </c>
      <c r="G157" s="15" t="s">
        <v>6</v>
      </c>
      <c r="H157" s="15"/>
      <c r="I157" s="151">
        <v>522.5</v>
      </c>
      <c r="J157" s="151">
        <v>0</v>
      </c>
      <c r="K157" s="150">
        <f>Tabela4[[#This Row],[PECAS]]+Tabela4[[#This Row],[SERVICOS]]</f>
        <v>522.5</v>
      </c>
      <c r="L157" s="151">
        <v>0</v>
      </c>
      <c r="M157" s="151">
        <v>0</v>
      </c>
      <c r="N157" s="24"/>
      <c r="O157" s="151">
        <v>0</v>
      </c>
      <c r="P157" s="151">
        <v>0</v>
      </c>
      <c r="Q157" s="151">
        <v>0</v>
      </c>
      <c r="R157" s="151">
        <v>0</v>
      </c>
      <c r="S157" s="149">
        <v>0</v>
      </c>
      <c r="T157" s="151">
        <v>0</v>
      </c>
      <c r="U157" s="151">
        <v>522.5</v>
      </c>
      <c r="V157" s="15" t="s">
        <v>640</v>
      </c>
      <c r="W157" s="22">
        <v>0</v>
      </c>
      <c r="X157" s="149">
        <v>0</v>
      </c>
      <c r="Y157" s="15"/>
      <c r="Z157" s="151">
        <v>0</v>
      </c>
      <c r="AA157" s="151">
        <f>K157-U157-T157</f>
        <v>0</v>
      </c>
      <c r="AB157" s="19" t="s">
        <v>6</v>
      </c>
      <c r="AC157" s="30">
        <v>0</v>
      </c>
      <c r="AD157" s="162">
        <v>0</v>
      </c>
      <c r="AE157" s="162">
        <v>0</v>
      </c>
      <c r="AF157" s="162">
        <v>0</v>
      </c>
      <c r="AG157" s="162">
        <v>0</v>
      </c>
      <c r="AH157" s="162">
        <v>0</v>
      </c>
      <c r="AI157" s="162">
        <v>0</v>
      </c>
      <c r="AJ157" s="162">
        <v>0</v>
      </c>
    </row>
    <row r="158" spans="1:36" x14ac:dyDescent="0.25">
      <c r="A158" s="15" t="s">
        <v>780</v>
      </c>
      <c r="B158" s="15"/>
      <c r="C158" s="141">
        <v>45317</v>
      </c>
      <c r="D158" s="141">
        <v>45317</v>
      </c>
      <c r="E158">
        <f>Tabela4[[#This Row],[DATA FATURAMENTO]]-Tabela4[[#This Row],[DATA ORÇAMENTO]]</f>
        <v>0</v>
      </c>
      <c r="F158" s="15">
        <v>10431</v>
      </c>
      <c r="G158" s="15" t="s">
        <v>31</v>
      </c>
      <c r="H158" s="15"/>
      <c r="I158" s="151">
        <v>30</v>
      </c>
      <c r="J158" s="151">
        <v>0</v>
      </c>
      <c r="K158" s="150">
        <f>Tabela4[[#This Row],[PECAS]]+Tabela4[[#This Row],[SERVICOS]]</f>
        <v>30</v>
      </c>
      <c r="L158" s="151">
        <v>0</v>
      </c>
      <c r="M158" s="151">
        <v>0</v>
      </c>
      <c r="N158" s="24"/>
      <c r="O158" s="151">
        <v>0</v>
      </c>
      <c r="P158" s="151">
        <v>0</v>
      </c>
      <c r="Q158" s="151">
        <v>0</v>
      </c>
      <c r="R158" s="151">
        <v>0</v>
      </c>
      <c r="S158" s="149">
        <v>0</v>
      </c>
      <c r="T158" s="151">
        <v>0</v>
      </c>
      <c r="U158" s="151">
        <v>0</v>
      </c>
      <c r="V158" s="15"/>
      <c r="W158" s="22">
        <v>0</v>
      </c>
      <c r="X158" s="149">
        <v>0</v>
      </c>
      <c r="Y158" s="15"/>
      <c r="Z158" s="151">
        <v>0</v>
      </c>
      <c r="AA158" s="151">
        <f>K158-U158-T158</f>
        <v>30</v>
      </c>
      <c r="AB158" s="19" t="s">
        <v>38</v>
      </c>
      <c r="AC158" s="30">
        <v>0</v>
      </c>
      <c r="AD158" s="162">
        <v>0</v>
      </c>
      <c r="AE158" s="162">
        <v>0</v>
      </c>
      <c r="AF158" s="162">
        <v>0</v>
      </c>
      <c r="AG158" s="162">
        <v>0</v>
      </c>
      <c r="AH158" s="162">
        <v>0</v>
      </c>
      <c r="AI158" s="162">
        <v>0</v>
      </c>
      <c r="AJ158" s="162">
        <v>0</v>
      </c>
    </row>
    <row r="159" spans="1:36" x14ac:dyDescent="0.25">
      <c r="A159" s="15" t="s">
        <v>781</v>
      </c>
      <c r="B159" s="15"/>
      <c r="C159" s="141">
        <v>45314</v>
      </c>
      <c r="D159" s="141">
        <v>45318</v>
      </c>
      <c r="E159">
        <f>Tabela4[[#This Row],[DATA FATURAMENTO]]-Tabela4[[#This Row],[DATA ORÇAMENTO]]</f>
        <v>4</v>
      </c>
      <c r="F159" s="15">
        <v>10402</v>
      </c>
      <c r="G159" s="15" t="s">
        <v>28</v>
      </c>
      <c r="H159" s="15"/>
      <c r="I159" s="151">
        <v>3690.6</v>
      </c>
      <c r="J159" s="151">
        <v>975.04</v>
      </c>
      <c r="K159" s="150">
        <f>Tabela4[[#This Row],[PECAS]]+Tabela4[[#This Row],[SERVICOS]]</f>
        <v>4665.6399999999994</v>
      </c>
      <c r="L159" s="151">
        <v>0</v>
      </c>
      <c r="M159" s="149">
        <f>30+16</f>
        <v>46</v>
      </c>
      <c r="N159" s="22"/>
      <c r="O159" s="149">
        <f>130.29</f>
        <v>130.29</v>
      </c>
      <c r="P159" s="151">
        <v>0</v>
      </c>
      <c r="Q159" s="151">
        <v>100</v>
      </c>
      <c r="R159" s="151">
        <v>0</v>
      </c>
      <c r="S159" s="149">
        <v>57</v>
      </c>
      <c r="T159" s="151">
        <v>1808</v>
      </c>
      <c r="U159" s="151">
        <v>0</v>
      </c>
      <c r="V159" s="15"/>
      <c r="W159" s="22">
        <v>4</v>
      </c>
      <c r="X159" s="149">
        <v>0</v>
      </c>
      <c r="Y159" s="15" t="s">
        <v>654</v>
      </c>
      <c r="Z159" s="151">
        <v>0</v>
      </c>
      <c r="AA159" s="149">
        <f>Tabela4[[#This Row],[VALOR]]-Tabela4[[#This Row],[PNEUS]]-Tabela4[[#This Row],[BATERIA]]</f>
        <v>2857.6399999999994</v>
      </c>
      <c r="AB159" s="19" t="s">
        <v>30</v>
      </c>
      <c r="AC159" s="30">
        <v>0</v>
      </c>
      <c r="AD159" s="162">
        <v>0</v>
      </c>
      <c r="AE159" s="162">
        <v>0</v>
      </c>
      <c r="AF159" s="162">
        <v>0</v>
      </c>
      <c r="AG159" s="162">
        <v>0</v>
      </c>
      <c r="AH159" s="162">
        <v>0</v>
      </c>
      <c r="AI159" s="162">
        <v>0</v>
      </c>
      <c r="AJ159" s="162">
        <v>0</v>
      </c>
    </row>
    <row r="160" spans="1:36" x14ac:dyDescent="0.25">
      <c r="A160" s="15" t="s">
        <v>782</v>
      </c>
      <c r="B160" s="15"/>
      <c r="C160" s="141">
        <v>45317</v>
      </c>
      <c r="D160" s="141">
        <v>45318</v>
      </c>
      <c r="E160">
        <f>Tabela4[[#This Row],[DATA FATURAMENTO]]-Tabela4[[#This Row],[DATA ORÇAMENTO]]</f>
        <v>1</v>
      </c>
      <c r="F160" s="15">
        <v>10428</v>
      </c>
      <c r="G160" s="15" t="s">
        <v>22</v>
      </c>
      <c r="H160" s="15"/>
      <c r="I160" s="151">
        <v>640</v>
      </c>
      <c r="J160" s="151">
        <v>220</v>
      </c>
      <c r="K160" s="150">
        <f>Tabela4[[#This Row],[PECAS]]+Tabela4[[#This Row],[SERVICOS]]</f>
        <v>860</v>
      </c>
      <c r="L160" s="151">
        <v>0</v>
      </c>
      <c r="M160" s="151">
        <v>0</v>
      </c>
      <c r="N160" s="24"/>
      <c r="O160" s="151">
        <v>0</v>
      </c>
      <c r="P160" s="152">
        <f>125+75</f>
        <v>200</v>
      </c>
      <c r="Q160" s="151">
        <v>0</v>
      </c>
      <c r="R160" s="151">
        <v>0</v>
      </c>
      <c r="S160" s="149">
        <v>0</v>
      </c>
      <c r="T160" s="151">
        <v>0</v>
      </c>
      <c r="U160" s="151">
        <v>0</v>
      </c>
      <c r="V160" s="15"/>
      <c r="W160" s="22">
        <v>0</v>
      </c>
      <c r="X160" s="149">
        <v>0</v>
      </c>
      <c r="Y160" s="15"/>
      <c r="Z160" s="151">
        <v>0</v>
      </c>
      <c r="AA160" s="149">
        <f>Tabela4[[#This Row],[VALOR]]-Tabela4[[#This Row],[PNEUS]]-Tabela4[[#This Row],[BATERIA]]</f>
        <v>860</v>
      </c>
      <c r="AB160" s="19" t="s">
        <v>34</v>
      </c>
      <c r="AC160" s="30">
        <v>0</v>
      </c>
      <c r="AD160" s="162">
        <v>0</v>
      </c>
      <c r="AE160" s="162">
        <v>0</v>
      </c>
      <c r="AF160" s="162">
        <v>0</v>
      </c>
      <c r="AG160" s="162">
        <v>0</v>
      </c>
      <c r="AH160" s="162">
        <v>0</v>
      </c>
      <c r="AI160" s="162">
        <v>0</v>
      </c>
      <c r="AJ160" s="162">
        <v>0</v>
      </c>
    </row>
    <row r="161" spans="1:36" x14ac:dyDescent="0.25">
      <c r="A161" s="15" t="s">
        <v>783</v>
      </c>
      <c r="B161" s="15"/>
      <c r="C161" s="141">
        <v>45318</v>
      </c>
      <c r="D161" s="141">
        <v>45318</v>
      </c>
      <c r="E161">
        <f>Tabela4[[#This Row],[DATA FATURAMENTO]]-Tabela4[[#This Row],[DATA ORÇAMENTO]]</f>
        <v>0</v>
      </c>
      <c r="F161" s="15">
        <v>10439</v>
      </c>
      <c r="G161" s="15" t="s">
        <v>22</v>
      </c>
      <c r="H161" s="15"/>
      <c r="I161" s="151">
        <v>943.45</v>
      </c>
      <c r="J161" s="151">
        <v>176.56</v>
      </c>
      <c r="K161" s="150">
        <f>Tabela4[[#This Row],[PECAS]]+Tabela4[[#This Row],[SERVICOS]]</f>
        <v>1120.01</v>
      </c>
      <c r="L161" s="151">
        <v>0</v>
      </c>
      <c r="M161" s="151">
        <v>0</v>
      </c>
      <c r="N161" s="24"/>
      <c r="O161" s="151">
        <v>0</v>
      </c>
      <c r="P161" s="151">
        <v>78.849999999999994</v>
      </c>
      <c r="Q161" s="151">
        <v>0</v>
      </c>
      <c r="R161" s="151">
        <v>10</v>
      </c>
      <c r="S161" s="149">
        <v>176.56</v>
      </c>
      <c r="T161" s="151">
        <v>0</v>
      </c>
      <c r="U161" s="151">
        <v>522.5</v>
      </c>
      <c r="V161" s="15" t="s">
        <v>664</v>
      </c>
      <c r="W161" s="22">
        <v>3</v>
      </c>
      <c r="X161" s="149">
        <v>0</v>
      </c>
      <c r="Y161" s="15" t="s">
        <v>654</v>
      </c>
      <c r="Z161" s="151">
        <v>0</v>
      </c>
      <c r="AA161" s="149">
        <f>Tabela4[[#This Row],[VALOR]]-Tabela4[[#This Row],[PNEUS]]-Tabela4[[#This Row],[BATERIA]]</f>
        <v>597.51</v>
      </c>
      <c r="AB161" s="19" t="s">
        <v>32</v>
      </c>
      <c r="AC161" s="30">
        <v>0</v>
      </c>
      <c r="AD161" s="162">
        <v>0</v>
      </c>
      <c r="AE161" s="162">
        <v>0</v>
      </c>
      <c r="AF161" s="162">
        <v>0</v>
      </c>
      <c r="AG161" s="162">
        <v>0</v>
      </c>
      <c r="AH161" s="162">
        <v>0</v>
      </c>
      <c r="AI161" s="162">
        <v>0</v>
      </c>
      <c r="AJ161" s="162">
        <v>0</v>
      </c>
    </row>
    <row r="162" spans="1:36" x14ac:dyDescent="0.25">
      <c r="A162" s="15" t="s">
        <v>784</v>
      </c>
      <c r="B162" s="15"/>
      <c r="C162" s="141">
        <v>45306</v>
      </c>
      <c r="D162" s="141">
        <v>45320</v>
      </c>
      <c r="E162">
        <f>Tabela4[[#This Row],[DATA FATURAMENTO]]-Tabela4[[#This Row],[DATA ORÇAMENTO]]</f>
        <v>14</v>
      </c>
      <c r="F162" s="15">
        <v>10302</v>
      </c>
      <c r="G162" s="15" t="s">
        <v>22</v>
      </c>
      <c r="H162" s="15"/>
      <c r="I162" s="151">
        <v>148.30000000000001</v>
      </c>
      <c r="J162" s="151">
        <v>551.70000000000005</v>
      </c>
      <c r="K162" s="150">
        <f>Tabela4[[#This Row],[PECAS]]+Tabela4[[#This Row],[SERVICOS]]</f>
        <v>700</v>
      </c>
      <c r="L162" s="151">
        <v>0</v>
      </c>
      <c r="M162" s="151">
        <v>0</v>
      </c>
      <c r="N162" s="24"/>
      <c r="O162" s="151">
        <v>38.799999999999997</v>
      </c>
      <c r="P162" s="151">
        <v>0</v>
      </c>
      <c r="Q162" s="151">
        <v>0</v>
      </c>
      <c r="R162" s="151">
        <v>0</v>
      </c>
      <c r="S162" s="149">
        <v>0</v>
      </c>
      <c r="T162" s="151">
        <v>0</v>
      </c>
      <c r="U162" s="151">
        <v>0</v>
      </c>
      <c r="V162" s="15"/>
      <c r="W162" s="22">
        <v>0</v>
      </c>
      <c r="X162" s="149">
        <v>0</v>
      </c>
      <c r="Y162" s="15"/>
      <c r="Z162" s="151">
        <v>0</v>
      </c>
      <c r="AA162" s="149">
        <f>Tabela4[[#This Row],[VALOR]]-Tabela4[[#This Row],[PNEUS]]-Tabela4[[#This Row],[BATERIA]]</f>
        <v>700</v>
      </c>
      <c r="AB162" s="19" t="s">
        <v>30</v>
      </c>
      <c r="AC162" s="30">
        <v>0</v>
      </c>
      <c r="AD162" s="162">
        <v>0</v>
      </c>
      <c r="AE162" s="162">
        <v>0</v>
      </c>
      <c r="AF162" s="162">
        <v>0</v>
      </c>
      <c r="AG162" s="162">
        <v>0</v>
      </c>
      <c r="AH162" s="162">
        <v>0</v>
      </c>
      <c r="AI162" s="162">
        <v>0</v>
      </c>
      <c r="AJ162" s="162">
        <v>0</v>
      </c>
    </row>
    <row r="163" spans="1:36" x14ac:dyDescent="0.25">
      <c r="A163" s="15" t="s">
        <v>446</v>
      </c>
      <c r="B163" s="15"/>
      <c r="C163" s="141">
        <v>45310</v>
      </c>
      <c r="D163" s="141">
        <v>45320</v>
      </c>
      <c r="E163">
        <f>Tabela4[[#This Row],[DATA FATURAMENTO]]-Tabela4[[#This Row],[DATA ORÇAMENTO]]</f>
        <v>10</v>
      </c>
      <c r="F163" s="15">
        <v>10366</v>
      </c>
      <c r="G163" s="15" t="s">
        <v>22</v>
      </c>
      <c r="H163" s="15"/>
      <c r="I163" s="151">
        <v>3443.9</v>
      </c>
      <c r="J163" s="151">
        <v>2341.5</v>
      </c>
      <c r="K163" s="150">
        <f>Tabela4[[#This Row],[PECAS]]+Tabela4[[#This Row],[SERVICOS]]</f>
        <v>5785.4</v>
      </c>
      <c r="L163" s="151">
        <v>0</v>
      </c>
      <c r="M163" s="151">
        <v>0</v>
      </c>
      <c r="N163" s="24"/>
      <c r="O163" s="151">
        <v>47.8</v>
      </c>
      <c r="P163" s="151">
        <v>0</v>
      </c>
      <c r="Q163" s="151">
        <v>0</v>
      </c>
      <c r="R163" s="151">
        <v>0</v>
      </c>
      <c r="S163" s="149">
        <v>0</v>
      </c>
      <c r="T163" s="151">
        <v>0</v>
      </c>
      <c r="U163" s="151">
        <v>0</v>
      </c>
      <c r="V163" s="15"/>
      <c r="W163" s="22">
        <v>0</v>
      </c>
      <c r="X163" s="149">
        <v>0</v>
      </c>
      <c r="Y163" s="15"/>
      <c r="Z163" s="151">
        <v>0</v>
      </c>
      <c r="AA163" s="149">
        <f>Tabela4[[#This Row],[VALOR]]-Tabela4[[#This Row],[PNEUS]]-Tabela4[[#This Row],[BATERIA]]</f>
        <v>5785.4</v>
      </c>
      <c r="AB163" s="19" t="s">
        <v>32</v>
      </c>
      <c r="AC163" s="30">
        <v>0</v>
      </c>
      <c r="AD163" s="162">
        <v>0</v>
      </c>
      <c r="AE163" s="162">
        <v>0</v>
      </c>
      <c r="AF163" s="162">
        <v>0</v>
      </c>
      <c r="AG163" s="162">
        <v>0</v>
      </c>
      <c r="AH163" s="162">
        <v>0</v>
      </c>
      <c r="AI163" s="162">
        <v>0</v>
      </c>
      <c r="AJ163" s="162">
        <v>0</v>
      </c>
    </row>
    <row r="164" spans="1:36" x14ac:dyDescent="0.25">
      <c r="A164" s="15" t="s">
        <v>785</v>
      </c>
      <c r="B164" s="15"/>
      <c r="C164" s="141">
        <v>45311</v>
      </c>
      <c r="D164" s="141">
        <v>45320</v>
      </c>
      <c r="E164">
        <f>Tabela4[[#This Row],[DATA FATURAMENTO]]-Tabela4[[#This Row],[DATA ORÇAMENTO]]</f>
        <v>9</v>
      </c>
      <c r="F164" s="15">
        <v>10380</v>
      </c>
      <c r="G164" s="15" t="s">
        <v>22</v>
      </c>
      <c r="H164" s="15"/>
      <c r="I164" s="151">
        <v>4239.8</v>
      </c>
      <c r="J164" s="151">
        <v>2110.1999999999998</v>
      </c>
      <c r="K164" s="150">
        <f>Tabela4[[#This Row],[PECAS]]+Tabela4[[#This Row],[SERVICOS]]</f>
        <v>6350</v>
      </c>
      <c r="L164" s="151">
        <v>0</v>
      </c>
      <c r="M164" s="152">
        <f>116.4+24.8+130</f>
        <v>271.20000000000005</v>
      </c>
      <c r="N164" s="15"/>
      <c r="O164" s="151">
        <v>220</v>
      </c>
      <c r="P164" s="152">
        <f>117.8+62.5</f>
        <v>180.3</v>
      </c>
      <c r="Q164" s="151">
        <v>160</v>
      </c>
      <c r="R164" s="151">
        <v>0</v>
      </c>
      <c r="S164" s="149">
        <v>170</v>
      </c>
      <c r="T164" s="151">
        <v>0</v>
      </c>
      <c r="U164" s="151">
        <v>522.5</v>
      </c>
      <c r="V164" s="15" t="s">
        <v>707</v>
      </c>
      <c r="W164" s="22">
        <v>4</v>
      </c>
      <c r="X164" s="149">
        <v>0</v>
      </c>
      <c r="Y164" s="15" t="s">
        <v>753</v>
      </c>
      <c r="Z164" s="151">
        <v>0</v>
      </c>
      <c r="AA164" s="149">
        <f>Tabela4[[#This Row],[VALOR]]-Tabela4[[#This Row],[PNEUS]]-Tabela4[[#This Row],[BATERIA]]</f>
        <v>5827.5</v>
      </c>
      <c r="AB164" s="19" t="s">
        <v>34</v>
      </c>
      <c r="AC164" s="30">
        <v>0</v>
      </c>
      <c r="AD164" s="162">
        <v>0</v>
      </c>
      <c r="AE164" s="162">
        <v>0</v>
      </c>
      <c r="AF164" s="162">
        <v>0</v>
      </c>
      <c r="AG164" s="162">
        <v>0</v>
      </c>
      <c r="AH164" s="162">
        <v>0</v>
      </c>
      <c r="AI164" s="162">
        <v>0</v>
      </c>
      <c r="AJ164" s="162">
        <v>0</v>
      </c>
    </row>
    <row r="165" spans="1:36" x14ac:dyDescent="0.25">
      <c r="A165" s="15" t="s">
        <v>786</v>
      </c>
      <c r="B165" s="15"/>
      <c r="C165" s="141">
        <v>45318</v>
      </c>
      <c r="D165" s="141">
        <v>45320</v>
      </c>
      <c r="E165">
        <f>Tabela4[[#This Row],[DATA FATURAMENTO]]-Tabela4[[#This Row],[DATA ORÇAMENTO]]</f>
        <v>2</v>
      </c>
      <c r="F165" s="15">
        <v>10434</v>
      </c>
      <c r="G165" s="15" t="s">
        <v>31</v>
      </c>
      <c r="H165" s="15"/>
      <c r="I165" s="151">
        <v>265</v>
      </c>
      <c r="J165" s="151">
        <v>0</v>
      </c>
      <c r="K165" s="150">
        <f>Tabela4[[#This Row],[PECAS]]+Tabela4[[#This Row],[SERVICOS]]</f>
        <v>265</v>
      </c>
      <c r="L165" s="151">
        <v>0</v>
      </c>
      <c r="M165" s="151">
        <v>0</v>
      </c>
      <c r="N165" s="24"/>
      <c r="O165" s="151">
        <v>0</v>
      </c>
      <c r="P165" s="151">
        <v>0</v>
      </c>
      <c r="Q165" s="151">
        <v>0</v>
      </c>
      <c r="R165" s="151">
        <v>0</v>
      </c>
      <c r="S165" s="149">
        <v>0</v>
      </c>
      <c r="T165" s="151">
        <v>0</v>
      </c>
      <c r="U165" s="151">
        <v>0</v>
      </c>
      <c r="V165" s="15"/>
      <c r="W165" s="22">
        <v>0</v>
      </c>
      <c r="X165" s="149">
        <v>0</v>
      </c>
      <c r="Y165" s="15"/>
      <c r="Z165" s="151">
        <v>0</v>
      </c>
      <c r="AA165" s="151">
        <f>K165-U165-T165</f>
        <v>265</v>
      </c>
      <c r="AB165" s="19" t="s">
        <v>30</v>
      </c>
      <c r="AC165" s="30">
        <v>0</v>
      </c>
      <c r="AD165" s="162">
        <v>0</v>
      </c>
      <c r="AE165" s="162">
        <v>0</v>
      </c>
      <c r="AF165" s="162">
        <v>0</v>
      </c>
      <c r="AG165" s="162">
        <v>0</v>
      </c>
      <c r="AH165" s="162">
        <v>0</v>
      </c>
      <c r="AI165" s="162">
        <v>0</v>
      </c>
      <c r="AJ165" s="162">
        <v>0</v>
      </c>
    </row>
    <row r="166" spans="1:36" x14ac:dyDescent="0.25">
      <c r="A166" s="15" t="s">
        <v>787</v>
      </c>
      <c r="B166" s="15"/>
      <c r="C166" s="141">
        <v>45320</v>
      </c>
      <c r="D166" s="141">
        <v>45320</v>
      </c>
      <c r="E166">
        <f>Tabela4[[#This Row],[DATA FATURAMENTO]]-Tabela4[[#This Row],[DATA ORÇAMENTO]]</f>
        <v>0</v>
      </c>
      <c r="F166" s="15">
        <v>10443</v>
      </c>
      <c r="G166" s="15" t="s">
        <v>22</v>
      </c>
      <c r="H166" s="15"/>
      <c r="I166" s="151">
        <v>38</v>
      </c>
      <c r="J166" s="151">
        <v>0</v>
      </c>
      <c r="K166" s="150">
        <f>Tabela4[[#This Row],[PECAS]]+Tabela4[[#This Row],[SERVICOS]]</f>
        <v>38</v>
      </c>
      <c r="L166" s="151">
        <v>0</v>
      </c>
      <c r="M166" s="151">
        <v>38</v>
      </c>
      <c r="N166" s="24"/>
      <c r="O166" s="151">
        <v>0</v>
      </c>
      <c r="P166" s="151">
        <v>0</v>
      </c>
      <c r="Q166" s="151">
        <v>0</v>
      </c>
      <c r="R166" s="151">
        <v>0</v>
      </c>
      <c r="S166" s="149">
        <v>0</v>
      </c>
      <c r="T166" s="151">
        <v>0</v>
      </c>
      <c r="U166" s="151">
        <v>0</v>
      </c>
      <c r="V166" s="15"/>
      <c r="W166" s="22">
        <v>0</v>
      </c>
      <c r="X166" s="149">
        <v>0</v>
      </c>
      <c r="Y166" s="15"/>
      <c r="Z166" s="151">
        <v>0</v>
      </c>
      <c r="AA166" s="151">
        <f>K166-U166-T166</f>
        <v>38</v>
      </c>
      <c r="AB166" s="19" t="s">
        <v>38</v>
      </c>
      <c r="AC166" s="30">
        <v>0</v>
      </c>
      <c r="AD166" s="162">
        <v>0</v>
      </c>
      <c r="AE166" s="162">
        <v>0</v>
      </c>
      <c r="AF166" s="162">
        <v>0</v>
      </c>
      <c r="AG166" s="162">
        <v>0</v>
      </c>
      <c r="AH166" s="162">
        <v>0</v>
      </c>
      <c r="AI166" s="162">
        <v>0</v>
      </c>
      <c r="AJ166" s="162">
        <v>0</v>
      </c>
    </row>
    <row r="167" spans="1:36" x14ac:dyDescent="0.25">
      <c r="A167" s="15" t="s">
        <v>788</v>
      </c>
      <c r="B167" s="15"/>
      <c r="C167" s="141">
        <v>45320</v>
      </c>
      <c r="D167" s="141">
        <v>45320</v>
      </c>
      <c r="E167">
        <f>Tabela4[[#This Row],[DATA FATURAMENTO]]-Tabela4[[#This Row],[DATA ORÇAMENTO]]</f>
        <v>0</v>
      </c>
      <c r="F167" s="15">
        <v>10457</v>
      </c>
      <c r="G167" s="15" t="s">
        <v>22</v>
      </c>
      <c r="H167" s="15"/>
      <c r="I167" s="151">
        <v>858.9</v>
      </c>
      <c r="J167" s="151">
        <v>641.1</v>
      </c>
      <c r="K167" s="150">
        <f>Tabela4[[#This Row],[PECAS]]+Tabela4[[#This Row],[SERVICOS]]</f>
        <v>1500</v>
      </c>
      <c r="L167" s="151">
        <v>0</v>
      </c>
      <c r="M167" s="151">
        <v>0</v>
      </c>
      <c r="N167" s="24"/>
      <c r="O167" s="151">
        <v>266</v>
      </c>
      <c r="P167" s="151">
        <v>0</v>
      </c>
      <c r="Q167" s="151">
        <v>0</v>
      </c>
      <c r="R167" s="151">
        <v>10</v>
      </c>
      <c r="S167" s="149">
        <v>186</v>
      </c>
      <c r="T167" s="151">
        <v>0</v>
      </c>
      <c r="U167" s="151">
        <v>0</v>
      </c>
      <c r="V167" s="15"/>
      <c r="W167" s="22">
        <v>0</v>
      </c>
      <c r="X167" s="149">
        <v>0</v>
      </c>
      <c r="Y167" s="15"/>
      <c r="Z167" s="151">
        <v>0</v>
      </c>
      <c r="AA167" s="149">
        <f>Tabela4[[#This Row],[VALOR]]-Tabela4[[#This Row],[PNEUS]]-Tabela4[[#This Row],[BATERIA]]</f>
        <v>1500</v>
      </c>
      <c r="AB167" s="19" t="s">
        <v>30</v>
      </c>
      <c r="AC167" s="30">
        <v>0</v>
      </c>
      <c r="AD167" s="162">
        <v>0</v>
      </c>
      <c r="AE167" s="162">
        <v>0</v>
      </c>
      <c r="AF167" s="162">
        <v>0</v>
      </c>
      <c r="AG167" s="162">
        <v>0</v>
      </c>
      <c r="AH167" s="162">
        <v>0</v>
      </c>
      <c r="AI167" s="162">
        <v>0</v>
      </c>
      <c r="AJ167" s="162">
        <v>0</v>
      </c>
    </row>
    <row r="168" spans="1:36" x14ac:dyDescent="0.25">
      <c r="A168" s="15" t="s">
        <v>789</v>
      </c>
      <c r="B168" s="15"/>
      <c r="C168" s="141">
        <v>45320</v>
      </c>
      <c r="D168" s="141">
        <v>45320</v>
      </c>
      <c r="E168">
        <f>Tabela4[[#This Row],[DATA FATURAMENTO]]-Tabela4[[#This Row],[DATA ORÇAMENTO]]</f>
        <v>0</v>
      </c>
      <c r="F168" s="15">
        <v>10445</v>
      </c>
      <c r="G168" s="15" t="s">
        <v>31</v>
      </c>
      <c r="H168" s="15"/>
      <c r="I168" s="151">
        <v>387</v>
      </c>
      <c r="J168" s="151">
        <v>170</v>
      </c>
      <c r="K168" s="150">
        <f>Tabela4[[#This Row],[PECAS]]+Tabela4[[#This Row],[SERVICOS]]</f>
        <v>557</v>
      </c>
      <c r="L168" s="151">
        <v>0</v>
      </c>
      <c r="M168" s="151">
        <v>0</v>
      </c>
      <c r="N168" s="24"/>
      <c r="O168" s="151">
        <v>0</v>
      </c>
      <c r="P168" s="151">
        <v>0</v>
      </c>
      <c r="Q168" s="151">
        <v>0</v>
      </c>
      <c r="R168" s="151">
        <v>0</v>
      </c>
      <c r="S168" s="149">
        <v>170</v>
      </c>
      <c r="T168" s="151">
        <v>0</v>
      </c>
      <c r="U168" s="151">
        <v>0</v>
      </c>
      <c r="V168" s="15"/>
      <c r="W168" s="22">
        <v>4</v>
      </c>
      <c r="X168" s="149">
        <v>0</v>
      </c>
      <c r="Y168" s="15" t="s">
        <v>753</v>
      </c>
      <c r="Z168" s="151">
        <v>0</v>
      </c>
      <c r="AA168" s="149">
        <f>Tabela4[[#This Row],[VALOR]]-Tabela4[[#This Row],[PNEUS]]-Tabela4[[#This Row],[BATERIA]]</f>
        <v>557</v>
      </c>
      <c r="AB168" s="19" t="s">
        <v>32</v>
      </c>
      <c r="AC168" s="30">
        <v>0</v>
      </c>
      <c r="AD168" s="162">
        <v>0</v>
      </c>
      <c r="AE168" s="162">
        <v>0</v>
      </c>
      <c r="AF168" s="162">
        <v>0</v>
      </c>
      <c r="AG168" s="162">
        <v>0</v>
      </c>
      <c r="AH168" s="162">
        <v>0</v>
      </c>
      <c r="AI168" s="162">
        <v>0</v>
      </c>
      <c r="AJ168" s="162">
        <v>0</v>
      </c>
    </row>
    <row r="169" spans="1:36" x14ac:dyDescent="0.25">
      <c r="A169" s="15" t="s">
        <v>790</v>
      </c>
      <c r="B169" s="15"/>
      <c r="C169" s="141">
        <v>45320</v>
      </c>
      <c r="D169" s="141">
        <v>45320</v>
      </c>
      <c r="E169">
        <f>Tabela4[[#This Row],[DATA FATURAMENTO]]-Tabela4[[#This Row],[DATA ORÇAMENTO]]</f>
        <v>0</v>
      </c>
      <c r="F169" s="15">
        <v>10455</v>
      </c>
      <c r="G169" s="15" t="s">
        <v>25</v>
      </c>
      <c r="H169" s="15"/>
      <c r="I169" s="151">
        <v>0</v>
      </c>
      <c r="J169" s="151">
        <v>215</v>
      </c>
      <c r="K169" s="150">
        <f>Tabela4[[#This Row],[PECAS]]+Tabela4[[#This Row],[SERVICOS]]</f>
        <v>215</v>
      </c>
      <c r="L169" s="151">
        <v>0</v>
      </c>
      <c r="M169" s="151">
        <v>0</v>
      </c>
      <c r="N169" s="24"/>
      <c r="O169" s="151">
        <v>0</v>
      </c>
      <c r="P169" s="151">
        <v>0</v>
      </c>
      <c r="Q169" s="151">
        <v>0</v>
      </c>
      <c r="R169" s="151">
        <v>0</v>
      </c>
      <c r="S169" s="149">
        <v>0</v>
      </c>
      <c r="T169" s="151">
        <v>0</v>
      </c>
      <c r="U169" s="151">
        <v>0</v>
      </c>
      <c r="V169" s="15"/>
      <c r="W169" s="22">
        <v>0</v>
      </c>
      <c r="X169" s="149">
        <v>0</v>
      </c>
      <c r="Y169" s="15"/>
      <c r="Z169" s="151">
        <v>0</v>
      </c>
      <c r="AA169" s="149">
        <f>Tabela4[[#This Row],[VALOR]]-Tabela4[[#This Row],[PNEUS]]-Tabela4[[#This Row],[BATERIA]]</f>
        <v>215</v>
      </c>
      <c r="AB169" s="19" t="s">
        <v>24</v>
      </c>
      <c r="AC169" s="30">
        <v>0</v>
      </c>
      <c r="AD169" s="162">
        <v>0</v>
      </c>
      <c r="AE169" s="162">
        <v>0</v>
      </c>
      <c r="AF169" s="162">
        <v>0</v>
      </c>
      <c r="AG169" s="162">
        <v>0</v>
      </c>
      <c r="AH169" s="162">
        <v>0</v>
      </c>
      <c r="AI169" s="162">
        <v>0</v>
      </c>
      <c r="AJ169" s="162">
        <v>0</v>
      </c>
    </row>
    <row r="170" spans="1:36" x14ac:dyDescent="0.25">
      <c r="A170" s="15" t="s">
        <v>273</v>
      </c>
      <c r="B170" s="15"/>
      <c r="C170" s="141">
        <v>45320</v>
      </c>
      <c r="D170" s="141">
        <v>45320</v>
      </c>
      <c r="E170">
        <f>Tabela4[[#This Row],[DATA FATURAMENTO]]-Tabela4[[#This Row],[DATA ORÇAMENTO]]</f>
        <v>0</v>
      </c>
      <c r="F170" s="15">
        <v>10461</v>
      </c>
      <c r="G170" s="15" t="s">
        <v>31</v>
      </c>
      <c r="H170" s="15"/>
      <c r="I170" s="151">
        <v>120</v>
      </c>
      <c r="J170" s="151">
        <v>0</v>
      </c>
      <c r="K170" s="150">
        <f>Tabela4[[#This Row],[PECAS]]+Tabela4[[#This Row],[SERVICOS]]</f>
        <v>120</v>
      </c>
      <c r="L170" s="151">
        <v>0</v>
      </c>
      <c r="M170" s="151">
        <v>0</v>
      </c>
      <c r="N170" s="24"/>
      <c r="O170" s="151">
        <v>0</v>
      </c>
      <c r="P170" s="151">
        <v>120</v>
      </c>
      <c r="Q170" s="151">
        <v>0</v>
      </c>
      <c r="R170" s="151">
        <v>0</v>
      </c>
      <c r="S170" s="149">
        <v>0</v>
      </c>
      <c r="T170" s="151">
        <v>0</v>
      </c>
      <c r="U170" s="151">
        <v>0</v>
      </c>
      <c r="V170" s="15"/>
      <c r="W170" s="22">
        <v>0</v>
      </c>
      <c r="X170" s="149">
        <v>0</v>
      </c>
      <c r="Y170" s="15"/>
      <c r="Z170" s="151">
        <v>0</v>
      </c>
      <c r="AA170" s="151">
        <f>K170-U170-T170</f>
        <v>120</v>
      </c>
      <c r="AB170" s="19" t="s">
        <v>38</v>
      </c>
      <c r="AC170" s="30">
        <v>0</v>
      </c>
      <c r="AD170" s="162">
        <v>0</v>
      </c>
      <c r="AE170" s="162">
        <v>0</v>
      </c>
      <c r="AF170" s="162">
        <v>0</v>
      </c>
      <c r="AG170" s="162">
        <v>0</v>
      </c>
      <c r="AH170" s="162">
        <v>0</v>
      </c>
      <c r="AI170" s="162">
        <v>0</v>
      </c>
      <c r="AJ170" s="162">
        <v>0</v>
      </c>
    </row>
    <row r="171" spans="1:36" x14ac:dyDescent="0.25">
      <c r="A171" s="15" t="s">
        <v>791</v>
      </c>
      <c r="B171" s="15"/>
      <c r="C171" s="141">
        <v>45309</v>
      </c>
      <c r="D171" s="141">
        <v>45321</v>
      </c>
      <c r="E171">
        <f>Tabela4[[#This Row],[DATA FATURAMENTO]]-Tabela4[[#This Row],[DATA ORÇAMENTO]]</f>
        <v>12</v>
      </c>
      <c r="F171" s="15">
        <v>10350</v>
      </c>
      <c r="G171" s="15" t="s">
        <v>6</v>
      </c>
      <c r="H171" s="15"/>
      <c r="I171" s="151">
        <v>522.5</v>
      </c>
      <c r="J171" s="151">
        <v>0</v>
      </c>
      <c r="K171" s="150">
        <f>Tabela4[[#This Row],[PECAS]]+Tabela4[[#This Row],[SERVICOS]]</f>
        <v>522.5</v>
      </c>
      <c r="L171" s="151">
        <v>0</v>
      </c>
      <c r="M171" s="151">
        <v>0</v>
      </c>
      <c r="N171" s="24"/>
      <c r="O171" s="151">
        <v>0</v>
      </c>
      <c r="P171" s="151">
        <v>0</v>
      </c>
      <c r="Q171" s="151">
        <v>0</v>
      </c>
      <c r="R171" s="151">
        <v>0</v>
      </c>
      <c r="S171" s="149">
        <v>0</v>
      </c>
      <c r="T171" s="151">
        <v>0</v>
      </c>
      <c r="U171" s="151">
        <v>522.5</v>
      </c>
      <c r="V171" s="15" t="s">
        <v>664</v>
      </c>
      <c r="W171" s="22">
        <v>0</v>
      </c>
      <c r="X171" s="149">
        <v>0</v>
      </c>
      <c r="Y171" s="15"/>
      <c r="Z171" s="151">
        <v>0</v>
      </c>
      <c r="AA171" s="151">
        <f>K171-U171-T171</f>
        <v>0</v>
      </c>
      <c r="AB171" s="19" t="s">
        <v>6</v>
      </c>
      <c r="AC171" s="30">
        <v>0</v>
      </c>
      <c r="AD171" s="162">
        <v>0</v>
      </c>
      <c r="AE171" s="162">
        <v>0</v>
      </c>
      <c r="AF171" s="162">
        <v>0</v>
      </c>
      <c r="AG171" s="162">
        <v>0</v>
      </c>
      <c r="AH171" s="162">
        <v>0</v>
      </c>
      <c r="AI171" s="162">
        <v>0</v>
      </c>
      <c r="AJ171" s="162">
        <v>0</v>
      </c>
    </row>
    <row r="172" spans="1:36" x14ac:dyDescent="0.25">
      <c r="A172" s="15" t="s">
        <v>792</v>
      </c>
      <c r="B172" s="15"/>
      <c r="C172" s="141">
        <v>45313</v>
      </c>
      <c r="D172" s="141">
        <v>45321</v>
      </c>
      <c r="E172">
        <f>Tabela4[[#This Row],[DATA FATURAMENTO]]-Tabela4[[#This Row],[DATA ORÇAMENTO]]</f>
        <v>8</v>
      </c>
      <c r="F172" s="15">
        <v>10385</v>
      </c>
      <c r="G172" s="15" t="s">
        <v>6</v>
      </c>
      <c r="H172" s="15"/>
      <c r="I172" s="151">
        <v>522.5</v>
      </c>
      <c r="J172" s="151">
        <v>0</v>
      </c>
      <c r="K172" s="150">
        <f>Tabela4[[#This Row],[PECAS]]+Tabela4[[#This Row],[SERVICOS]]</f>
        <v>522.5</v>
      </c>
      <c r="L172" s="151">
        <v>0</v>
      </c>
      <c r="M172" s="151">
        <v>0</v>
      </c>
      <c r="N172" s="24"/>
      <c r="O172" s="151">
        <v>0</v>
      </c>
      <c r="P172" s="151">
        <v>0</v>
      </c>
      <c r="Q172" s="151">
        <v>0</v>
      </c>
      <c r="R172" s="151">
        <v>0</v>
      </c>
      <c r="S172" s="149">
        <v>0</v>
      </c>
      <c r="T172" s="151">
        <v>0</v>
      </c>
      <c r="U172" s="151">
        <v>522.5</v>
      </c>
      <c r="V172" s="15" t="s">
        <v>707</v>
      </c>
      <c r="W172" s="22">
        <v>0</v>
      </c>
      <c r="X172" s="149">
        <v>0</v>
      </c>
      <c r="Y172" s="15"/>
      <c r="Z172" s="151">
        <v>0</v>
      </c>
      <c r="AA172" s="151">
        <f>K172-U172-T172</f>
        <v>0</v>
      </c>
      <c r="AB172" s="19" t="s">
        <v>6</v>
      </c>
      <c r="AC172" s="30">
        <v>0</v>
      </c>
      <c r="AD172" s="162">
        <v>0</v>
      </c>
      <c r="AE172" s="162">
        <v>0</v>
      </c>
      <c r="AF172" s="162">
        <v>0</v>
      </c>
      <c r="AG172" s="162">
        <v>0</v>
      </c>
      <c r="AH172" s="162">
        <v>0</v>
      </c>
      <c r="AI172" s="162">
        <v>0</v>
      </c>
      <c r="AJ172" s="162">
        <v>0</v>
      </c>
    </row>
    <row r="173" spans="1:36" x14ac:dyDescent="0.25">
      <c r="A173" s="15" t="s">
        <v>793</v>
      </c>
      <c r="B173" s="15"/>
      <c r="C173" s="141">
        <v>45314</v>
      </c>
      <c r="D173" s="141">
        <v>45321</v>
      </c>
      <c r="E173">
        <f>Tabela4[[#This Row],[DATA FATURAMENTO]]-Tabela4[[#This Row],[DATA ORÇAMENTO]]</f>
        <v>7</v>
      </c>
      <c r="F173" s="15">
        <v>10411</v>
      </c>
      <c r="G173" s="15" t="s">
        <v>6</v>
      </c>
      <c r="H173" s="15"/>
      <c r="I173" s="151">
        <v>511.5</v>
      </c>
      <c r="J173" s="151">
        <v>0</v>
      </c>
      <c r="K173" s="150">
        <f>Tabela4[[#This Row],[PECAS]]+Tabela4[[#This Row],[SERVICOS]]</f>
        <v>511.5</v>
      </c>
      <c r="L173" s="151">
        <v>0</v>
      </c>
      <c r="M173" s="151">
        <v>0</v>
      </c>
      <c r="N173" s="24"/>
      <c r="O173" s="151">
        <v>0</v>
      </c>
      <c r="P173" s="151">
        <v>0</v>
      </c>
      <c r="Q173" s="151">
        <v>0</v>
      </c>
      <c r="R173" s="151">
        <v>0</v>
      </c>
      <c r="S173" s="149">
        <v>0</v>
      </c>
      <c r="T173" s="151">
        <v>0</v>
      </c>
      <c r="U173" s="151">
        <v>511.5</v>
      </c>
      <c r="V173" s="15" t="s">
        <v>711</v>
      </c>
      <c r="W173" s="22">
        <v>0</v>
      </c>
      <c r="X173" s="149">
        <v>0</v>
      </c>
      <c r="Y173" s="15"/>
      <c r="Z173" s="151">
        <v>0</v>
      </c>
      <c r="AA173" s="151">
        <f>K173-U173-T173</f>
        <v>0</v>
      </c>
      <c r="AB173" s="19" t="s">
        <v>6</v>
      </c>
      <c r="AC173" s="30">
        <v>0</v>
      </c>
      <c r="AD173" s="162">
        <v>0</v>
      </c>
      <c r="AE173" s="162">
        <v>0</v>
      </c>
      <c r="AF173" s="162">
        <v>0</v>
      </c>
      <c r="AG173" s="162">
        <v>0</v>
      </c>
      <c r="AH173" s="162">
        <v>0</v>
      </c>
      <c r="AI173" s="162">
        <v>0</v>
      </c>
      <c r="AJ173" s="162">
        <v>0</v>
      </c>
    </row>
    <row r="174" spans="1:36" x14ac:dyDescent="0.25">
      <c r="A174" s="15" t="s">
        <v>794</v>
      </c>
      <c r="B174" s="15"/>
      <c r="C174" s="141">
        <v>45314</v>
      </c>
      <c r="D174" s="141">
        <v>45321</v>
      </c>
      <c r="E174">
        <f>Tabela4[[#This Row],[DATA FATURAMENTO]]-Tabela4[[#This Row],[DATA ORÇAMENTO]]</f>
        <v>7</v>
      </c>
      <c r="F174" s="15">
        <v>10412</v>
      </c>
      <c r="G174" s="15" t="s">
        <v>6</v>
      </c>
      <c r="H174" s="15"/>
      <c r="I174" s="151">
        <v>522.5</v>
      </c>
      <c r="J174" s="151">
        <v>0</v>
      </c>
      <c r="K174" s="150">
        <f>Tabela4[[#This Row],[PECAS]]+Tabela4[[#This Row],[SERVICOS]]</f>
        <v>522.5</v>
      </c>
      <c r="L174" s="151">
        <v>0</v>
      </c>
      <c r="M174" s="151">
        <v>0</v>
      </c>
      <c r="N174" s="24"/>
      <c r="O174" s="151">
        <v>0</v>
      </c>
      <c r="P174" s="151">
        <v>0</v>
      </c>
      <c r="Q174" s="151">
        <v>0</v>
      </c>
      <c r="R174" s="151">
        <v>0</v>
      </c>
      <c r="S174" s="149">
        <v>0</v>
      </c>
      <c r="T174" s="151">
        <v>0</v>
      </c>
      <c r="U174" s="151">
        <v>522.5</v>
      </c>
      <c r="V174" s="15" t="s">
        <v>664</v>
      </c>
      <c r="W174" s="22">
        <v>0</v>
      </c>
      <c r="X174" s="149">
        <v>0</v>
      </c>
      <c r="Y174" s="15"/>
      <c r="Z174" s="151">
        <v>0</v>
      </c>
      <c r="AA174" s="151">
        <f>K174-U174-T174</f>
        <v>0</v>
      </c>
      <c r="AB174" s="19" t="s">
        <v>6</v>
      </c>
      <c r="AC174" s="30">
        <v>0</v>
      </c>
      <c r="AD174" s="162">
        <v>0</v>
      </c>
      <c r="AE174" s="162">
        <v>0</v>
      </c>
      <c r="AF174" s="162">
        <v>0</v>
      </c>
      <c r="AG174" s="162">
        <v>0</v>
      </c>
      <c r="AH174" s="162">
        <v>0</v>
      </c>
      <c r="AI174" s="162">
        <v>0</v>
      </c>
      <c r="AJ174" s="162">
        <v>0</v>
      </c>
    </row>
    <row r="175" spans="1:36" x14ac:dyDescent="0.25">
      <c r="A175" s="15" t="s">
        <v>774</v>
      </c>
      <c r="B175" s="15"/>
      <c r="C175" s="141">
        <v>45317</v>
      </c>
      <c r="D175" s="141">
        <v>45321</v>
      </c>
      <c r="E175">
        <f>Tabela4[[#This Row],[DATA FATURAMENTO]]-Tabela4[[#This Row],[DATA ORÇAMENTO]]</f>
        <v>4</v>
      </c>
      <c r="F175" s="15">
        <v>10432</v>
      </c>
      <c r="G175" s="15" t="s">
        <v>28</v>
      </c>
      <c r="H175" s="15"/>
      <c r="I175" s="151">
        <v>0</v>
      </c>
      <c r="J175" s="151">
        <v>2645</v>
      </c>
      <c r="K175" s="150">
        <f>Tabela4[[#This Row],[PECAS]]+Tabela4[[#This Row],[SERVICOS]]</f>
        <v>2645</v>
      </c>
      <c r="L175" s="151">
        <v>0</v>
      </c>
      <c r="M175" s="151">
        <v>0</v>
      </c>
      <c r="N175" s="24"/>
      <c r="O175" s="151">
        <v>0</v>
      </c>
      <c r="P175" s="151">
        <v>0</v>
      </c>
      <c r="Q175" s="151">
        <v>0</v>
      </c>
      <c r="R175" s="151">
        <v>0</v>
      </c>
      <c r="S175" s="149">
        <v>0</v>
      </c>
      <c r="T175" s="151">
        <v>0</v>
      </c>
      <c r="U175" s="151">
        <v>0</v>
      </c>
      <c r="V175" s="15"/>
      <c r="W175" s="22">
        <v>0</v>
      </c>
      <c r="X175" s="149">
        <v>0</v>
      </c>
      <c r="Y175" s="15"/>
      <c r="Z175" s="151">
        <v>0</v>
      </c>
      <c r="AA175" s="149">
        <f>Tabela4[[#This Row],[VALOR]]-Tabela4[[#This Row],[PNEUS]]-Tabela4[[#This Row],[BATERIA]]</f>
        <v>2645</v>
      </c>
      <c r="AB175" s="19" t="s">
        <v>38</v>
      </c>
      <c r="AC175" s="30">
        <v>0</v>
      </c>
      <c r="AD175" s="162">
        <v>0</v>
      </c>
      <c r="AE175" s="162">
        <v>0</v>
      </c>
      <c r="AF175" s="162">
        <v>0</v>
      </c>
      <c r="AG175" s="162">
        <v>0</v>
      </c>
      <c r="AH175" s="162">
        <v>0</v>
      </c>
      <c r="AI175" s="162">
        <v>0</v>
      </c>
      <c r="AJ175" s="162">
        <v>0</v>
      </c>
    </row>
    <row r="176" spans="1:36" x14ac:dyDescent="0.25">
      <c r="A176" s="15" t="s">
        <v>795</v>
      </c>
      <c r="B176" s="15"/>
      <c r="C176" s="141">
        <v>45317</v>
      </c>
      <c r="D176" s="141">
        <v>45321</v>
      </c>
      <c r="E176">
        <f>Tabela4[[#This Row],[DATA FATURAMENTO]]-Tabela4[[#This Row],[DATA ORÇAMENTO]]</f>
        <v>4</v>
      </c>
      <c r="F176" s="15">
        <v>10467</v>
      </c>
      <c r="G176" s="15" t="s">
        <v>6</v>
      </c>
      <c r="H176" s="15"/>
      <c r="I176" s="151">
        <v>522.5</v>
      </c>
      <c r="J176" s="151">
        <v>0</v>
      </c>
      <c r="K176" s="150">
        <f>Tabela4[[#This Row],[PECAS]]+Tabela4[[#This Row],[SERVICOS]]</f>
        <v>522.5</v>
      </c>
      <c r="L176" s="151">
        <v>0</v>
      </c>
      <c r="M176" s="151">
        <v>0</v>
      </c>
      <c r="N176" s="24"/>
      <c r="O176" s="151">
        <v>0</v>
      </c>
      <c r="P176" s="151">
        <v>0</v>
      </c>
      <c r="Q176" s="151">
        <v>0</v>
      </c>
      <c r="R176" s="151">
        <v>0</v>
      </c>
      <c r="S176" s="149">
        <v>0</v>
      </c>
      <c r="T176" s="151">
        <v>0</v>
      </c>
      <c r="U176" s="151">
        <v>522.5</v>
      </c>
      <c r="V176" s="15" t="s">
        <v>664</v>
      </c>
      <c r="W176" s="22">
        <v>0</v>
      </c>
      <c r="X176" s="149">
        <v>0</v>
      </c>
      <c r="Y176" s="15"/>
      <c r="Z176" s="151">
        <v>0</v>
      </c>
      <c r="AA176" s="151">
        <f>K176-U176-T176</f>
        <v>0</v>
      </c>
      <c r="AB176" s="19" t="s">
        <v>6</v>
      </c>
      <c r="AC176" s="30">
        <v>0</v>
      </c>
      <c r="AD176" s="162">
        <v>0</v>
      </c>
      <c r="AE176" s="162">
        <v>0</v>
      </c>
      <c r="AF176" s="162">
        <v>0</v>
      </c>
      <c r="AG176" s="162">
        <v>0</v>
      </c>
      <c r="AH176" s="162">
        <v>0</v>
      </c>
      <c r="AI176" s="162">
        <v>0</v>
      </c>
      <c r="AJ176" s="162">
        <v>0</v>
      </c>
    </row>
    <row r="177" spans="1:36" x14ac:dyDescent="0.25">
      <c r="A177" s="15" t="s">
        <v>796</v>
      </c>
      <c r="B177" s="15"/>
      <c r="C177" s="141">
        <v>45319</v>
      </c>
      <c r="D177" s="141">
        <v>45321</v>
      </c>
      <c r="E177">
        <f>Tabela4[[#This Row],[DATA FATURAMENTO]]-Tabela4[[#This Row],[DATA ORÇAMENTO]]</f>
        <v>2</v>
      </c>
      <c r="F177" s="15">
        <v>10440</v>
      </c>
      <c r="G177" s="15" t="s">
        <v>6</v>
      </c>
      <c r="H177" s="15"/>
      <c r="I177" s="151">
        <v>522.5</v>
      </c>
      <c r="J177" s="151">
        <v>0</v>
      </c>
      <c r="K177" s="150">
        <f>Tabela4[[#This Row],[PECAS]]+Tabela4[[#This Row],[SERVICOS]]</f>
        <v>522.5</v>
      </c>
      <c r="L177" s="151">
        <v>0</v>
      </c>
      <c r="M177" s="151">
        <v>0</v>
      </c>
      <c r="N177" s="24"/>
      <c r="O177" s="151">
        <v>0</v>
      </c>
      <c r="P177" s="151">
        <v>0</v>
      </c>
      <c r="Q177" s="151">
        <v>0</v>
      </c>
      <c r="R177" s="151">
        <v>0</v>
      </c>
      <c r="S177" s="149">
        <v>0</v>
      </c>
      <c r="T177" s="151">
        <v>0</v>
      </c>
      <c r="U177" s="151">
        <v>522.5</v>
      </c>
      <c r="V177" s="15"/>
      <c r="W177" s="22">
        <v>3</v>
      </c>
      <c r="X177" s="149">
        <v>0</v>
      </c>
      <c r="Y177" s="15" t="s">
        <v>654</v>
      </c>
      <c r="Z177" s="151">
        <v>0</v>
      </c>
      <c r="AA177" s="151">
        <f>K177-U177-T177</f>
        <v>0</v>
      </c>
      <c r="AB177" s="19" t="s">
        <v>6</v>
      </c>
      <c r="AC177" s="30">
        <v>0</v>
      </c>
      <c r="AD177" s="162">
        <v>0</v>
      </c>
      <c r="AE177" s="162">
        <v>0</v>
      </c>
      <c r="AF177" s="162">
        <v>0</v>
      </c>
      <c r="AG177" s="162">
        <v>0</v>
      </c>
      <c r="AH177" s="162">
        <v>0</v>
      </c>
      <c r="AI177" s="162">
        <v>0</v>
      </c>
      <c r="AJ177" s="162">
        <v>0</v>
      </c>
    </row>
    <row r="178" spans="1:36" x14ac:dyDescent="0.25">
      <c r="A178" s="15" t="s">
        <v>797</v>
      </c>
      <c r="B178" s="15"/>
      <c r="C178" s="141">
        <v>45320</v>
      </c>
      <c r="D178" s="141">
        <v>45321</v>
      </c>
      <c r="E178">
        <f>Tabela4[[#This Row],[DATA FATURAMENTO]]-Tabela4[[#This Row],[DATA ORÇAMENTO]]</f>
        <v>1</v>
      </c>
      <c r="F178" s="15">
        <v>10446</v>
      </c>
      <c r="G178" s="15" t="s">
        <v>22</v>
      </c>
      <c r="H178" s="15"/>
      <c r="I178" s="151">
        <v>715.1</v>
      </c>
      <c r="J178" s="151">
        <v>824.9</v>
      </c>
      <c r="K178" s="150">
        <f>Tabela4[[#This Row],[PECAS]]+Tabela4[[#This Row],[SERVICOS]]</f>
        <v>1540</v>
      </c>
      <c r="L178" s="151">
        <v>102.67</v>
      </c>
      <c r="M178" s="152">
        <f>116.4+25.4</f>
        <v>141.80000000000001</v>
      </c>
      <c r="N178" s="15"/>
      <c r="O178" s="151">
        <v>240</v>
      </c>
      <c r="P178" s="152">
        <f>137.5+107.3</f>
        <v>244.8</v>
      </c>
      <c r="Q178" s="151">
        <v>0</v>
      </c>
      <c r="R178" s="151">
        <v>10</v>
      </c>
      <c r="S178" s="149">
        <v>170</v>
      </c>
      <c r="T178" s="151">
        <v>0</v>
      </c>
      <c r="U178" s="151">
        <v>0</v>
      </c>
      <c r="V178" s="15"/>
      <c r="W178" s="22">
        <v>0</v>
      </c>
      <c r="X178" s="149">
        <v>0</v>
      </c>
      <c r="Y178" s="15"/>
      <c r="Z178" s="151">
        <v>0</v>
      </c>
      <c r="AA178" s="149">
        <f>Tabela4[[#This Row],[VALOR]]-Tabela4[[#This Row],[PNEUS]]-Tabela4[[#This Row],[BATERIA]]</f>
        <v>1540</v>
      </c>
      <c r="AB178" s="19" t="s">
        <v>24</v>
      </c>
      <c r="AC178" s="30">
        <v>0</v>
      </c>
      <c r="AD178" s="162">
        <v>0</v>
      </c>
      <c r="AE178" s="162">
        <v>0</v>
      </c>
      <c r="AF178" s="162">
        <v>0</v>
      </c>
      <c r="AG178" s="162">
        <v>0</v>
      </c>
      <c r="AH178" s="162">
        <v>0</v>
      </c>
      <c r="AI178" s="162">
        <v>0</v>
      </c>
      <c r="AJ178" s="162">
        <v>0</v>
      </c>
    </row>
    <row r="179" spans="1:36" x14ac:dyDescent="0.25">
      <c r="A179" s="15" t="s">
        <v>365</v>
      </c>
      <c r="B179" s="15"/>
      <c r="C179" s="141">
        <v>45320</v>
      </c>
      <c r="D179" s="141">
        <v>45321</v>
      </c>
      <c r="E179">
        <f>Tabela4[[#This Row],[DATA FATURAMENTO]]-Tabela4[[#This Row],[DATA ORÇAMENTO]]</f>
        <v>1</v>
      </c>
      <c r="F179" s="15">
        <v>10464</v>
      </c>
      <c r="G179" s="15" t="s">
        <v>22</v>
      </c>
      <c r="H179" s="15"/>
      <c r="I179" s="151">
        <v>149.9</v>
      </c>
      <c r="J179" s="151">
        <v>268.51</v>
      </c>
      <c r="K179" s="150">
        <f>Tabela4[[#This Row],[PECAS]]+Tabela4[[#This Row],[SERVICOS]]</f>
        <v>418.40999999999997</v>
      </c>
      <c r="L179" s="151">
        <v>0</v>
      </c>
      <c r="M179" s="151">
        <v>0</v>
      </c>
      <c r="N179" s="24"/>
      <c r="O179" s="151">
        <v>0</v>
      </c>
      <c r="P179" s="151">
        <v>0</v>
      </c>
      <c r="Q179" s="151">
        <v>0</v>
      </c>
      <c r="R179" s="151">
        <v>0</v>
      </c>
      <c r="S179" s="149">
        <v>0</v>
      </c>
      <c r="T179" s="151">
        <v>0</v>
      </c>
      <c r="U179" s="151">
        <v>0</v>
      </c>
      <c r="V179" s="15" t="s">
        <v>664</v>
      </c>
      <c r="W179" s="22">
        <v>0</v>
      </c>
      <c r="X179" s="149">
        <v>0</v>
      </c>
      <c r="Y179" s="15"/>
      <c r="Z179" s="151">
        <v>0</v>
      </c>
      <c r="AA179" s="149">
        <f>Tabela4[[#This Row],[VALOR]]-Tabela4[[#This Row],[PNEUS]]-Tabela4[[#This Row],[BATERIA]]</f>
        <v>418.40999999999997</v>
      </c>
      <c r="AB179" s="19" t="s">
        <v>24</v>
      </c>
      <c r="AC179" s="30">
        <v>0</v>
      </c>
      <c r="AD179" s="162">
        <v>0</v>
      </c>
      <c r="AE179" s="162">
        <v>0</v>
      </c>
      <c r="AF179" s="162">
        <v>0</v>
      </c>
      <c r="AG179" s="162">
        <v>0</v>
      </c>
      <c r="AH179" s="162">
        <v>0</v>
      </c>
      <c r="AI179" s="162">
        <v>0</v>
      </c>
      <c r="AJ179" s="162">
        <v>0</v>
      </c>
    </row>
    <row r="180" spans="1:36" x14ac:dyDescent="0.25">
      <c r="A180" s="15" t="s">
        <v>798</v>
      </c>
      <c r="B180" s="15"/>
      <c r="C180" s="141">
        <v>45321</v>
      </c>
      <c r="D180" s="141">
        <v>45321</v>
      </c>
      <c r="E180">
        <f>Tabela4[[#This Row],[DATA FATURAMENTO]]-Tabela4[[#This Row],[DATA ORÇAMENTO]]</f>
        <v>0</v>
      </c>
      <c r="F180" s="15">
        <v>10468</v>
      </c>
      <c r="G180" s="15" t="s">
        <v>6</v>
      </c>
      <c r="H180" s="15"/>
      <c r="I180" s="151">
        <v>522.5</v>
      </c>
      <c r="J180" s="151">
        <v>0</v>
      </c>
      <c r="K180" s="150">
        <f>Tabela4[[#This Row],[PECAS]]+Tabela4[[#This Row],[SERVICOS]]</f>
        <v>522.5</v>
      </c>
      <c r="L180" s="151">
        <v>0</v>
      </c>
      <c r="M180" s="151">
        <v>0</v>
      </c>
      <c r="N180" s="24"/>
      <c r="O180" s="151">
        <v>0</v>
      </c>
      <c r="P180" s="151">
        <v>0</v>
      </c>
      <c r="Q180" s="151">
        <v>0</v>
      </c>
      <c r="R180" s="151">
        <v>0</v>
      </c>
      <c r="S180" s="149">
        <v>0</v>
      </c>
      <c r="T180" s="151">
        <v>0</v>
      </c>
      <c r="U180" s="151">
        <v>522.5</v>
      </c>
      <c r="V180" s="15" t="s">
        <v>640</v>
      </c>
      <c r="W180" s="22">
        <v>0</v>
      </c>
      <c r="X180" s="149">
        <v>0</v>
      </c>
      <c r="Y180" s="15"/>
      <c r="Z180" s="151">
        <v>0</v>
      </c>
      <c r="AA180" s="151">
        <f>K180-U180-T180</f>
        <v>0</v>
      </c>
      <c r="AB180" s="19" t="s">
        <v>6</v>
      </c>
      <c r="AC180" s="30">
        <v>0</v>
      </c>
      <c r="AD180" s="162">
        <v>0</v>
      </c>
      <c r="AE180" s="162">
        <v>0</v>
      </c>
      <c r="AF180" s="162">
        <v>0</v>
      </c>
      <c r="AG180" s="162">
        <v>0</v>
      </c>
      <c r="AH180" s="162">
        <v>0</v>
      </c>
      <c r="AI180" s="162">
        <v>0</v>
      </c>
      <c r="AJ180" s="162">
        <v>0</v>
      </c>
    </row>
    <row r="181" spans="1:36" x14ac:dyDescent="0.25">
      <c r="A181" s="15" t="s">
        <v>799</v>
      </c>
      <c r="B181" s="15"/>
      <c r="C181" s="141">
        <v>45321</v>
      </c>
      <c r="D181" s="141">
        <v>45321</v>
      </c>
      <c r="E181">
        <f>Tabela4[[#This Row],[DATA FATURAMENTO]]-Tabela4[[#This Row],[DATA ORÇAMENTO]]</f>
        <v>0</v>
      </c>
      <c r="F181" s="15">
        <v>10471</v>
      </c>
      <c r="G181" s="15" t="s">
        <v>22</v>
      </c>
      <c r="H181" s="15"/>
      <c r="I181" s="151">
        <v>454.9</v>
      </c>
      <c r="J181" s="151">
        <v>345.1</v>
      </c>
      <c r="K181" s="150">
        <f>Tabela4[[#This Row],[PECAS]]+Tabela4[[#This Row],[SERVICOS]]</f>
        <v>800</v>
      </c>
      <c r="L181" s="151">
        <v>0</v>
      </c>
      <c r="M181" s="151">
        <v>0</v>
      </c>
      <c r="N181" s="24"/>
      <c r="O181" s="151">
        <v>0</v>
      </c>
      <c r="P181" s="151">
        <v>0</v>
      </c>
      <c r="Q181" s="151">
        <v>0</v>
      </c>
      <c r="R181" s="151">
        <v>0</v>
      </c>
      <c r="S181" s="149">
        <v>165.1</v>
      </c>
      <c r="T181" s="151">
        <v>0</v>
      </c>
      <c r="U181" s="151">
        <v>0</v>
      </c>
      <c r="V181" s="15"/>
      <c r="W181" s="22">
        <v>5</v>
      </c>
      <c r="X181" s="149">
        <v>0</v>
      </c>
      <c r="Y181" s="15" t="s">
        <v>659</v>
      </c>
      <c r="Z181" s="151">
        <v>0</v>
      </c>
      <c r="AA181" s="149">
        <f>Tabela4[[#This Row],[VALOR]]-Tabela4[[#This Row],[PNEUS]]-Tabela4[[#This Row],[BATERIA]]</f>
        <v>800</v>
      </c>
      <c r="AB181" s="19" t="s">
        <v>34</v>
      </c>
      <c r="AC181" s="30">
        <v>0</v>
      </c>
      <c r="AD181" s="162">
        <v>0</v>
      </c>
      <c r="AE181" s="162">
        <v>0</v>
      </c>
      <c r="AF181" s="162">
        <v>0</v>
      </c>
      <c r="AG181" s="162">
        <v>0</v>
      </c>
      <c r="AH181" s="162">
        <v>0</v>
      </c>
      <c r="AI181" s="162">
        <v>0</v>
      </c>
      <c r="AJ181" s="162">
        <v>0</v>
      </c>
    </row>
    <row r="182" spans="1:36" x14ac:dyDescent="0.25">
      <c r="A182" s="15" t="s">
        <v>800</v>
      </c>
      <c r="B182" s="15"/>
      <c r="C182" s="141">
        <v>45321</v>
      </c>
      <c r="D182" s="141">
        <v>45321</v>
      </c>
      <c r="E182">
        <f>Tabela4[[#This Row],[DATA FATURAMENTO]]-Tabela4[[#This Row],[DATA ORÇAMENTO]]</f>
        <v>0</v>
      </c>
      <c r="F182" s="15">
        <v>10473</v>
      </c>
      <c r="G182" s="15" t="s">
        <v>22</v>
      </c>
      <c r="H182" s="15"/>
      <c r="I182" s="151">
        <v>260</v>
      </c>
      <c r="J182" s="151">
        <v>0</v>
      </c>
      <c r="K182" s="150">
        <f>Tabela4[[#This Row],[PECAS]]+Tabela4[[#This Row],[SERVICOS]]</f>
        <v>260</v>
      </c>
      <c r="L182" s="151">
        <v>0</v>
      </c>
      <c r="M182" s="151">
        <v>0</v>
      </c>
      <c r="N182" s="24"/>
      <c r="O182" s="151">
        <v>0</v>
      </c>
      <c r="P182" s="151">
        <v>0</v>
      </c>
      <c r="Q182" s="151">
        <v>0</v>
      </c>
      <c r="R182" s="151">
        <v>0</v>
      </c>
      <c r="S182" s="149">
        <v>0</v>
      </c>
      <c r="T182" s="151">
        <v>0</v>
      </c>
      <c r="U182" s="151">
        <v>0</v>
      </c>
      <c r="V182" s="15"/>
      <c r="W182" s="22">
        <v>4</v>
      </c>
      <c r="X182" s="149">
        <v>0</v>
      </c>
      <c r="Y182" s="15" t="s">
        <v>638</v>
      </c>
      <c r="Z182" s="151">
        <v>0</v>
      </c>
      <c r="AA182" s="151">
        <f>K182-U182-T182</f>
        <v>260</v>
      </c>
      <c r="AB182" s="19" t="s">
        <v>32</v>
      </c>
      <c r="AC182" s="30">
        <v>0</v>
      </c>
      <c r="AD182" s="162">
        <v>0</v>
      </c>
      <c r="AE182" s="162">
        <v>0</v>
      </c>
      <c r="AF182" s="162">
        <v>0</v>
      </c>
      <c r="AG182" s="162">
        <v>0</v>
      </c>
      <c r="AH182" s="162">
        <v>0</v>
      </c>
      <c r="AI182" s="162">
        <v>0</v>
      </c>
      <c r="AJ182" s="162">
        <v>0</v>
      </c>
    </row>
    <row r="183" spans="1:36" x14ac:dyDescent="0.25">
      <c r="A183" s="15" t="s">
        <v>801</v>
      </c>
      <c r="B183" s="15"/>
      <c r="C183" s="141">
        <v>45321</v>
      </c>
      <c r="D183" s="141">
        <v>45321</v>
      </c>
      <c r="E183">
        <f>Tabela4[[#This Row],[DATA FATURAMENTO]]-Tabela4[[#This Row],[DATA ORÇAMENTO]]</f>
        <v>0</v>
      </c>
      <c r="F183" s="15">
        <v>10476</v>
      </c>
      <c r="G183" s="15" t="s">
        <v>6</v>
      </c>
      <c r="H183" s="15"/>
      <c r="I183" s="151">
        <v>1152.8</v>
      </c>
      <c r="J183" s="151">
        <v>0</v>
      </c>
      <c r="K183" s="150">
        <f>Tabela4[[#This Row],[PECAS]]+Tabela4[[#This Row],[SERVICOS]]</f>
        <v>1152.8</v>
      </c>
      <c r="L183" s="151">
        <v>0</v>
      </c>
      <c r="M183" s="151">
        <v>0</v>
      </c>
      <c r="N183" s="24"/>
      <c r="O183" s="151">
        <v>0</v>
      </c>
      <c r="P183" s="151">
        <v>0</v>
      </c>
      <c r="Q183" s="151">
        <v>0</v>
      </c>
      <c r="R183" s="151">
        <v>0</v>
      </c>
      <c r="S183" s="149">
        <v>0</v>
      </c>
      <c r="T183" s="151">
        <v>0</v>
      </c>
      <c r="U183" s="151">
        <v>1152.8</v>
      </c>
      <c r="V183" s="15" t="s">
        <v>642</v>
      </c>
      <c r="W183" s="22">
        <v>0</v>
      </c>
      <c r="X183" s="149">
        <v>0</v>
      </c>
      <c r="Y183" s="15"/>
      <c r="Z183" s="151">
        <v>0</v>
      </c>
      <c r="AA183" s="151">
        <f>K183-U183-T183</f>
        <v>0</v>
      </c>
      <c r="AB183" s="19" t="s">
        <v>6</v>
      </c>
      <c r="AC183" s="30">
        <v>0</v>
      </c>
      <c r="AD183" s="162">
        <v>0</v>
      </c>
      <c r="AE183" s="162">
        <v>0</v>
      </c>
      <c r="AF183" s="162">
        <v>0</v>
      </c>
      <c r="AG183" s="162">
        <v>0</v>
      </c>
      <c r="AH183" s="162">
        <v>0</v>
      </c>
      <c r="AI183" s="162">
        <v>0</v>
      </c>
      <c r="AJ183" s="162">
        <v>0</v>
      </c>
    </row>
    <row r="184" spans="1:36" x14ac:dyDescent="0.25">
      <c r="A184" s="15" t="s">
        <v>211</v>
      </c>
      <c r="B184" s="15"/>
      <c r="C184" s="141">
        <v>45321</v>
      </c>
      <c r="D184" s="141">
        <v>45321</v>
      </c>
      <c r="E184">
        <f>Tabela4[[#This Row],[DATA FATURAMENTO]]-Tabela4[[#This Row],[DATA ORÇAMENTO]]</f>
        <v>0</v>
      </c>
      <c r="F184" s="15">
        <v>10477</v>
      </c>
      <c r="G184" s="15" t="s">
        <v>35</v>
      </c>
      <c r="H184" s="15"/>
      <c r="I184" s="151">
        <v>0</v>
      </c>
      <c r="J184" s="151">
        <v>90</v>
      </c>
      <c r="K184" s="150">
        <f>Tabela4[[#This Row],[PECAS]]+Tabela4[[#This Row],[SERVICOS]]</f>
        <v>90</v>
      </c>
      <c r="L184" s="151">
        <v>0</v>
      </c>
      <c r="M184" s="151">
        <v>0</v>
      </c>
      <c r="N184" s="24"/>
      <c r="O184" s="151">
        <v>0</v>
      </c>
      <c r="P184" s="151">
        <v>0</v>
      </c>
      <c r="Q184" s="151">
        <v>0</v>
      </c>
      <c r="R184" s="151">
        <v>0</v>
      </c>
      <c r="S184" s="149">
        <v>0</v>
      </c>
      <c r="T184" s="151">
        <v>0</v>
      </c>
      <c r="U184" s="151">
        <v>0</v>
      </c>
      <c r="V184" s="15"/>
      <c r="W184" s="22">
        <v>0</v>
      </c>
      <c r="X184" s="149">
        <v>0</v>
      </c>
      <c r="Y184" s="15"/>
      <c r="Z184" s="151">
        <v>0</v>
      </c>
      <c r="AA184" s="149">
        <f>Tabela4[[#This Row],[VALOR]]-Tabela4[[#This Row],[PNEUS]]-Tabela4[[#This Row],[BATERIA]]</f>
        <v>90</v>
      </c>
      <c r="AB184" s="19" t="s">
        <v>24</v>
      </c>
      <c r="AC184" s="30">
        <v>0</v>
      </c>
      <c r="AD184" s="162">
        <v>0</v>
      </c>
      <c r="AE184" s="162">
        <v>0</v>
      </c>
      <c r="AF184" s="162">
        <v>0</v>
      </c>
      <c r="AG184" s="162">
        <v>0</v>
      </c>
      <c r="AH184" s="162">
        <v>0</v>
      </c>
      <c r="AI184" s="162">
        <v>0</v>
      </c>
      <c r="AJ184" s="162">
        <v>0</v>
      </c>
    </row>
    <row r="185" spans="1:36" x14ac:dyDescent="0.25">
      <c r="A185" s="15" t="s">
        <v>483</v>
      </c>
      <c r="B185" s="15"/>
      <c r="C185" s="141">
        <v>45321</v>
      </c>
      <c r="D185" s="141">
        <v>45321</v>
      </c>
      <c r="E185">
        <f>Tabela4[[#This Row],[DATA FATURAMENTO]]-Tabela4[[#This Row],[DATA ORÇAMENTO]]</f>
        <v>0</v>
      </c>
      <c r="F185" s="15">
        <v>10478</v>
      </c>
      <c r="G185" s="15" t="s">
        <v>22</v>
      </c>
      <c r="H185" s="15"/>
      <c r="I185" s="151">
        <v>780</v>
      </c>
      <c r="J185" s="151">
        <v>160</v>
      </c>
      <c r="K185" s="150">
        <f>Tabela4[[#This Row],[PECAS]]+Tabela4[[#This Row],[SERVICOS]]</f>
        <v>940</v>
      </c>
      <c r="L185" s="151">
        <v>0</v>
      </c>
      <c r="M185" s="151">
        <v>0</v>
      </c>
      <c r="N185" s="24"/>
      <c r="O185" s="151">
        <v>0</v>
      </c>
      <c r="P185" s="151">
        <v>0</v>
      </c>
      <c r="Q185" s="151">
        <v>0</v>
      </c>
      <c r="R185" s="151">
        <v>0</v>
      </c>
      <c r="S185" s="149">
        <v>0</v>
      </c>
      <c r="T185" s="151">
        <v>0</v>
      </c>
      <c r="U185" s="151">
        <v>0</v>
      </c>
      <c r="V185" s="15"/>
      <c r="W185" s="22">
        <v>0</v>
      </c>
      <c r="X185" s="149">
        <v>0</v>
      </c>
      <c r="Y185" s="15"/>
      <c r="Z185" s="151">
        <v>0</v>
      </c>
      <c r="AA185" s="149">
        <f>Tabela4[[#This Row],[VALOR]]-Tabela4[[#This Row],[PNEUS]]-Tabela4[[#This Row],[BATERIA]]</f>
        <v>940</v>
      </c>
      <c r="AB185" s="19" t="s">
        <v>30</v>
      </c>
      <c r="AC185" s="30">
        <v>0</v>
      </c>
      <c r="AD185" s="162">
        <v>0</v>
      </c>
      <c r="AE185" s="162">
        <v>0</v>
      </c>
      <c r="AF185" s="162">
        <v>0</v>
      </c>
      <c r="AG185" s="162">
        <v>0</v>
      </c>
      <c r="AH185" s="162">
        <v>0</v>
      </c>
      <c r="AI185" s="162">
        <v>0</v>
      </c>
      <c r="AJ185" s="162">
        <v>0</v>
      </c>
    </row>
    <row r="186" spans="1:36" x14ac:dyDescent="0.25">
      <c r="A186" s="15" t="s">
        <v>524</v>
      </c>
      <c r="B186" s="15"/>
      <c r="C186" s="141">
        <v>45320</v>
      </c>
      <c r="D186" s="141">
        <v>45321</v>
      </c>
      <c r="E186">
        <f>Tabela4[[#This Row],[DATA FATURAMENTO]]-Tabela4[[#This Row],[DATA ORÇAMENTO]]</f>
        <v>1</v>
      </c>
      <c r="F186" s="15">
        <v>10466</v>
      </c>
      <c r="G186" s="15" t="s">
        <v>6</v>
      </c>
      <c r="H186" s="15"/>
      <c r="I186" s="151">
        <v>522.5</v>
      </c>
      <c r="J186" s="151">
        <v>0</v>
      </c>
      <c r="K186" s="153">
        <f>Tabela4[[#This Row],[PECAS]]+Tabela4[[#This Row],[SERVICOS]]</f>
        <v>522.5</v>
      </c>
      <c r="L186" s="151">
        <v>0</v>
      </c>
      <c r="M186" s="151">
        <v>0</v>
      </c>
      <c r="N186" s="24"/>
      <c r="O186" s="151">
        <v>0</v>
      </c>
      <c r="P186" s="151">
        <v>0</v>
      </c>
      <c r="Q186" s="151">
        <v>0</v>
      </c>
      <c r="R186" s="151">
        <v>0</v>
      </c>
      <c r="S186" s="149">
        <v>0</v>
      </c>
      <c r="T186" s="151">
        <v>0</v>
      </c>
      <c r="U186" s="151">
        <v>522.5</v>
      </c>
      <c r="V186" s="15" t="s">
        <v>707</v>
      </c>
      <c r="W186" s="22">
        <v>0</v>
      </c>
      <c r="X186" s="149">
        <v>0</v>
      </c>
      <c r="Y186" s="15"/>
      <c r="Z186" s="151">
        <v>0</v>
      </c>
      <c r="AA186" s="149">
        <f>Tabela4[[#This Row],[VALOR]]-Tabela4[[#This Row],[PNEUS]]-Tabela4[[#This Row],[BATERIA]]</f>
        <v>0</v>
      </c>
      <c r="AB186" s="19" t="s">
        <v>6</v>
      </c>
      <c r="AC186" s="30">
        <v>0</v>
      </c>
      <c r="AD186" s="162">
        <v>0</v>
      </c>
      <c r="AE186" s="162">
        <v>0</v>
      </c>
      <c r="AF186" s="162">
        <v>0</v>
      </c>
      <c r="AG186" s="162">
        <v>0</v>
      </c>
      <c r="AH186" s="162">
        <v>0</v>
      </c>
      <c r="AI186" s="162">
        <v>0</v>
      </c>
      <c r="AJ186" s="162">
        <v>0</v>
      </c>
    </row>
    <row r="187" spans="1:36" x14ac:dyDescent="0.25">
      <c r="A187" s="15" t="s">
        <v>802</v>
      </c>
      <c r="B187" s="15"/>
      <c r="C187" s="141">
        <v>45308</v>
      </c>
      <c r="D187" s="141">
        <v>45322</v>
      </c>
      <c r="E187">
        <f>Tabela4[[#This Row],[DATA FATURAMENTO]]-Tabela4[[#This Row],[DATA ORÇAMENTO]]</f>
        <v>14</v>
      </c>
      <c r="F187" s="15">
        <v>10339</v>
      </c>
      <c r="G187" s="15" t="s">
        <v>22</v>
      </c>
      <c r="H187" s="15"/>
      <c r="I187" s="151">
        <v>456.4</v>
      </c>
      <c r="J187" s="151">
        <v>0</v>
      </c>
      <c r="K187" s="150">
        <f>Tabela4[[#This Row],[PECAS]]+Tabela4[[#This Row],[SERVICOS]]</f>
        <v>456.4</v>
      </c>
      <c r="L187" s="151">
        <v>0</v>
      </c>
      <c r="M187" s="151">
        <v>0</v>
      </c>
      <c r="N187" s="24"/>
      <c r="O187" s="151">
        <v>0</v>
      </c>
      <c r="P187" s="151">
        <v>0</v>
      </c>
      <c r="Q187" s="151">
        <v>0</v>
      </c>
      <c r="R187" s="151">
        <v>0</v>
      </c>
      <c r="S187" s="149">
        <v>0</v>
      </c>
      <c r="T187" s="151">
        <v>0</v>
      </c>
      <c r="U187" s="151">
        <v>0</v>
      </c>
      <c r="V187" s="15"/>
      <c r="W187" s="22">
        <v>4</v>
      </c>
      <c r="X187" s="149">
        <v>0</v>
      </c>
      <c r="Y187" s="15" t="s">
        <v>635</v>
      </c>
      <c r="Z187" s="151">
        <v>0</v>
      </c>
      <c r="AA187" s="151">
        <f>K187-U187-T187</f>
        <v>456.4</v>
      </c>
      <c r="AB187" s="19" t="s">
        <v>27</v>
      </c>
      <c r="AC187" s="30">
        <v>0</v>
      </c>
      <c r="AD187" s="162">
        <v>0</v>
      </c>
      <c r="AE187" s="162">
        <v>0</v>
      </c>
      <c r="AF187" s="162">
        <v>0</v>
      </c>
      <c r="AG187" s="162">
        <v>0</v>
      </c>
      <c r="AH187" s="162">
        <v>0</v>
      </c>
      <c r="AI187" s="162">
        <v>0</v>
      </c>
      <c r="AJ187" s="162">
        <v>0</v>
      </c>
    </row>
    <row r="188" spans="1:36" x14ac:dyDescent="0.25">
      <c r="A188" s="15" t="s">
        <v>450</v>
      </c>
      <c r="B188" s="15"/>
      <c r="C188" s="141">
        <v>45320</v>
      </c>
      <c r="D188" s="141">
        <v>45322</v>
      </c>
      <c r="E188">
        <f>Tabela4[[#This Row],[DATA FATURAMENTO]]-Tabela4[[#This Row],[DATA ORÇAMENTO]]</f>
        <v>2</v>
      </c>
      <c r="F188" s="15">
        <v>10454</v>
      </c>
      <c r="G188" s="15" t="s">
        <v>35</v>
      </c>
      <c r="H188" s="15"/>
      <c r="I188" s="151">
        <v>2808</v>
      </c>
      <c r="J188" s="151">
        <v>400</v>
      </c>
      <c r="K188" s="150">
        <f>Tabela4[[#This Row],[PECAS]]+Tabela4[[#This Row],[SERVICOS]]</f>
        <v>3208</v>
      </c>
      <c r="L188" s="151">
        <v>0</v>
      </c>
      <c r="M188" s="151">
        <v>0</v>
      </c>
      <c r="N188" s="24"/>
      <c r="O188" s="151">
        <v>0</v>
      </c>
      <c r="P188" s="151">
        <v>0</v>
      </c>
      <c r="Q188" s="151">
        <v>0</v>
      </c>
      <c r="R188" s="151">
        <v>0</v>
      </c>
      <c r="S188" s="149">
        <v>80</v>
      </c>
      <c r="T188" s="151">
        <v>0</v>
      </c>
      <c r="U188" s="151">
        <v>0</v>
      </c>
      <c r="V188" s="15"/>
      <c r="W188" s="22">
        <v>4</v>
      </c>
      <c r="X188" s="149">
        <v>0</v>
      </c>
      <c r="Y188" s="15" t="s">
        <v>659</v>
      </c>
      <c r="Z188" s="151">
        <v>0</v>
      </c>
      <c r="AA188" s="149">
        <f>Tabela4[[#This Row],[VALOR]]-Tabela4[[#This Row],[PNEUS]]-Tabela4[[#This Row],[BATERIA]]</f>
        <v>3208</v>
      </c>
      <c r="AB188" s="19" t="s">
        <v>32</v>
      </c>
      <c r="AC188" s="30">
        <v>0</v>
      </c>
      <c r="AD188" s="162">
        <v>0</v>
      </c>
      <c r="AE188" s="162">
        <v>0</v>
      </c>
      <c r="AF188" s="162">
        <v>0</v>
      </c>
      <c r="AG188" s="162">
        <v>0</v>
      </c>
      <c r="AH188" s="162">
        <v>0</v>
      </c>
      <c r="AI188" s="162">
        <v>0</v>
      </c>
      <c r="AJ188" s="162">
        <v>0</v>
      </c>
    </row>
    <row r="189" spans="1:36" x14ac:dyDescent="0.25">
      <c r="A189" s="15" t="s">
        <v>803</v>
      </c>
      <c r="B189" s="15"/>
      <c r="C189" s="141">
        <v>45320</v>
      </c>
      <c r="D189" s="141">
        <v>45322</v>
      </c>
      <c r="E189">
        <f>Tabela4[[#This Row],[DATA FATURAMENTO]]-Tabela4[[#This Row],[DATA ORÇAMENTO]]</f>
        <v>2</v>
      </c>
      <c r="F189" s="15">
        <v>10465</v>
      </c>
      <c r="G189" s="15" t="s">
        <v>25</v>
      </c>
      <c r="H189" s="15"/>
      <c r="I189" s="151">
        <v>473.9</v>
      </c>
      <c r="J189" s="151">
        <v>16</v>
      </c>
      <c r="K189" s="150">
        <f>Tabela4[[#This Row],[PECAS]]+Tabela4[[#This Row],[SERVICOS]]</f>
        <v>489.9</v>
      </c>
      <c r="L189" s="151">
        <v>0</v>
      </c>
      <c r="M189" s="151">
        <v>0</v>
      </c>
      <c r="N189" s="24"/>
      <c r="O189" s="151">
        <v>0</v>
      </c>
      <c r="P189" s="151">
        <v>0</v>
      </c>
      <c r="Q189" s="151">
        <v>0</v>
      </c>
      <c r="R189" s="151">
        <v>0</v>
      </c>
      <c r="S189" s="149">
        <v>0</v>
      </c>
      <c r="T189" s="151">
        <v>0</v>
      </c>
      <c r="U189" s="151">
        <v>473.9</v>
      </c>
      <c r="V189" s="15" t="s">
        <v>653</v>
      </c>
      <c r="W189" s="22">
        <v>0</v>
      </c>
      <c r="X189" s="149">
        <v>0</v>
      </c>
      <c r="Y189" s="15"/>
      <c r="Z189" s="151">
        <v>0</v>
      </c>
      <c r="AA189" s="149">
        <f>Tabela4[[#This Row],[VALOR]]-Tabela4[[#This Row],[PNEUS]]-Tabela4[[#This Row],[BATERIA]]</f>
        <v>16</v>
      </c>
      <c r="AB189" s="19" t="s">
        <v>38</v>
      </c>
      <c r="AC189" s="30">
        <v>0</v>
      </c>
      <c r="AD189" s="162">
        <v>0</v>
      </c>
      <c r="AE189" s="162">
        <v>0</v>
      </c>
      <c r="AF189" s="162">
        <v>0</v>
      </c>
      <c r="AG189" s="162">
        <v>0</v>
      </c>
      <c r="AH189" s="162">
        <v>0</v>
      </c>
      <c r="AI189" s="162">
        <v>0</v>
      </c>
      <c r="AJ189" s="162">
        <v>0</v>
      </c>
    </row>
    <row r="190" spans="1:36" x14ac:dyDescent="0.25">
      <c r="A190" s="15" t="s">
        <v>556</v>
      </c>
      <c r="B190" s="15"/>
      <c r="C190" s="141">
        <v>45322</v>
      </c>
      <c r="D190" s="141">
        <v>45322</v>
      </c>
      <c r="E190">
        <f>Tabela4[[#This Row],[DATA FATURAMENTO]]-Tabela4[[#This Row],[DATA ORÇAMENTO]]</f>
        <v>0</v>
      </c>
      <c r="F190" s="15">
        <v>10489</v>
      </c>
      <c r="G190" s="15" t="s">
        <v>22</v>
      </c>
      <c r="H190" s="15"/>
      <c r="I190" s="151">
        <v>304.7</v>
      </c>
      <c r="J190" s="151">
        <v>0</v>
      </c>
      <c r="K190" s="150">
        <f>Tabela4[[#This Row],[PECAS]]+Tabela4[[#This Row],[SERVICOS]]</f>
        <v>304.7</v>
      </c>
      <c r="L190" s="151">
        <v>0</v>
      </c>
      <c r="M190" s="151">
        <v>0</v>
      </c>
      <c r="N190" s="24"/>
      <c r="O190" s="151">
        <v>0</v>
      </c>
      <c r="P190" s="151">
        <v>0</v>
      </c>
      <c r="Q190" s="151">
        <v>0</v>
      </c>
      <c r="R190" s="151">
        <v>0</v>
      </c>
      <c r="S190" s="149">
        <v>0</v>
      </c>
      <c r="T190" s="151">
        <v>0</v>
      </c>
      <c r="U190" s="151">
        <v>0</v>
      </c>
      <c r="V190" s="15"/>
      <c r="W190" s="22">
        <v>3</v>
      </c>
      <c r="X190" s="149">
        <v>0</v>
      </c>
      <c r="Y190" s="15" t="s">
        <v>638</v>
      </c>
      <c r="Z190" s="151">
        <v>0</v>
      </c>
      <c r="AA190" s="151">
        <f>K190-U190-T190</f>
        <v>304.7</v>
      </c>
      <c r="AB190" s="19" t="s">
        <v>30</v>
      </c>
      <c r="AC190" s="30">
        <v>0</v>
      </c>
      <c r="AD190" s="162">
        <v>0</v>
      </c>
      <c r="AE190" s="162">
        <v>0</v>
      </c>
      <c r="AF190" s="162">
        <v>0</v>
      </c>
      <c r="AG190" s="162">
        <v>0</v>
      </c>
      <c r="AH190" s="162">
        <v>0</v>
      </c>
      <c r="AI190" s="162">
        <v>0</v>
      </c>
      <c r="AJ190" s="162">
        <v>0</v>
      </c>
    </row>
    <row r="191" spans="1:36" x14ac:dyDescent="0.25">
      <c r="A191" s="15" t="s">
        <v>449</v>
      </c>
      <c r="B191" s="15"/>
      <c r="C191" s="141">
        <v>45321</v>
      </c>
      <c r="D191" s="141">
        <v>45323</v>
      </c>
      <c r="E191">
        <f>Tabela4[[#This Row],[DATA FATURAMENTO]]-Tabela4[[#This Row],[DATA ORÇAMENTO]]</f>
        <v>2</v>
      </c>
      <c r="F191" s="15">
        <v>10475</v>
      </c>
      <c r="G191" s="15" t="s">
        <v>35</v>
      </c>
      <c r="H191" s="15"/>
      <c r="I191" s="149">
        <v>2140</v>
      </c>
      <c r="J191" s="149">
        <v>1483.56</v>
      </c>
      <c r="K191" s="153">
        <f>Tabela4[[#This Row],[PECAS]]+Tabela4[[#This Row],[SERVICOS]]</f>
        <v>3623.56</v>
      </c>
      <c r="L191" s="149">
        <v>0</v>
      </c>
      <c r="M191" s="149">
        <f>116.4+25.6+103.5</f>
        <v>245.5</v>
      </c>
      <c r="N191" s="22"/>
      <c r="O191" s="149">
        <v>0</v>
      </c>
      <c r="P191" s="149">
        <v>0</v>
      </c>
      <c r="Q191" s="149">
        <v>0</v>
      </c>
      <c r="R191" s="149">
        <v>0</v>
      </c>
      <c r="S191" s="149">
        <v>0</v>
      </c>
      <c r="T191" s="149">
        <v>0</v>
      </c>
      <c r="U191" s="149">
        <v>0</v>
      </c>
      <c r="V191" s="15"/>
      <c r="W191" s="22">
        <v>0</v>
      </c>
      <c r="X191" s="149">
        <v>0</v>
      </c>
      <c r="Y191" s="15"/>
      <c r="Z191" s="149">
        <v>0</v>
      </c>
      <c r="AA191" s="149">
        <f>Tabela4[[#This Row],[VALOR]]-Tabela4[[#This Row],[PNEUS]]-Tabela4[[#This Row],[BATERIA]]</f>
        <v>3623.56</v>
      </c>
      <c r="AB191" s="19" t="s">
        <v>24</v>
      </c>
      <c r="AC191" s="30">
        <v>0</v>
      </c>
      <c r="AD191" s="162">
        <v>0</v>
      </c>
      <c r="AE191" s="162">
        <v>0</v>
      </c>
      <c r="AF191" s="162">
        <v>0</v>
      </c>
      <c r="AG191" s="162">
        <v>0</v>
      </c>
      <c r="AH191" s="162">
        <v>0</v>
      </c>
      <c r="AI191" s="162">
        <v>0</v>
      </c>
      <c r="AJ191" s="162">
        <v>0</v>
      </c>
    </row>
    <row r="192" spans="1:36" x14ac:dyDescent="0.25">
      <c r="A192" s="15" t="s">
        <v>450</v>
      </c>
      <c r="B192" s="15"/>
      <c r="C192" s="141">
        <v>45323</v>
      </c>
      <c r="D192" s="141">
        <v>45323</v>
      </c>
      <c r="E192">
        <f>Tabela4[[#This Row],[DATA FATURAMENTO]]-Tabela4[[#This Row],[DATA ORÇAMENTO]]</f>
        <v>0</v>
      </c>
      <c r="F192" s="15">
        <v>10489</v>
      </c>
      <c r="G192" s="15" t="s">
        <v>35</v>
      </c>
      <c r="H192" s="15"/>
      <c r="I192" s="149">
        <v>312.8</v>
      </c>
      <c r="J192" s="149">
        <v>113.2</v>
      </c>
      <c r="K192" s="150">
        <f>Tabela4[[#This Row],[PECAS]]+Tabela4[[#This Row],[SERVICOS]]</f>
        <v>426</v>
      </c>
      <c r="L192" s="149">
        <v>0</v>
      </c>
      <c r="M192" s="149">
        <f>116.4+12.4+113.2</f>
        <v>242</v>
      </c>
      <c r="N192" s="22"/>
      <c r="O192" s="149">
        <v>0</v>
      </c>
      <c r="P192" s="149">
        <f>138+46</f>
        <v>184</v>
      </c>
      <c r="Q192" s="149">
        <v>0</v>
      </c>
      <c r="R192" s="149">
        <v>0</v>
      </c>
      <c r="S192" s="149">
        <v>0</v>
      </c>
      <c r="T192" s="149">
        <v>0</v>
      </c>
      <c r="U192" s="149">
        <v>0</v>
      </c>
      <c r="V192" s="15"/>
      <c r="W192" s="22">
        <v>0</v>
      </c>
      <c r="X192" s="149">
        <v>0</v>
      </c>
      <c r="Y192" s="15"/>
      <c r="Z192" s="149"/>
      <c r="AA192" s="149">
        <f>Tabela4[[#This Row],[VALOR]]-Tabela4[[#This Row],[PNEUS]]-Tabela4[[#This Row],[BATERIA]]</f>
        <v>426</v>
      </c>
      <c r="AB192" s="19" t="s">
        <v>34</v>
      </c>
      <c r="AC192" s="30">
        <v>0</v>
      </c>
      <c r="AD192" s="162">
        <v>0</v>
      </c>
      <c r="AE192" s="162">
        <v>0</v>
      </c>
      <c r="AF192" s="162">
        <v>0</v>
      </c>
      <c r="AG192" s="162">
        <v>0</v>
      </c>
      <c r="AH192" s="162">
        <v>0</v>
      </c>
      <c r="AI192" s="162">
        <v>0</v>
      </c>
      <c r="AJ192" s="162">
        <v>0</v>
      </c>
    </row>
    <row r="193" spans="1:36" x14ac:dyDescent="0.25">
      <c r="A193" s="15" t="s">
        <v>451</v>
      </c>
      <c r="B193" s="15"/>
      <c r="C193" s="141">
        <v>45323</v>
      </c>
      <c r="D193" s="141">
        <v>45323</v>
      </c>
      <c r="E193">
        <f>Tabela4[[#This Row],[DATA FATURAMENTO]]-Tabela4[[#This Row],[DATA ORÇAMENTO]]</f>
        <v>0</v>
      </c>
      <c r="F193" s="15">
        <v>10509</v>
      </c>
      <c r="G193" s="15" t="s">
        <v>35</v>
      </c>
      <c r="H193" s="15"/>
      <c r="I193" s="149">
        <v>0</v>
      </c>
      <c r="J193" s="149">
        <v>235</v>
      </c>
      <c r="K193" s="150">
        <f>Tabela4[[#This Row],[PECAS]]+Tabela4[[#This Row],[SERVICOS]]</f>
        <v>235</v>
      </c>
      <c r="L193" s="149">
        <v>0</v>
      </c>
      <c r="M193" s="149">
        <v>0</v>
      </c>
      <c r="N193" s="22"/>
      <c r="O193" s="149">
        <v>0</v>
      </c>
      <c r="P193" s="149">
        <v>0</v>
      </c>
      <c r="Q193" s="149">
        <v>0</v>
      </c>
      <c r="R193" s="149">
        <v>0</v>
      </c>
      <c r="S193" s="149">
        <v>0</v>
      </c>
      <c r="T193" s="149">
        <v>0</v>
      </c>
      <c r="U193" s="149">
        <v>0</v>
      </c>
      <c r="V193" s="15"/>
      <c r="W193" s="22">
        <v>0</v>
      </c>
      <c r="X193" s="149">
        <v>0</v>
      </c>
      <c r="Y193" s="15"/>
      <c r="Z193" s="149"/>
      <c r="AA193" s="149">
        <f>Tabela4[[#This Row],[VALOR]]-Tabela4[[#This Row],[PNEUS]]-Tabela4[[#This Row],[BATERIA]]</f>
        <v>235</v>
      </c>
      <c r="AB193" s="19" t="s">
        <v>32</v>
      </c>
      <c r="AC193" s="30">
        <v>0</v>
      </c>
      <c r="AD193" s="162">
        <v>0</v>
      </c>
      <c r="AE193" s="162">
        <v>0</v>
      </c>
      <c r="AF193" s="162">
        <v>0</v>
      </c>
      <c r="AG193" s="162">
        <v>0</v>
      </c>
      <c r="AH193" s="162">
        <v>0</v>
      </c>
      <c r="AI193" s="162">
        <v>0</v>
      </c>
      <c r="AJ193" s="162">
        <v>0</v>
      </c>
    </row>
    <row r="194" spans="1:36" x14ac:dyDescent="0.25">
      <c r="A194" s="15" t="s">
        <v>452</v>
      </c>
      <c r="B194" s="15"/>
      <c r="C194" s="141">
        <v>45301</v>
      </c>
      <c r="D194" s="141">
        <v>45324</v>
      </c>
      <c r="E194">
        <f>Tabela4[[#This Row],[DATA FATURAMENTO]]-Tabela4[[#This Row],[DATA ORÇAMENTO]]</f>
        <v>23</v>
      </c>
      <c r="F194" s="15">
        <v>10266</v>
      </c>
      <c r="G194" s="15" t="s">
        <v>25</v>
      </c>
      <c r="H194" s="15"/>
      <c r="I194" s="149">
        <v>3136.77</v>
      </c>
      <c r="J194" s="149">
        <v>1278.2</v>
      </c>
      <c r="K194" s="150">
        <f>Tabela4[[#This Row],[PECAS]]+Tabela4[[#This Row],[SERVICOS]]</f>
        <v>4414.97</v>
      </c>
      <c r="L194" s="149">
        <v>0</v>
      </c>
      <c r="M194" s="149">
        <v>0</v>
      </c>
      <c r="N194" s="22"/>
      <c r="O194" s="149">
        <v>124</v>
      </c>
      <c r="P194" s="149">
        <v>0</v>
      </c>
      <c r="Q194" s="149">
        <v>100</v>
      </c>
      <c r="R194" s="149">
        <v>0</v>
      </c>
      <c r="S194" s="149">
        <v>124.33</v>
      </c>
      <c r="T194" s="149">
        <v>1159.8</v>
      </c>
      <c r="U194" s="149">
        <v>0</v>
      </c>
      <c r="V194" s="15"/>
      <c r="W194" s="15">
        <v>3</v>
      </c>
      <c r="X194" s="149">
        <v>0</v>
      </c>
      <c r="Y194" s="15" t="s">
        <v>654</v>
      </c>
      <c r="Z194" s="149">
        <v>0</v>
      </c>
      <c r="AA194" s="149">
        <f>Tabela4[[#This Row],[VALOR]]-Tabela4[[#This Row],[PNEUS]]-Tabela4[[#This Row],[BATERIA]]</f>
        <v>3255.17</v>
      </c>
      <c r="AB194" s="19" t="s">
        <v>32</v>
      </c>
      <c r="AC194" s="30">
        <v>0</v>
      </c>
      <c r="AD194" s="162">
        <v>0</v>
      </c>
      <c r="AE194" s="162">
        <v>0</v>
      </c>
      <c r="AF194" s="162">
        <v>0</v>
      </c>
      <c r="AG194" s="162">
        <v>0</v>
      </c>
      <c r="AH194" s="162">
        <v>0</v>
      </c>
      <c r="AI194" s="162">
        <v>0</v>
      </c>
      <c r="AJ194" s="162">
        <v>0</v>
      </c>
    </row>
    <row r="195" spans="1:36" x14ac:dyDescent="0.25">
      <c r="A195" s="15" t="s">
        <v>453</v>
      </c>
      <c r="B195" s="15"/>
      <c r="C195" s="141">
        <v>45324</v>
      </c>
      <c r="D195" s="141">
        <v>45324</v>
      </c>
      <c r="E195">
        <f>Tabela4[[#This Row],[DATA FATURAMENTO]]-Tabela4[[#This Row],[DATA ORÇAMENTO]]</f>
        <v>0</v>
      </c>
      <c r="F195" s="15">
        <v>10517</v>
      </c>
      <c r="G195" s="15" t="s">
        <v>35</v>
      </c>
      <c r="H195" s="15"/>
      <c r="I195" s="149">
        <v>174</v>
      </c>
      <c r="J195" s="149">
        <v>290</v>
      </c>
      <c r="K195" s="150">
        <f>Tabela4[[#This Row],[PECAS]]+Tabela4[[#This Row],[SERVICOS]]</f>
        <v>464</v>
      </c>
      <c r="L195" s="149">
        <v>0</v>
      </c>
      <c r="M195" s="149">
        <v>0</v>
      </c>
      <c r="N195" s="22"/>
      <c r="O195" s="149">
        <v>0</v>
      </c>
      <c r="P195" s="149">
        <v>0</v>
      </c>
      <c r="Q195" s="149">
        <v>0</v>
      </c>
      <c r="R195" s="149">
        <v>0</v>
      </c>
      <c r="S195" s="149">
        <v>0</v>
      </c>
      <c r="T195" s="149">
        <v>0</v>
      </c>
      <c r="U195" s="149">
        <v>0</v>
      </c>
      <c r="V195" s="15"/>
      <c r="W195" s="22">
        <v>0</v>
      </c>
      <c r="X195" s="149">
        <v>0</v>
      </c>
      <c r="Y195" s="15"/>
      <c r="Z195" s="149"/>
      <c r="AA195" s="149">
        <f>Tabela4[[#This Row],[VALOR]]-Tabela4[[#This Row],[PNEUS]]-Tabela4[[#This Row],[BATERIA]]</f>
        <v>464</v>
      </c>
      <c r="AB195" s="19" t="s">
        <v>34</v>
      </c>
      <c r="AC195" s="30">
        <v>0</v>
      </c>
      <c r="AD195" s="162">
        <v>0</v>
      </c>
      <c r="AE195" s="162">
        <v>0</v>
      </c>
      <c r="AF195" s="162">
        <v>0</v>
      </c>
      <c r="AG195" s="162">
        <v>0</v>
      </c>
      <c r="AH195" s="162">
        <v>0</v>
      </c>
      <c r="AI195" s="162">
        <v>0</v>
      </c>
      <c r="AJ195" s="162">
        <v>0</v>
      </c>
    </row>
    <row r="196" spans="1:36" x14ac:dyDescent="0.25">
      <c r="A196" s="15" t="s">
        <v>454</v>
      </c>
      <c r="B196" s="15"/>
      <c r="C196" s="141">
        <v>45309</v>
      </c>
      <c r="D196" s="141">
        <v>45324</v>
      </c>
      <c r="E196">
        <f>Tabela4[[#This Row],[DATA FATURAMENTO]]-Tabela4[[#This Row],[DATA ORÇAMENTO]]</f>
        <v>15</v>
      </c>
      <c r="F196" s="15">
        <v>10353</v>
      </c>
      <c r="G196" s="15" t="s">
        <v>316</v>
      </c>
      <c r="H196" s="15"/>
      <c r="I196" s="149">
        <v>0</v>
      </c>
      <c r="J196" s="149">
        <v>140</v>
      </c>
      <c r="K196" s="150">
        <f>Tabela4[[#This Row],[PECAS]]+Tabela4[[#This Row],[SERVICOS]]</f>
        <v>140</v>
      </c>
      <c r="L196" s="149">
        <v>0</v>
      </c>
      <c r="M196" s="149">
        <v>0</v>
      </c>
      <c r="N196" s="22"/>
      <c r="O196" s="149">
        <v>0</v>
      </c>
      <c r="P196" s="149">
        <v>0</v>
      </c>
      <c r="Q196" s="149">
        <v>0</v>
      </c>
      <c r="R196" s="149">
        <v>0</v>
      </c>
      <c r="S196" s="149">
        <v>0</v>
      </c>
      <c r="T196" s="149">
        <v>0</v>
      </c>
      <c r="U196" s="149">
        <v>0</v>
      </c>
      <c r="V196" s="15"/>
      <c r="W196" s="22">
        <v>0</v>
      </c>
      <c r="X196" s="149">
        <v>0</v>
      </c>
      <c r="Y196" s="15"/>
      <c r="Z196" s="149">
        <v>0</v>
      </c>
      <c r="AA196" s="149">
        <f>Tabela4[[#This Row],[VALOR]]-Tabela4[[#This Row],[PNEUS]]-Tabela4[[#This Row],[BATERIA]]</f>
        <v>140</v>
      </c>
      <c r="AB196" s="19" t="s">
        <v>30</v>
      </c>
      <c r="AC196" s="30">
        <v>0</v>
      </c>
      <c r="AD196" s="162">
        <v>0</v>
      </c>
      <c r="AE196" s="162">
        <v>0</v>
      </c>
      <c r="AF196" s="162">
        <v>0</v>
      </c>
      <c r="AG196" s="162">
        <v>0</v>
      </c>
      <c r="AH196" s="162">
        <v>0</v>
      </c>
      <c r="AI196" s="162">
        <v>0</v>
      </c>
      <c r="AJ196" s="162">
        <v>0</v>
      </c>
    </row>
    <row r="197" spans="1:36" x14ac:dyDescent="0.25">
      <c r="A197" s="15" t="s">
        <v>455</v>
      </c>
      <c r="B197" s="15"/>
      <c r="C197" s="141">
        <v>45310</v>
      </c>
      <c r="D197" s="141">
        <v>45324</v>
      </c>
      <c r="E197">
        <f>Tabela4[[#This Row],[DATA FATURAMENTO]]-Tabela4[[#This Row],[DATA ORÇAMENTO]]</f>
        <v>14</v>
      </c>
      <c r="F197" s="15">
        <v>10368</v>
      </c>
      <c r="G197" s="15" t="s">
        <v>316</v>
      </c>
      <c r="H197" s="15"/>
      <c r="I197" s="149">
        <v>0</v>
      </c>
      <c r="J197" s="149">
        <v>70</v>
      </c>
      <c r="K197" s="150">
        <f>Tabela4[[#This Row],[PECAS]]+Tabela4[[#This Row],[SERVICOS]]</f>
        <v>70</v>
      </c>
      <c r="L197" s="149">
        <v>0</v>
      </c>
      <c r="M197" s="149">
        <v>0</v>
      </c>
      <c r="N197" s="22"/>
      <c r="O197" s="149">
        <v>0</v>
      </c>
      <c r="P197" s="149">
        <v>0</v>
      </c>
      <c r="Q197" s="149">
        <v>0</v>
      </c>
      <c r="R197" s="149">
        <v>0</v>
      </c>
      <c r="S197" s="149">
        <v>0</v>
      </c>
      <c r="T197" s="149">
        <v>0</v>
      </c>
      <c r="U197" s="149">
        <v>0</v>
      </c>
      <c r="V197" s="15"/>
      <c r="W197" s="22">
        <v>0</v>
      </c>
      <c r="X197" s="149">
        <v>0</v>
      </c>
      <c r="Y197" s="15"/>
      <c r="Z197" s="149"/>
      <c r="AA197" s="149">
        <f>Tabela4[[#This Row],[VALOR]]-Tabela4[[#This Row],[PNEUS]]-Tabela4[[#This Row],[BATERIA]]</f>
        <v>70</v>
      </c>
      <c r="AB197" s="19" t="s">
        <v>24</v>
      </c>
      <c r="AC197" s="30">
        <v>0</v>
      </c>
      <c r="AD197" s="162">
        <v>0</v>
      </c>
      <c r="AE197" s="162">
        <v>0</v>
      </c>
      <c r="AF197" s="162">
        <v>0</v>
      </c>
      <c r="AG197" s="162">
        <v>0</v>
      </c>
      <c r="AH197" s="162">
        <v>0</v>
      </c>
      <c r="AI197" s="162">
        <v>0</v>
      </c>
      <c r="AJ197" s="162">
        <v>0</v>
      </c>
    </row>
    <row r="198" spans="1:36" x14ac:dyDescent="0.25">
      <c r="A198" s="15" t="s">
        <v>456</v>
      </c>
      <c r="B198" s="15"/>
      <c r="C198" s="141">
        <v>45313</v>
      </c>
      <c r="D198" s="141">
        <v>45324</v>
      </c>
      <c r="E198">
        <f>Tabela4[[#This Row],[DATA FATURAMENTO]]-Tabela4[[#This Row],[DATA ORÇAMENTO]]</f>
        <v>11</v>
      </c>
      <c r="F198" s="15">
        <v>10389</v>
      </c>
      <c r="G198" s="15" t="s">
        <v>316</v>
      </c>
      <c r="H198" s="15"/>
      <c r="I198" s="149">
        <v>0</v>
      </c>
      <c r="J198" s="149">
        <v>70</v>
      </c>
      <c r="K198" s="150">
        <f>Tabela4[[#This Row],[PECAS]]+Tabela4[[#This Row],[SERVICOS]]</f>
        <v>70</v>
      </c>
      <c r="L198" s="149">
        <v>0</v>
      </c>
      <c r="M198" s="149">
        <v>0</v>
      </c>
      <c r="N198" s="22"/>
      <c r="O198" s="149">
        <v>0</v>
      </c>
      <c r="P198" s="149">
        <v>0</v>
      </c>
      <c r="Q198" s="149">
        <v>0</v>
      </c>
      <c r="R198" s="149">
        <v>0</v>
      </c>
      <c r="S198" s="149">
        <v>0</v>
      </c>
      <c r="T198" s="149">
        <v>0</v>
      </c>
      <c r="U198" s="149">
        <v>0</v>
      </c>
      <c r="V198" s="15"/>
      <c r="W198" s="22">
        <v>0</v>
      </c>
      <c r="X198" s="149">
        <v>0</v>
      </c>
      <c r="Y198" s="15"/>
      <c r="Z198" s="149"/>
      <c r="AA198" s="149">
        <f>Tabela4[[#This Row],[VALOR]]-Tabela4[[#This Row],[PNEUS]]-Tabela4[[#This Row],[BATERIA]]</f>
        <v>70</v>
      </c>
      <c r="AB198" s="19" t="s">
        <v>24</v>
      </c>
      <c r="AC198" s="30">
        <v>0</v>
      </c>
      <c r="AD198" s="162">
        <v>0</v>
      </c>
      <c r="AE198" s="162">
        <v>0</v>
      </c>
      <c r="AF198" s="162">
        <v>0</v>
      </c>
      <c r="AG198" s="162">
        <v>0</v>
      </c>
      <c r="AH198" s="162">
        <v>0</v>
      </c>
      <c r="AI198" s="162">
        <v>0</v>
      </c>
      <c r="AJ198" s="162">
        <v>0</v>
      </c>
    </row>
    <row r="199" spans="1:36" x14ac:dyDescent="0.25">
      <c r="A199" s="15" t="s">
        <v>457</v>
      </c>
      <c r="B199" s="15"/>
      <c r="C199" s="141">
        <v>45322</v>
      </c>
      <c r="D199" s="141">
        <v>45324</v>
      </c>
      <c r="E199">
        <f>Tabela4[[#This Row],[DATA FATURAMENTO]]-Tabela4[[#This Row],[DATA ORÇAMENTO]]</f>
        <v>2</v>
      </c>
      <c r="F199" s="15">
        <v>10490</v>
      </c>
      <c r="G199" s="15" t="s">
        <v>22</v>
      </c>
      <c r="H199" s="15"/>
      <c r="I199" s="149">
        <v>1576.1</v>
      </c>
      <c r="J199" s="149">
        <v>1093.9000000000001</v>
      </c>
      <c r="K199" s="150">
        <f>Tabela4[[#This Row],[PECAS]]+Tabela4[[#This Row],[SERVICOS]]</f>
        <v>2670</v>
      </c>
      <c r="L199" s="149">
        <v>0</v>
      </c>
      <c r="M199" s="149">
        <f>116.4+25</f>
        <v>141.4</v>
      </c>
      <c r="N199" s="22"/>
      <c r="O199" s="149">
        <v>0</v>
      </c>
      <c r="P199" s="149">
        <v>125</v>
      </c>
      <c r="Q199" s="149">
        <v>0</v>
      </c>
      <c r="R199" s="149">
        <v>0</v>
      </c>
      <c r="S199" s="149">
        <v>177.28</v>
      </c>
      <c r="T199" s="149">
        <v>0</v>
      </c>
      <c r="U199" s="149">
        <v>0</v>
      </c>
      <c r="V199" s="15"/>
      <c r="W199" s="15">
        <v>4</v>
      </c>
      <c r="X199" s="149">
        <v>0</v>
      </c>
      <c r="Y199" s="15" t="s">
        <v>804</v>
      </c>
      <c r="Z199" s="149">
        <v>0</v>
      </c>
      <c r="AA199" s="149">
        <f>Tabela4[[#This Row],[VALOR]]-Tabela4[[#This Row],[PNEUS]]-Tabela4[[#This Row],[BATERIA]]</f>
        <v>2670</v>
      </c>
      <c r="AB199" s="19" t="s">
        <v>34</v>
      </c>
      <c r="AC199" s="30">
        <v>0</v>
      </c>
      <c r="AD199" s="162">
        <v>0</v>
      </c>
      <c r="AE199" s="162">
        <v>0</v>
      </c>
      <c r="AF199" s="162">
        <v>0</v>
      </c>
      <c r="AG199" s="162">
        <v>0</v>
      </c>
      <c r="AH199" s="162">
        <v>0</v>
      </c>
      <c r="AI199" s="162">
        <v>0</v>
      </c>
      <c r="AJ199" s="162">
        <v>0</v>
      </c>
    </row>
    <row r="200" spans="1:36" x14ac:dyDescent="0.25">
      <c r="A200" s="15" t="s">
        <v>458</v>
      </c>
      <c r="B200" s="15"/>
      <c r="C200" s="141">
        <v>45324</v>
      </c>
      <c r="D200" s="141">
        <v>45324</v>
      </c>
      <c r="E200">
        <f>Tabela4[[#This Row],[DATA FATURAMENTO]]-Tabela4[[#This Row],[DATA ORÇAMENTO]]</f>
        <v>0</v>
      </c>
      <c r="F200" s="15">
        <v>10515</v>
      </c>
      <c r="G200" s="15" t="s">
        <v>33</v>
      </c>
      <c r="H200" s="15"/>
      <c r="I200" s="149">
        <v>400</v>
      </c>
      <c r="J200" s="149">
        <v>0</v>
      </c>
      <c r="K200" s="150">
        <f>Tabela4[[#This Row],[PECAS]]+Tabela4[[#This Row],[SERVICOS]]</f>
        <v>400</v>
      </c>
      <c r="L200" s="149">
        <v>0</v>
      </c>
      <c r="M200" s="149">
        <v>0</v>
      </c>
      <c r="N200" s="22"/>
      <c r="O200" s="149">
        <v>0</v>
      </c>
      <c r="P200" s="149">
        <v>0</v>
      </c>
      <c r="Q200" s="149">
        <v>0</v>
      </c>
      <c r="R200" s="149">
        <v>0</v>
      </c>
      <c r="S200" s="149">
        <v>0</v>
      </c>
      <c r="T200" s="149">
        <v>0</v>
      </c>
      <c r="U200" s="149">
        <v>0</v>
      </c>
      <c r="V200" s="15"/>
      <c r="W200" s="15">
        <v>4</v>
      </c>
      <c r="X200" s="149">
        <v>0</v>
      </c>
      <c r="Y200" s="15" t="s">
        <v>654</v>
      </c>
      <c r="Z200" s="149">
        <v>0</v>
      </c>
      <c r="AA200" s="152">
        <f>K200-U200-T200</f>
        <v>400</v>
      </c>
      <c r="AB200" s="19" t="s">
        <v>27</v>
      </c>
      <c r="AC200" s="30">
        <v>0</v>
      </c>
      <c r="AD200" s="162">
        <v>0</v>
      </c>
      <c r="AE200" s="162">
        <v>0</v>
      </c>
      <c r="AF200" s="162">
        <v>0</v>
      </c>
      <c r="AG200" s="162">
        <v>0</v>
      </c>
      <c r="AH200" s="162">
        <v>0</v>
      </c>
      <c r="AI200" s="162">
        <v>0</v>
      </c>
      <c r="AJ200" s="162">
        <v>0</v>
      </c>
    </row>
    <row r="201" spans="1:36" x14ac:dyDescent="0.25">
      <c r="A201" s="15" t="s">
        <v>459</v>
      </c>
      <c r="B201" s="15"/>
      <c r="C201" s="141">
        <v>45324</v>
      </c>
      <c r="D201" s="141">
        <v>45324</v>
      </c>
      <c r="E201">
        <f>Tabela4[[#This Row],[DATA FATURAMENTO]]-Tabela4[[#This Row],[DATA ORÇAMENTO]]</f>
        <v>0</v>
      </c>
      <c r="F201" s="15">
        <v>10518</v>
      </c>
      <c r="G201" s="15" t="s">
        <v>22</v>
      </c>
      <c r="H201" s="15"/>
      <c r="I201" s="149">
        <v>258</v>
      </c>
      <c r="J201" s="149">
        <v>0</v>
      </c>
      <c r="K201" s="150">
        <f>Tabela4[[#This Row],[PECAS]]+Tabela4[[#This Row],[SERVICOS]]</f>
        <v>258</v>
      </c>
      <c r="L201" s="149">
        <v>0</v>
      </c>
      <c r="M201" s="149">
        <v>0</v>
      </c>
      <c r="N201" s="22"/>
      <c r="O201" s="149">
        <v>0</v>
      </c>
      <c r="P201" s="149">
        <v>0</v>
      </c>
      <c r="Q201" s="149">
        <v>0</v>
      </c>
      <c r="R201" s="149">
        <v>0</v>
      </c>
      <c r="S201" s="149">
        <v>0</v>
      </c>
      <c r="T201" s="149">
        <v>0</v>
      </c>
      <c r="U201" s="149">
        <v>0</v>
      </c>
      <c r="V201" s="15"/>
      <c r="W201" s="15">
        <v>3</v>
      </c>
      <c r="X201" s="149">
        <v>0</v>
      </c>
      <c r="Y201" s="15" t="s">
        <v>805</v>
      </c>
      <c r="Z201" s="149">
        <v>0</v>
      </c>
      <c r="AA201" s="152">
        <f>K201-U201-T201</f>
        <v>258</v>
      </c>
      <c r="AB201" s="19" t="s">
        <v>30</v>
      </c>
      <c r="AC201" s="30">
        <v>0</v>
      </c>
      <c r="AD201" s="162">
        <v>0</v>
      </c>
      <c r="AE201" s="162">
        <v>0</v>
      </c>
      <c r="AF201" s="162">
        <v>0</v>
      </c>
      <c r="AG201" s="162">
        <v>0</v>
      </c>
      <c r="AH201" s="162">
        <v>0</v>
      </c>
      <c r="AI201" s="162">
        <v>0</v>
      </c>
      <c r="AJ201" s="162">
        <v>0</v>
      </c>
    </row>
    <row r="202" spans="1:36" x14ac:dyDescent="0.25">
      <c r="A202" s="15" t="s">
        <v>460</v>
      </c>
      <c r="B202" s="15"/>
      <c r="C202" s="141">
        <v>45322</v>
      </c>
      <c r="D202" s="141">
        <v>45325</v>
      </c>
      <c r="E202">
        <f>Tabela4[[#This Row],[DATA FATURAMENTO]]-Tabela4[[#This Row],[DATA ORÇAMENTO]]</f>
        <v>3</v>
      </c>
      <c r="F202" s="15">
        <v>10493</v>
      </c>
      <c r="G202" s="15" t="s">
        <v>31</v>
      </c>
      <c r="H202" s="15"/>
      <c r="I202" s="149">
        <v>632.51</v>
      </c>
      <c r="J202" s="149">
        <v>0.01</v>
      </c>
      <c r="K202" s="150">
        <f>Tabela4[[#This Row],[PECAS]]+Tabela4[[#This Row],[SERVICOS]]</f>
        <v>632.52</v>
      </c>
      <c r="L202" s="149">
        <v>0</v>
      </c>
      <c r="M202" s="149">
        <v>0</v>
      </c>
      <c r="N202" s="22"/>
      <c r="O202" s="149">
        <v>0</v>
      </c>
      <c r="P202" s="149">
        <v>0</v>
      </c>
      <c r="Q202" s="149">
        <v>0</v>
      </c>
      <c r="R202" s="149">
        <v>0</v>
      </c>
      <c r="S202" s="149">
        <v>0</v>
      </c>
      <c r="T202" s="149">
        <v>0</v>
      </c>
      <c r="U202" s="149">
        <v>0</v>
      </c>
      <c r="V202" s="15"/>
      <c r="W202" s="22">
        <v>0</v>
      </c>
      <c r="X202" s="149">
        <v>0</v>
      </c>
      <c r="Y202" s="15"/>
      <c r="Z202" s="149">
        <v>0</v>
      </c>
      <c r="AA202" s="149">
        <f>Tabela4[[#This Row],[VALOR]]-Tabela4[[#This Row],[PNEUS]]-Tabela4[[#This Row],[BATERIA]]</f>
        <v>632.52</v>
      </c>
      <c r="AB202" s="19" t="s">
        <v>32</v>
      </c>
      <c r="AC202" s="30">
        <v>0</v>
      </c>
      <c r="AD202" s="162">
        <v>0</v>
      </c>
      <c r="AE202" s="162">
        <v>0</v>
      </c>
      <c r="AF202" s="162">
        <v>0</v>
      </c>
      <c r="AG202" s="162">
        <v>0</v>
      </c>
      <c r="AH202" s="162">
        <v>0</v>
      </c>
      <c r="AI202" s="162">
        <v>0</v>
      </c>
      <c r="AJ202" s="162">
        <v>0</v>
      </c>
    </row>
    <row r="203" spans="1:36" x14ac:dyDescent="0.25">
      <c r="A203" s="15" t="s">
        <v>461</v>
      </c>
      <c r="B203" s="15"/>
      <c r="C203" s="141">
        <v>45324</v>
      </c>
      <c r="D203" s="141">
        <v>45325</v>
      </c>
      <c r="E203">
        <f>Tabela4[[#This Row],[DATA FATURAMENTO]]-Tabela4[[#This Row],[DATA ORÇAMENTO]]</f>
        <v>1</v>
      </c>
      <c r="F203" s="15">
        <v>10519</v>
      </c>
      <c r="G203" s="15" t="s">
        <v>35</v>
      </c>
      <c r="H203" s="15"/>
      <c r="I203" s="149">
        <v>999.8</v>
      </c>
      <c r="J203" s="149">
        <v>785.4</v>
      </c>
      <c r="K203" s="150">
        <f>Tabela4[[#This Row],[PECAS]]+Tabela4[[#This Row],[SERVICOS]]</f>
        <v>1785.1999999999998</v>
      </c>
      <c r="L203" s="149">
        <v>0</v>
      </c>
      <c r="M203" s="149">
        <v>0</v>
      </c>
      <c r="N203" s="22"/>
      <c r="O203" s="149">
        <v>235.62</v>
      </c>
      <c r="P203" s="149">
        <v>0</v>
      </c>
      <c r="Q203" s="149">
        <v>157.08000000000001</v>
      </c>
      <c r="R203" s="149">
        <v>0</v>
      </c>
      <c r="S203" s="149">
        <v>0</v>
      </c>
      <c r="T203" s="149">
        <v>0</v>
      </c>
      <c r="U203" s="149">
        <v>0</v>
      </c>
      <c r="V203" s="15"/>
      <c r="W203" s="22">
        <v>0</v>
      </c>
      <c r="X203" s="149">
        <v>0</v>
      </c>
      <c r="Y203" s="15"/>
      <c r="Z203" s="149">
        <v>0</v>
      </c>
      <c r="AA203" s="149">
        <f>Tabela4[[#This Row],[VALOR]]-Tabela4[[#This Row],[PNEUS]]-Tabela4[[#This Row],[BATERIA]]</f>
        <v>1785.1999999999998</v>
      </c>
      <c r="AB203" s="19" t="s">
        <v>34</v>
      </c>
      <c r="AC203" s="30">
        <v>0</v>
      </c>
      <c r="AD203" s="162">
        <v>0</v>
      </c>
      <c r="AE203" s="162">
        <v>0</v>
      </c>
      <c r="AF203" s="162">
        <v>0</v>
      </c>
      <c r="AG203" s="162">
        <v>0</v>
      </c>
      <c r="AH203" s="162">
        <v>0</v>
      </c>
      <c r="AI203" s="162">
        <v>0</v>
      </c>
      <c r="AJ203" s="162">
        <v>0</v>
      </c>
    </row>
    <row r="204" spans="1:36" x14ac:dyDescent="0.25">
      <c r="A204" s="15" t="s">
        <v>462</v>
      </c>
      <c r="B204" s="15"/>
      <c r="C204" s="141">
        <v>45323</v>
      </c>
      <c r="D204" s="141">
        <v>45325</v>
      </c>
      <c r="E204">
        <f>Tabela4[[#This Row],[DATA FATURAMENTO]]-Tabela4[[#This Row],[DATA ORÇAMENTO]]</f>
        <v>2</v>
      </c>
      <c r="F204" s="15">
        <v>10508</v>
      </c>
      <c r="G204" s="15" t="s">
        <v>22</v>
      </c>
      <c r="H204" s="15"/>
      <c r="I204" s="149">
        <v>1141</v>
      </c>
      <c r="J204" s="149">
        <v>1259</v>
      </c>
      <c r="K204" s="150">
        <f>Tabela4[[#This Row],[PECAS]]+Tabela4[[#This Row],[SERVICOS]]</f>
        <v>2400</v>
      </c>
      <c r="L204" s="149">
        <v>88</v>
      </c>
      <c r="M204" s="149">
        <f>113.1+24.6</f>
        <v>137.69999999999999</v>
      </c>
      <c r="N204" s="22"/>
      <c r="O204" s="149">
        <v>221</v>
      </c>
      <c r="P204" s="149">
        <v>0</v>
      </c>
      <c r="Q204" s="149">
        <v>130</v>
      </c>
      <c r="R204" s="149">
        <v>0</v>
      </c>
      <c r="S204" s="149">
        <v>0</v>
      </c>
      <c r="T204" s="149">
        <v>0</v>
      </c>
      <c r="U204" s="149">
        <v>0</v>
      </c>
      <c r="V204" s="15"/>
      <c r="W204" s="15">
        <v>4</v>
      </c>
      <c r="X204" s="149">
        <v>0</v>
      </c>
      <c r="Y204" s="15" t="s">
        <v>804</v>
      </c>
      <c r="Z204" s="149">
        <v>0</v>
      </c>
      <c r="AA204" s="149">
        <f>Tabela4[[#This Row],[VALOR]]-Tabela4[[#This Row],[PNEUS]]-Tabela4[[#This Row],[BATERIA]]</f>
        <v>2400</v>
      </c>
      <c r="AB204" s="19" t="s">
        <v>27</v>
      </c>
      <c r="AC204" s="30">
        <v>0</v>
      </c>
      <c r="AD204" s="162">
        <v>0</v>
      </c>
      <c r="AE204" s="162">
        <v>0</v>
      </c>
      <c r="AF204" s="162">
        <v>0</v>
      </c>
      <c r="AG204" s="162">
        <v>0</v>
      </c>
      <c r="AH204" s="162">
        <v>0</v>
      </c>
      <c r="AI204" s="162">
        <v>0</v>
      </c>
      <c r="AJ204" s="162">
        <v>0</v>
      </c>
    </row>
    <row r="205" spans="1:36" x14ac:dyDescent="0.25">
      <c r="A205" s="15" t="s">
        <v>463</v>
      </c>
      <c r="B205" s="15"/>
      <c r="C205" s="141">
        <v>45327</v>
      </c>
      <c r="D205" s="141">
        <v>45327</v>
      </c>
      <c r="E205">
        <f>Tabela4[[#This Row],[DATA FATURAMENTO]]-Tabela4[[#This Row],[DATA ORÇAMENTO]]</f>
        <v>0</v>
      </c>
      <c r="F205" s="15">
        <v>10528</v>
      </c>
      <c r="G205" s="15" t="s">
        <v>31</v>
      </c>
      <c r="H205" s="15"/>
      <c r="I205" s="149">
        <v>453.7</v>
      </c>
      <c r="J205" s="149">
        <v>183.3</v>
      </c>
      <c r="K205" s="150">
        <f>Tabela4[[#This Row],[PECAS]]+Tabela4[[#This Row],[SERVICOS]]</f>
        <v>637</v>
      </c>
      <c r="L205" s="149">
        <v>0</v>
      </c>
      <c r="M205" s="149">
        <v>0</v>
      </c>
      <c r="N205" s="22"/>
      <c r="O205" s="149">
        <v>0</v>
      </c>
      <c r="P205" s="149">
        <v>0</v>
      </c>
      <c r="Q205" s="149">
        <v>0</v>
      </c>
      <c r="R205" s="149">
        <v>0</v>
      </c>
      <c r="S205" s="149">
        <v>0</v>
      </c>
      <c r="T205" s="149">
        <v>0</v>
      </c>
      <c r="U205" s="149">
        <v>0</v>
      </c>
      <c r="V205" s="15"/>
      <c r="W205" s="15">
        <v>4</v>
      </c>
      <c r="X205" s="149">
        <v>0</v>
      </c>
      <c r="Y205" s="15" t="s">
        <v>645</v>
      </c>
      <c r="Z205" s="149">
        <v>0</v>
      </c>
      <c r="AA205" s="149">
        <f>Tabela4[[#This Row],[VALOR]]-Tabela4[[#This Row],[PNEUS]]-Tabela4[[#This Row],[BATERIA]]</f>
        <v>637</v>
      </c>
      <c r="AB205" s="19" t="s">
        <v>27</v>
      </c>
      <c r="AC205" s="30">
        <v>0</v>
      </c>
      <c r="AD205" s="162">
        <v>0</v>
      </c>
      <c r="AE205" s="162">
        <v>0</v>
      </c>
      <c r="AF205" s="162">
        <v>0</v>
      </c>
      <c r="AG205" s="162">
        <v>0</v>
      </c>
      <c r="AH205" s="162">
        <v>0</v>
      </c>
      <c r="AI205" s="162">
        <v>0</v>
      </c>
      <c r="AJ205" s="162">
        <v>0</v>
      </c>
    </row>
    <row r="206" spans="1:36" x14ac:dyDescent="0.25">
      <c r="A206" s="15" t="s">
        <v>464</v>
      </c>
      <c r="B206" s="15"/>
      <c r="C206" s="141">
        <v>45327</v>
      </c>
      <c r="D206" s="141">
        <v>45327</v>
      </c>
      <c r="E206">
        <f>Tabela4[[#This Row],[DATA FATURAMENTO]]-Tabela4[[#This Row],[DATA ORÇAMENTO]]</f>
        <v>0</v>
      </c>
      <c r="F206" s="15">
        <v>10531</v>
      </c>
      <c r="G206" s="15" t="s">
        <v>22</v>
      </c>
      <c r="H206" s="15"/>
      <c r="I206" s="149">
        <v>374</v>
      </c>
      <c r="J206" s="149">
        <v>256</v>
      </c>
      <c r="K206" s="150">
        <f>Tabela4[[#This Row],[PECAS]]+Tabela4[[#This Row],[SERVICOS]]</f>
        <v>630</v>
      </c>
      <c r="L206" s="149">
        <v>0</v>
      </c>
      <c r="M206" s="149">
        <v>0</v>
      </c>
      <c r="N206" s="22"/>
      <c r="O206" s="149">
        <v>0</v>
      </c>
      <c r="P206" s="149">
        <v>0</v>
      </c>
      <c r="Q206" s="149">
        <v>0</v>
      </c>
      <c r="R206" s="149">
        <v>0</v>
      </c>
      <c r="S206" s="149">
        <v>256</v>
      </c>
      <c r="T206" s="149">
        <v>0</v>
      </c>
      <c r="U206" s="149">
        <v>0</v>
      </c>
      <c r="V206" s="15"/>
      <c r="W206" s="15">
        <v>5</v>
      </c>
      <c r="X206" s="149">
        <v>0</v>
      </c>
      <c r="Y206" s="15" t="s">
        <v>638</v>
      </c>
      <c r="Z206" s="149">
        <v>0</v>
      </c>
      <c r="AA206" s="149">
        <f>Tabela4[[#This Row],[VALOR]]-Tabela4[[#This Row],[PNEUS]]-Tabela4[[#This Row],[BATERIA]]</f>
        <v>630</v>
      </c>
      <c r="AB206" s="19" t="s">
        <v>30</v>
      </c>
      <c r="AC206" s="30">
        <v>0</v>
      </c>
      <c r="AD206" s="162">
        <v>0</v>
      </c>
      <c r="AE206" s="162">
        <v>0</v>
      </c>
      <c r="AF206" s="162">
        <v>0</v>
      </c>
      <c r="AG206" s="162">
        <v>0</v>
      </c>
      <c r="AH206" s="162">
        <v>0</v>
      </c>
      <c r="AI206" s="162">
        <v>0</v>
      </c>
      <c r="AJ206" s="162">
        <v>0</v>
      </c>
    </row>
    <row r="207" spans="1:36" x14ac:dyDescent="0.25">
      <c r="A207" s="15" t="s">
        <v>465</v>
      </c>
      <c r="B207" s="15"/>
      <c r="C207" s="141">
        <v>45327</v>
      </c>
      <c r="D207" s="141">
        <v>45327</v>
      </c>
      <c r="E207">
        <f>Tabela4[[#This Row],[DATA FATURAMENTO]]-Tabela4[[#This Row],[DATA ORÇAMENTO]]</f>
        <v>0</v>
      </c>
      <c r="F207" s="15">
        <v>10535</v>
      </c>
      <c r="G207" s="15" t="s">
        <v>31</v>
      </c>
      <c r="H207" s="15"/>
      <c r="I207" s="149">
        <v>50</v>
      </c>
      <c r="J207" s="149">
        <v>0</v>
      </c>
      <c r="K207" s="150">
        <f>Tabela4[[#This Row],[PECAS]]+Tabela4[[#This Row],[SERVICOS]]</f>
        <v>50</v>
      </c>
      <c r="L207" s="149">
        <v>0</v>
      </c>
      <c r="M207" s="149">
        <v>0</v>
      </c>
      <c r="N207" s="22"/>
      <c r="O207" s="149">
        <v>0</v>
      </c>
      <c r="P207" s="149">
        <v>0</v>
      </c>
      <c r="Q207" s="149">
        <v>0</v>
      </c>
      <c r="R207" s="149">
        <v>0</v>
      </c>
      <c r="S207" s="149">
        <v>0</v>
      </c>
      <c r="T207" s="149">
        <v>0</v>
      </c>
      <c r="U207" s="149">
        <v>0</v>
      </c>
      <c r="V207" s="15"/>
      <c r="W207" s="22">
        <v>0</v>
      </c>
      <c r="X207" s="149">
        <v>0</v>
      </c>
      <c r="Y207" s="15"/>
      <c r="Z207" s="149">
        <v>0</v>
      </c>
      <c r="AA207" s="152">
        <f>K207-U207-T207</f>
        <v>50</v>
      </c>
      <c r="AB207" s="19" t="s">
        <v>38</v>
      </c>
      <c r="AC207" s="30">
        <v>0</v>
      </c>
      <c r="AD207" s="162">
        <v>0</v>
      </c>
      <c r="AE207" s="162">
        <v>0</v>
      </c>
      <c r="AF207" s="162">
        <v>0</v>
      </c>
      <c r="AG207" s="162">
        <v>0</v>
      </c>
      <c r="AH207" s="162">
        <v>0</v>
      </c>
      <c r="AI207" s="162">
        <v>0</v>
      </c>
      <c r="AJ207" s="162">
        <v>0</v>
      </c>
    </row>
    <row r="208" spans="1:36" x14ac:dyDescent="0.25">
      <c r="A208" s="15" t="s">
        <v>466</v>
      </c>
      <c r="B208" s="15"/>
      <c r="C208" s="141">
        <v>45323</v>
      </c>
      <c r="D208" s="141">
        <v>45328</v>
      </c>
      <c r="E208">
        <f>Tabela4[[#This Row],[DATA FATURAMENTO]]-Tabela4[[#This Row],[DATA ORÇAMENTO]]</f>
        <v>5</v>
      </c>
      <c r="F208" s="15">
        <v>10497</v>
      </c>
      <c r="G208" s="15" t="s">
        <v>28</v>
      </c>
      <c r="H208" s="15"/>
      <c r="I208" s="149">
        <v>914.01</v>
      </c>
      <c r="J208" s="149">
        <v>744.18</v>
      </c>
      <c r="K208" s="150">
        <f>Tabela4[[#This Row],[PECAS]]+Tabela4[[#This Row],[SERVICOS]]</f>
        <v>1658.19</v>
      </c>
      <c r="L208" s="149">
        <v>0</v>
      </c>
      <c r="M208" s="149">
        <v>0</v>
      </c>
      <c r="N208" s="22"/>
      <c r="O208" s="149">
        <f>40.8+116</f>
        <v>156.80000000000001</v>
      </c>
      <c r="P208" s="149">
        <f>139.9+39.9</f>
        <v>179.8</v>
      </c>
      <c r="Q208" s="149">
        <v>100</v>
      </c>
      <c r="R208" s="149">
        <v>0</v>
      </c>
      <c r="S208" s="149">
        <v>57</v>
      </c>
      <c r="T208" s="149">
        <v>0</v>
      </c>
      <c r="U208" s="149">
        <v>0</v>
      </c>
      <c r="V208" s="15"/>
      <c r="W208" s="15">
        <v>4</v>
      </c>
      <c r="X208" s="149">
        <v>0</v>
      </c>
      <c r="Y208" s="15" t="s">
        <v>805</v>
      </c>
      <c r="Z208" s="149">
        <v>0</v>
      </c>
      <c r="AA208" s="149">
        <f>Tabela4[[#This Row],[VALOR]]-Tabela4[[#This Row],[PNEUS]]-Tabela4[[#This Row],[BATERIA]]</f>
        <v>1658.19</v>
      </c>
      <c r="AB208" s="19" t="s">
        <v>27</v>
      </c>
      <c r="AC208" s="30">
        <v>0</v>
      </c>
      <c r="AD208" s="162">
        <v>0</v>
      </c>
      <c r="AE208" s="162">
        <v>0</v>
      </c>
      <c r="AF208" s="162">
        <v>0</v>
      </c>
      <c r="AG208" s="162">
        <v>0</v>
      </c>
      <c r="AH208" s="162">
        <v>0</v>
      </c>
      <c r="AI208" s="162">
        <v>0</v>
      </c>
      <c r="AJ208" s="162">
        <v>0</v>
      </c>
    </row>
    <row r="209" spans="1:36" x14ac:dyDescent="0.25">
      <c r="A209" s="15" t="s">
        <v>397</v>
      </c>
      <c r="B209" s="15"/>
      <c r="C209" s="141">
        <v>45323</v>
      </c>
      <c r="D209" s="141">
        <v>45328</v>
      </c>
      <c r="E209">
        <f>Tabela4[[#This Row],[DATA FATURAMENTO]]-Tabela4[[#This Row],[DATA ORÇAMENTO]]</f>
        <v>5</v>
      </c>
      <c r="F209" s="15">
        <v>10510</v>
      </c>
      <c r="G209" s="15" t="s">
        <v>31</v>
      </c>
      <c r="H209" s="15"/>
      <c r="I209" s="149">
        <v>1438.2</v>
      </c>
      <c r="J209" s="149">
        <v>1161.8</v>
      </c>
      <c r="K209" s="150">
        <f>Tabela4[[#This Row],[PECAS]]+Tabela4[[#This Row],[SERVICOS]]</f>
        <v>2600</v>
      </c>
      <c r="L209" s="149">
        <v>0</v>
      </c>
      <c r="M209" s="149">
        <f>73.8+25.6</f>
        <v>99.4</v>
      </c>
      <c r="N209" s="22"/>
      <c r="O209" s="149">
        <v>0</v>
      </c>
      <c r="P209" s="149">
        <v>0</v>
      </c>
      <c r="Q209" s="149">
        <v>0</v>
      </c>
      <c r="R209" s="149">
        <v>0</v>
      </c>
      <c r="S209" s="149">
        <v>0</v>
      </c>
      <c r="T209" s="149">
        <v>0</v>
      </c>
      <c r="U209" s="149">
        <v>0</v>
      </c>
      <c r="V209" s="15"/>
      <c r="W209" s="22">
        <v>0</v>
      </c>
      <c r="X209" s="149">
        <v>0</v>
      </c>
      <c r="Y209" s="15"/>
      <c r="Z209" s="149">
        <v>0</v>
      </c>
      <c r="AA209" s="149">
        <f>Tabela4[[#This Row],[VALOR]]-Tabela4[[#This Row],[PNEUS]]-Tabela4[[#This Row],[BATERIA]]</f>
        <v>2600</v>
      </c>
      <c r="AB209" s="19" t="s">
        <v>32</v>
      </c>
      <c r="AC209" s="30">
        <v>0</v>
      </c>
      <c r="AD209" s="162">
        <v>0</v>
      </c>
      <c r="AE209" s="162">
        <v>0</v>
      </c>
      <c r="AF209" s="162">
        <v>0</v>
      </c>
      <c r="AG209" s="162">
        <v>0</v>
      </c>
      <c r="AH209" s="162">
        <v>0</v>
      </c>
      <c r="AI209" s="162">
        <v>0</v>
      </c>
      <c r="AJ209" s="162">
        <v>0</v>
      </c>
    </row>
    <row r="210" spans="1:36" x14ac:dyDescent="0.25">
      <c r="A210" s="15" t="s">
        <v>467</v>
      </c>
      <c r="B210" s="15"/>
      <c r="C210" s="141">
        <v>45324</v>
      </c>
      <c r="D210" s="141">
        <v>45328</v>
      </c>
      <c r="E210">
        <f>Tabela4[[#This Row],[DATA FATURAMENTO]]-Tabela4[[#This Row],[DATA ORÇAMENTO]]</f>
        <v>4</v>
      </c>
      <c r="F210" s="15">
        <v>10516</v>
      </c>
      <c r="G210" s="15" t="s">
        <v>22</v>
      </c>
      <c r="H210" s="15"/>
      <c r="I210" s="149">
        <v>601</v>
      </c>
      <c r="J210" s="149">
        <v>539</v>
      </c>
      <c r="K210" s="150">
        <f>Tabela4[[#This Row],[PECAS]]+Tabela4[[#This Row],[SERVICOS]]</f>
        <v>1140</v>
      </c>
      <c r="L210" s="149">
        <v>0</v>
      </c>
      <c r="M210" s="149">
        <v>0</v>
      </c>
      <c r="N210" s="22"/>
      <c r="O210" s="149">
        <v>0</v>
      </c>
      <c r="P210" s="149">
        <v>0</v>
      </c>
      <c r="Q210" s="149">
        <v>0</v>
      </c>
      <c r="R210" s="149">
        <v>0</v>
      </c>
      <c r="S210" s="149">
        <v>0</v>
      </c>
      <c r="T210" s="149">
        <v>0</v>
      </c>
      <c r="U210" s="149">
        <v>0</v>
      </c>
      <c r="V210" s="15"/>
      <c r="W210" s="22">
        <v>0</v>
      </c>
      <c r="X210" s="149">
        <v>0</v>
      </c>
      <c r="Y210" s="15"/>
      <c r="Z210" s="149">
        <v>0</v>
      </c>
      <c r="AA210" s="149">
        <f>Tabela4[[#This Row],[VALOR]]-Tabela4[[#This Row],[PNEUS]]-Tabela4[[#This Row],[BATERIA]]</f>
        <v>1140</v>
      </c>
      <c r="AB210" s="19" t="s">
        <v>32</v>
      </c>
      <c r="AC210" s="30">
        <v>0</v>
      </c>
      <c r="AD210" s="162">
        <v>0</v>
      </c>
      <c r="AE210" s="162">
        <v>0</v>
      </c>
      <c r="AF210" s="162">
        <v>0</v>
      </c>
      <c r="AG210" s="162">
        <v>0</v>
      </c>
      <c r="AH210" s="162">
        <v>0</v>
      </c>
      <c r="AI210" s="162">
        <v>0</v>
      </c>
      <c r="AJ210" s="162">
        <v>0</v>
      </c>
    </row>
    <row r="211" spans="1:36" x14ac:dyDescent="0.25">
      <c r="A211" s="15" t="s">
        <v>468</v>
      </c>
      <c r="B211" s="15"/>
      <c r="C211" s="141">
        <v>45327</v>
      </c>
      <c r="D211" s="141">
        <v>45328</v>
      </c>
      <c r="E211">
        <f>Tabela4[[#This Row],[DATA FATURAMENTO]]-Tabela4[[#This Row],[DATA ORÇAMENTO]]</f>
        <v>1</v>
      </c>
      <c r="F211" s="15">
        <v>10539</v>
      </c>
      <c r="G211" s="15" t="s">
        <v>22</v>
      </c>
      <c r="H211" s="15"/>
      <c r="I211" s="149">
        <v>909.9</v>
      </c>
      <c r="J211" s="149">
        <v>386.79</v>
      </c>
      <c r="K211" s="150">
        <f>Tabela4[[#This Row],[PECAS]]+Tabela4[[#This Row],[SERVICOS]]</f>
        <v>1296.69</v>
      </c>
      <c r="L211" s="149">
        <v>0</v>
      </c>
      <c r="M211" s="149">
        <v>0</v>
      </c>
      <c r="N211" s="22"/>
      <c r="O211" s="149">
        <f>135.3+35</f>
        <v>170.3</v>
      </c>
      <c r="P211" s="149">
        <v>0</v>
      </c>
      <c r="Q211" s="149">
        <v>0</v>
      </c>
      <c r="R211" s="149">
        <v>0</v>
      </c>
      <c r="S211" s="149">
        <v>57</v>
      </c>
      <c r="T211" s="149">
        <v>0</v>
      </c>
      <c r="U211" s="149">
        <v>0</v>
      </c>
      <c r="V211" s="15"/>
      <c r="W211" s="15">
        <v>4</v>
      </c>
      <c r="X211" s="149">
        <v>0</v>
      </c>
      <c r="Y211" s="15" t="s">
        <v>805</v>
      </c>
      <c r="Z211" s="149">
        <v>0</v>
      </c>
      <c r="AA211" s="149">
        <f>Tabela4[[#This Row],[VALOR]]-Tabela4[[#This Row],[PNEUS]]-Tabela4[[#This Row],[BATERIA]]</f>
        <v>1296.69</v>
      </c>
      <c r="AB211" s="19" t="s">
        <v>27</v>
      </c>
      <c r="AC211" s="30">
        <v>0</v>
      </c>
      <c r="AD211" s="162">
        <v>0</v>
      </c>
      <c r="AE211" s="162">
        <v>0</v>
      </c>
      <c r="AF211" s="162">
        <v>0</v>
      </c>
      <c r="AG211" s="162">
        <v>0</v>
      </c>
      <c r="AH211" s="162">
        <v>0</v>
      </c>
      <c r="AI211" s="162">
        <v>0</v>
      </c>
      <c r="AJ211" s="162">
        <v>0</v>
      </c>
    </row>
    <row r="212" spans="1:36" x14ac:dyDescent="0.25">
      <c r="A212" s="15" t="s">
        <v>461</v>
      </c>
      <c r="B212" s="15"/>
      <c r="C212" s="141">
        <v>45327</v>
      </c>
      <c r="D212" s="141">
        <v>45328</v>
      </c>
      <c r="E212">
        <f>Tabela4[[#This Row],[DATA FATURAMENTO]]-Tabela4[[#This Row],[DATA ORÇAMENTO]]</f>
        <v>1</v>
      </c>
      <c r="F212" s="15">
        <v>10529</v>
      </c>
      <c r="G212" s="15" t="s">
        <v>35</v>
      </c>
      <c r="H212" s="15"/>
      <c r="I212" s="149">
        <v>941.86</v>
      </c>
      <c r="J212" s="149">
        <v>344.08</v>
      </c>
      <c r="K212" s="150">
        <f>Tabela4[[#This Row],[PECAS]]+Tabela4[[#This Row],[SERVICOS]]</f>
        <v>1285.94</v>
      </c>
      <c r="L212" s="149">
        <v>0</v>
      </c>
      <c r="M212" s="149">
        <v>0</v>
      </c>
      <c r="N212" s="22"/>
      <c r="O212" s="149">
        <v>0</v>
      </c>
      <c r="P212" s="149">
        <v>0</v>
      </c>
      <c r="Q212" s="149">
        <v>0</v>
      </c>
      <c r="R212" s="149">
        <v>0</v>
      </c>
      <c r="S212" s="149">
        <v>0</v>
      </c>
      <c r="T212" s="149">
        <v>0</v>
      </c>
      <c r="U212" s="149">
        <v>0</v>
      </c>
      <c r="V212" s="15"/>
      <c r="W212" s="22">
        <v>0</v>
      </c>
      <c r="X212" s="149">
        <v>0</v>
      </c>
      <c r="Y212" s="15"/>
      <c r="Z212" s="149">
        <v>0</v>
      </c>
      <c r="AA212" s="149">
        <f>Tabela4[[#This Row],[VALOR]]-Tabela4[[#This Row],[PNEUS]]-Tabela4[[#This Row],[BATERIA]]</f>
        <v>1285.94</v>
      </c>
      <c r="AB212" s="19" t="s">
        <v>27</v>
      </c>
      <c r="AC212" s="30">
        <v>0</v>
      </c>
      <c r="AD212" s="162">
        <v>0</v>
      </c>
      <c r="AE212" s="162">
        <v>0</v>
      </c>
      <c r="AF212" s="162">
        <v>0</v>
      </c>
      <c r="AG212" s="162">
        <v>0</v>
      </c>
      <c r="AH212" s="162">
        <v>0</v>
      </c>
      <c r="AI212" s="162">
        <v>0</v>
      </c>
      <c r="AJ212" s="162">
        <v>0</v>
      </c>
    </row>
    <row r="213" spans="1:36" x14ac:dyDescent="0.25">
      <c r="A213" s="15" t="s">
        <v>224</v>
      </c>
      <c r="B213" s="15"/>
      <c r="C213" s="141">
        <v>45328</v>
      </c>
      <c r="D213" s="141">
        <v>45328</v>
      </c>
      <c r="E213">
        <f>Tabela4[[#This Row],[DATA FATURAMENTO]]-Tabela4[[#This Row],[DATA ORÇAMENTO]]</f>
        <v>0</v>
      </c>
      <c r="F213" s="15">
        <v>10541</v>
      </c>
      <c r="G213" s="15" t="s">
        <v>31</v>
      </c>
      <c r="H213" s="15"/>
      <c r="I213" s="149">
        <v>408.9</v>
      </c>
      <c r="J213" s="149">
        <v>418.1</v>
      </c>
      <c r="K213" s="150">
        <f>Tabela4[[#This Row],[PECAS]]+Tabela4[[#This Row],[SERVICOS]]</f>
        <v>827</v>
      </c>
      <c r="L213" s="149">
        <v>0</v>
      </c>
      <c r="M213" s="149">
        <v>0</v>
      </c>
      <c r="N213" s="22"/>
      <c r="O213" s="149">
        <v>0</v>
      </c>
      <c r="P213" s="149">
        <v>0</v>
      </c>
      <c r="Q213" s="149">
        <v>0</v>
      </c>
      <c r="R213" s="149">
        <v>0</v>
      </c>
      <c r="S213" s="149">
        <v>190</v>
      </c>
      <c r="T213" s="149">
        <v>0</v>
      </c>
      <c r="U213" s="149">
        <v>0</v>
      </c>
      <c r="V213" s="15"/>
      <c r="W213" s="15">
        <v>4</v>
      </c>
      <c r="X213" s="149">
        <v>0</v>
      </c>
      <c r="Y213" s="15" t="s">
        <v>804</v>
      </c>
      <c r="Z213" s="149">
        <v>0</v>
      </c>
      <c r="AA213" s="149">
        <f>Tabela4[[#This Row],[VALOR]]-Tabela4[[#This Row],[PNEUS]]-Tabela4[[#This Row],[BATERIA]]</f>
        <v>827</v>
      </c>
      <c r="AB213" s="19" t="s">
        <v>32</v>
      </c>
      <c r="AC213" s="30">
        <v>0</v>
      </c>
      <c r="AD213" s="162">
        <v>0</v>
      </c>
      <c r="AE213" s="162">
        <v>0</v>
      </c>
      <c r="AF213" s="162">
        <v>0</v>
      </c>
      <c r="AG213" s="162">
        <v>0</v>
      </c>
      <c r="AH213" s="162">
        <v>0</v>
      </c>
      <c r="AI213" s="162">
        <v>0</v>
      </c>
      <c r="AJ213" s="162">
        <v>0</v>
      </c>
    </row>
    <row r="214" spans="1:36" x14ac:dyDescent="0.25">
      <c r="A214" s="15" t="s">
        <v>224</v>
      </c>
      <c r="B214" s="15"/>
      <c r="C214" s="141">
        <v>45328</v>
      </c>
      <c r="D214" s="141">
        <v>45328</v>
      </c>
      <c r="E214">
        <f>Tabela4[[#This Row],[DATA FATURAMENTO]]-Tabela4[[#This Row],[DATA ORÇAMENTO]]</f>
        <v>0</v>
      </c>
      <c r="F214" s="15">
        <v>10547</v>
      </c>
      <c r="G214" s="15" t="s">
        <v>31</v>
      </c>
      <c r="H214" s="15"/>
      <c r="I214" s="149">
        <v>118</v>
      </c>
      <c r="J214" s="149">
        <v>112</v>
      </c>
      <c r="K214" s="150">
        <f>Tabela4[[#This Row],[PECAS]]+Tabela4[[#This Row],[SERVICOS]]</f>
        <v>230</v>
      </c>
      <c r="L214" s="149">
        <v>0</v>
      </c>
      <c r="M214" s="149">
        <v>0</v>
      </c>
      <c r="N214" s="22"/>
      <c r="O214" s="149">
        <v>0</v>
      </c>
      <c r="P214" s="149">
        <v>0</v>
      </c>
      <c r="Q214" s="149">
        <v>0</v>
      </c>
      <c r="R214" s="149">
        <v>0</v>
      </c>
      <c r="S214" s="149">
        <v>0</v>
      </c>
      <c r="T214" s="149">
        <v>0</v>
      </c>
      <c r="U214" s="149">
        <v>0</v>
      </c>
      <c r="V214" s="15"/>
      <c r="W214" s="22">
        <v>0</v>
      </c>
      <c r="X214" s="149">
        <v>0</v>
      </c>
      <c r="Y214" s="15"/>
      <c r="Z214" s="149">
        <v>0</v>
      </c>
      <c r="AA214" s="149">
        <f>Tabela4[[#This Row],[VALOR]]-Tabela4[[#This Row],[PNEUS]]-Tabela4[[#This Row],[BATERIA]]</f>
        <v>230</v>
      </c>
      <c r="AB214" s="19" t="s">
        <v>32</v>
      </c>
      <c r="AC214" s="30">
        <v>0</v>
      </c>
      <c r="AD214" s="162">
        <v>0</v>
      </c>
      <c r="AE214" s="162">
        <v>0</v>
      </c>
      <c r="AF214" s="162">
        <v>0</v>
      </c>
      <c r="AG214" s="162">
        <v>0</v>
      </c>
      <c r="AH214" s="162">
        <v>0</v>
      </c>
      <c r="AI214" s="162">
        <v>0</v>
      </c>
      <c r="AJ214" s="162">
        <v>0</v>
      </c>
    </row>
    <row r="215" spans="1:36" x14ac:dyDescent="0.25">
      <c r="A215" s="15" t="s">
        <v>469</v>
      </c>
      <c r="B215" s="15"/>
      <c r="C215" s="141">
        <v>45321</v>
      </c>
      <c r="D215" s="141">
        <v>45329</v>
      </c>
      <c r="E215">
        <f>Tabela4[[#This Row],[DATA FATURAMENTO]]-Tabela4[[#This Row],[DATA ORÇAMENTO]]</f>
        <v>8</v>
      </c>
      <c r="F215" s="15">
        <v>10472</v>
      </c>
      <c r="G215" s="15" t="s">
        <v>28</v>
      </c>
      <c r="H215" s="15"/>
      <c r="I215" s="149">
        <v>990</v>
      </c>
      <c r="J215" s="149">
        <v>570</v>
      </c>
      <c r="K215" s="150">
        <f>Tabela4[[#This Row],[PECAS]]+Tabela4[[#This Row],[SERVICOS]]</f>
        <v>1560</v>
      </c>
      <c r="L215" s="149">
        <v>0</v>
      </c>
      <c r="M215" s="149">
        <v>0</v>
      </c>
      <c r="N215" s="22"/>
      <c r="O215" s="149">
        <v>0</v>
      </c>
      <c r="P215" s="149">
        <v>0</v>
      </c>
      <c r="Q215" s="149">
        <v>0</v>
      </c>
      <c r="R215" s="149">
        <v>0</v>
      </c>
      <c r="S215" s="149">
        <v>0</v>
      </c>
      <c r="T215" s="149">
        <v>0</v>
      </c>
      <c r="U215" s="149">
        <v>0</v>
      </c>
      <c r="V215" s="15"/>
      <c r="W215" s="22">
        <v>0</v>
      </c>
      <c r="X215" s="149">
        <v>0</v>
      </c>
      <c r="Y215" s="15"/>
      <c r="Z215" s="149">
        <v>0</v>
      </c>
      <c r="AA215" s="149">
        <f>Tabela4[[#This Row],[VALOR]]-Tabela4[[#This Row],[PNEUS]]-Tabela4[[#This Row],[BATERIA]]</f>
        <v>1560</v>
      </c>
      <c r="AB215" s="19" t="s">
        <v>27</v>
      </c>
      <c r="AC215" s="30">
        <v>0</v>
      </c>
      <c r="AD215" s="162">
        <v>0</v>
      </c>
      <c r="AE215" s="162">
        <v>0</v>
      </c>
      <c r="AF215" s="162">
        <v>0</v>
      </c>
      <c r="AG215" s="162">
        <v>0</v>
      </c>
      <c r="AH215" s="162">
        <v>0</v>
      </c>
      <c r="AI215" s="162">
        <v>0</v>
      </c>
      <c r="AJ215" s="162">
        <v>0</v>
      </c>
    </row>
    <row r="216" spans="1:36" x14ac:dyDescent="0.25">
      <c r="A216" s="15" t="s">
        <v>470</v>
      </c>
      <c r="B216" s="15"/>
      <c r="C216" s="141">
        <v>45324</v>
      </c>
      <c r="D216" s="141">
        <v>45329</v>
      </c>
      <c r="E216">
        <f>Tabela4[[#This Row],[DATA FATURAMENTO]]-Tabela4[[#This Row],[DATA ORÇAMENTO]]</f>
        <v>5</v>
      </c>
      <c r="F216" s="15">
        <v>10512</v>
      </c>
      <c r="G216" s="15" t="s">
        <v>22</v>
      </c>
      <c r="H216" s="15"/>
      <c r="I216" s="149">
        <v>3696</v>
      </c>
      <c r="J216" s="149">
        <v>2304</v>
      </c>
      <c r="K216" s="150">
        <f>Tabela4[[#This Row],[PECAS]]+Tabela4[[#This Row],[SERVICOS]]</f>
        <v>6000</v>
      </c>
      <c r="L216" s="149">
        <v>90</v>
      </c>
      <c r="M216" s="149">
        <f>116.4+22</f>
        <v>138.4</v>
      </c>
      <c r="N216" s="22"/>
      <c r="O216" s="149">
        <v>240</v>
      </c>
      <c r="P216" s="149">
        <v>0</v>
      </c>
      <c r="Q216" s="149">
        <v>0</v>
      </c>
      <c r="R216" s="149">
        <v>0</v>
      </c>
      <c r="S216" s="149">
        <v>170</v>
      </c>
      <c r="T216" s="149">
        <v>0</v>
      </c>
      <c r="U216" s="149">
        <v>0</v>
      </c>
      <c r="V216" s="15"/>
      <c r="W216" s="15">
        <v>4</v>
      </c>
      <c r="X216" s="149">
        <v>0</v>
      </c>
      <c r="Y216" s="15" t="s">
        <v>645</v>
      </c>
      <c r="Z216" s="149">
        <v>0</v>
      </c>
      <c r="AA216" s="149">
        <f>Tabela4[[#This Row],[VALOR]]-Tabela4[[#This Row],[PNEUS]]-Tabela4[[#This Row],[BATERIA]]</f>
        <v>6000</v>
      </c>
      <c r="AB216" s="19" t="s">
        <v>30</v>
      </c>
      <c r="AC216" s="30">
        <v>0</v>
      </c>
      <c r="AD216" s="162">
        <v>0</v>
      </c>
      <c r="AE216" s="162">
        <v>0</v>
      </c>
      <c r="AF216" s="162">
        <v>0</v>
      </c>
      <c r="AG216" s="162">
        <v>0</v>
      </c>
      <c r="AH216" s="162">
        <v>0</v>
      </c>
      <c r="AI216" s="162">
        <v>0</v>
      </c>
      <c r="AJ216" s="162">
        <v>0</v>
      </c>
    </row>
    <row r="217" spans="1:36" x14ac:dyDescent="0.25">
      <c r="A217" s="15" t="s">
        <v>471</v>
      </c>
      <c r="B217" s="15"/>
      <c r="C217" s="141">
        <v>45329</v>
      </c>
      <c r="D217" s="141">
        <v>45329</v>
      </c>
      <c r="E217">
        <f>Tabela4[[#This Row],[DATA FATURAMENTO]]-Tabela4[[#This Row],[DATA ORÇAMENTO]]</f>
        <v>0</v>
      </c>
      <c r="F217" s="15">
        <v>10553</v>
      </c>
      <c r="G217" s="15" t="s">
        <v>35</v>
      </c>
      <c r="H217" s="15"/>
      <c r="I217" s="149">
        <v>700</v>
      </c>
      <c r="J217" s="149">
        <v>100</v>
      </c>
      <c r="K217" s="150">
        <f>Tabela4[[#This Row],[PECAS]]+Tabela4[[#This Row],[SERVICOS]]</f>
        <v>800</v>
      </c>
      <c r="L217" s="149">
        <v>0</v>
      </c>
      <c r="M217" s="149">
        <v>0</v>
      </c>
      <c r="N217" s="22"/>
      <c r="O217" s="149">
        <v>0</v>
      </c>
      <c r="P217" s="149">
        <v>110</v>
      </c>
      <c r="Q217" s="149">
        <v>0</v>
      </c>
      <c r="R217" s="149">
        <v>0</v>
      </c>
      <c r="S217" s="149">
        <v>0</v>
      </c>
      <c r="T217" s="149">
        <v>0</v>
      </c>
      <c r="U217" s="149">
        <v>0</v>
      </c>
      <c r="V217" s="15"/>
      <c r="W217" s="22">
        <v>0</v>
      </c>
      <c r="X217" s="149">
        <v>0</v>
      </c>
      <c r="Y217" s="15"/>
      <c r="Z217" s="149">
        <v>0</v>
      </c>
      <c r="AA217" s="149">
        <f>Tabela4[[#This Row],[VALOR]]-Tabela4[[#This Row],[PNEUS]]-Tabela4[[#This Row],[BATERIA]]</f>
        <v>800</v>
      </c>
      <c r="AB217" s="27" t="s">
        <v>30</v>
      </c>
      <c r="AC217" s="30">
        <v>0</v>
      </c>
      <c r="AD217" s="162">
        <v>0</v>
      </c>
      <c r="AE217" s="162">
        <v>0</v>
      </c>
      <c r="AF217" s="162">
        <v>0</v>
      </c>
      <c r="AG217" s="162">
        <v>0</v>
      </c>
      <c r="AH217" s="162">
        <v>0</v>
      </c>
      <c r="AI217" s="162">
        <v>0</v>
      </c>
      <c r="AJ217" s="162">
        <v>0</v>
      </c>
    </row>
    <row r="218" spans="1:36" x14ac:dyDescent="0.25">
      <c r="A218" s="25" t="s">
        <v>106</v>
      </c>
      <c r="B218" s="25"/>
      <c r="C218" s="142">
        <v>45329</v>
      </c>
      <c r="D218" s="142">
        <v>45329</v>
      </c>
      <c r="E218">
        <f>Tabela4[[#This Row],[DATA FATURAMENTO]]-Tabela4[[#This Row],[DATA ORÇAMENTO]]</f>
        <v>0</v>
      </c>
      <c r="F218" s="25">
        <v>10565</v>
      </c>
      <c r="G218" s="25" t="s">
        <v>39</v>
      </c>
      <c r="H218" s="25" t="s">
        <v>44</v>
      </c>
      <c r="I218" s="154">
        <v>0</v>
      </c>
      <c r="J218" s="154">
        <v>120.01</v>
      </c>
      <c r="K218" s="150">
        <f>Tabela4[[#This Row],[PECAS]]+Tabela4[[#This Row],[SERVICOS]]</f>
        <v>120.01</v>
      </c>
      <c r="L218" s="154">
        <v>0</v>
      </c>
      <c r="M218" s="154">
        <v>0</v>
      </c>
      <c r="N218" s="28"/>
      <c r="O218" s="154">
        <v>0</v>
      </c>
      <c r="P218" s="154">
        <v>0</v>
      </c>
      <c r="Q218" s="154">
        <v>0</v>
      </c>
      <c r="R218" s="154">
        <v>0</v>
      </c>
      <c r="S218" s="154">
        <v>0</v>
      </c>
      <c r="T218" s="154">
        <v>0</v>
      </c>
      <c r="U218" s="154">
        <v>0</v>
      </c>
      <c r="V218" s="25"/>
      <c r="W218" s="22">
        <v>0</v>
      </c>
      <c r="X218" s="149">
        <v>0</v>
      </c>
      <c r="Y218" s="25"/>
      <c r="Z218" s="154">
        <v>0</v>
      </c>
      <c r="AA218" s="149">
        <f>Tabela4[[#This Row],[VALOR]]-Tabela4[[#This Row],[PNEUS]]-Tabela4[[#This Row],[BATERIA]]</f>
        <v>120.01</v>
      </c>
      <c r="AB218" s="27" t="s">
        <v>30</v>
      </c>
      <c r="AC218" s="30">
        <v>0</v>
      </c>
      <c r="AD218" s="162">
        <v>0</v>
      </c>
      <c r="AE218" s="162">
        <v>0</v>
      </c>
      <c r="AF218" s="162">
        <v>0</v>
      </c>
      <c r="AG218" s="162">
        <v>0</v>
      </c>
      <c r="AH218" s="162">
        <v>0</v>
      </c>
      <c r="AI218" s="162">
        <v>0</v>
      </c>
      <c r="AJ218" s="162">
        <v>0</v>
      </c>
    </row>
    <row r="219" spans="1:36" x14ac:dyDescent="0.25">
      <c r="A219" s="25" t="s">
        <v>472</v>
      </c>
      <c r="B219" s="25"/>
      <c r="C219" s="142">
        <v>45328</v>
      </c>
      <c r="D219" s="142">
        <v>45330</v>
      </c>
      <c r="E219">
        <f>Tabela4[[#This Row],[DATA FATURAMENTO]]-Tabela4[[#This Row],[DATA ORÇAMENTO]]</f>
        <v>2</v>
      </c>
      <c r="F219" s="25">
        <v>10546</v>
      </c>
      <c r="G219" s="25" t="s">
        <v>25</v>
      </c>
      <c r="H219" s="25"/>
      <c r="I219" s="155">
        <v>4648.8500000000004</v>
      </c>
      <c r="J219" s="155">
        <v>1511.6</v>
      </c>
      <c r="K219" s="153">
        <f>Tabela4[[#This Row],[PECAS]]+Tabela4[[#This Row],[SERVICOS]]</f>
        <v>6160.4500000000007</v>
      </c>
      <c r="L219" s="155">
        <v>0</v>
      </c>
      <c r="M219" s="155">
        <f>120.8+140</f>
        <v>260.8</v>
      </c>
      <c r="N219" s="67"/>
      <c r="O219" s="155">
        <f>124+40.6</f>
        <v>164.6</v>
      </c>
      <c r="P219" s="155">
        <v>0</v>
      </c>
      <c r="Q219" s="155">
        <v>100</v>
      </c>
      <c r="R219" s="155">
        <v>0</v>
      </c>
      <c r="S219" s="154">
        <v>31.63</v>
      </c>
      <c r="T219" s="155">
        <v>2709.85</v>
      </c>
      <c r="U219" s="155">
        <v>0</v>
      </c>
      <c r="V219" s="25"/>
      <c r="W219" s="28">
        <v>4</v>
      </c>
      <c r="X219" s="149">
        <v>0</v>
      </c>
      <c r="Y219" s="25" t="s">
        <v>805</v>
      </c>
      <c r="Z219" s="155">
        <v>0</v>
      </c>
      <c r="AA219" s="149">
        <f>Tabela4[[#This Row],[VALOR]]-Tabela4[[#This Row],[PNEUS]]-Tabela4[[#This Row],[BATERIA]]</f>
        <v>3450.6000000000008</v>
      </c>
      <c r="AB219" s="27" t="s">
        <v>27</v>
      </c>
      <c r="AC219" s="30">
        <v>0</v>
      </c>
      <c r="AD219" s="162">
        <v>0</v>
      </c>
      <c r="AE219" s="162">
        <v>0</v>
      </c>
      <c r="AF219" s="162">
        <v>0</v>
      </c>
      <c r="AG219" s="162">
        <v>0</v>
      </c>
      <c r="AH219" s="162">
        <v>0</v>
      </c>
      <c r="AI219" s="162">
        <v>0</v>
      </c>
      <c r="AJ219" s="162">
        <v>0</v>
      </c>
    </row>
    <row r="220" spans="1:36" x14ac:dyDescent="0.25">
      <c r="A220" s="25" t="s">
        <v>473</v>
      </c>
      <c r="B220" s="25"/>
      <c r="C220" s="142">
        <v>45327</v>
      </c>
      <c r="D220" s="142">
        <v>45330</v>
      </c>
      <c r="E220">
        <f>Tabela4[[#This Row],[DATA FATURAMENTO]]-Tabela4[[#This Row],[DATA ORÇAMENTO]]</f>
        <v>3</v>
      </c>
      <c r="F220" s="25">
        <v>10536</v>
      </c>
      <c r="G220" s="25" t="s">
        <v>22</v>
      </c>
      <c r="H220" s="25"/>
      <c r="I220" s="155">
        <v>823.2</v>
      </c>
      <c r="J220" s="155">
        <v>739.2</v>
      </c>
      <c r="K220" s="153">
        <f>Tabela4[[#This Row],[PECAS]]+Tabela4[[#This Row],[SERVICOS]]</f>
        <v>1562.4</v>
      </c>
      <c r="L220" s="155">
        <v>0</v>
      </c>
      <c r="M220" s="155">
        <v>0</v>
      </c>
      <c r="N220" s="67"/>
      <c r="O220" s="155">
        <v>221.76</v>
      </c>
      <c r="P220" s="155">
        <v>0</v>
      </c>
      <c r="Q220" s="155">
        <v>0</v>
      </c>
      <c r="R220" s="155">
        <v>10</v>
      </c>
      <c r="S220" s="154">
        <v>0</v>
      </c>
      <c r="T220" s="155">
        <v>0</v>
      </c>
      <c r="U220" s="155">
        <v>0</v>
      </c>
      <c r="V220" s="25"/>
      <c r="W220" s="22">
        <v>0</v>
      </c>
      <c r="X220" s="149">
        <v>0</v>
      </c>
      <c r="Y220" s="25"/>
      <c r="Z220" s="155">
        <v>0</v>
      </c>
      <c r="AA220" s="149">
        <f>Tabela4[[#This Row],[VALOR]]-Tabela4[[#This Row],[PNEUS]]-Tabela4[[#This Row],[BATERIA]]</f>
        <v>1562.4</v>
      </c>
      <c r="AB220" s="27" t="s">
        <v>30</v>
      </c>
      <c r="AC220" s="30">
        <v>0</v>
      </c>
      <c r="AD220" s="162">
        <v>0</v>
      </c>
      <c r="AE220" s="162">
        <v>0</v>
      </c>
      <c r="AF220" s="162">
        <v>0</v>
      </c>
      <c r="AG220" s="162">
        <v>0</v>
      </c>
      <c r="AH220" s="162">
        <v>0</v>
      </c>
      <c r="AI220" s="162">
        <v>0</v>
      </c>
      <c r="AJ220" s="162">
        <v>0</v>
      </c>
    </row>
    <row r="221" spans="1:36" x14ac:dyDescent="0.25">
      <c r="A221" s="25" t="s">
        <v>474</v>
      </c>
      <c r="B221" s="25"/>
      <c r="C221" s="142">
        <v>45330</v>
      </c>
      <c r="D221" s="142">
        <v>45330</v>
      </c>
      <c r="E221">
        <f>Tabela4[[#This Row],[DATA FATURAMENTO]]-Tabela4[[#This Row],[DATA ORÇAMENTO]]</f>
        <v>0</v>
      </c>
      <c r="F221" s="25">
        <v>10573</v>
      </c>
      <c r="G221" s="25" t="s">
        <v>22</v>
      </c>
      <c r="H221" s="25"/>
      <c r="I221" s="155">
        <v>1336.6</v>
      </c>
      <c r="J221" s="155">
        <v>1309.3399999999999</v>
      </c>
      <c r="K221" s="153">
        <f>Tabela4[[#This Row],[PECAS]]+Tabela4[[#This Row],[SERVICOS]]</f>
        <v>2645.9399999999996</v>
      </c>
      <c r="L221" s="155">
        <v>160.51</v>
      </c>
      <c r="M221" s="155">
        <f>65+70+160.51</f>
        <v>295.51</v>
      </c>
      <c r="N221" s="67"/>
      <c r="O221" s="155">
        <v>240.77</v>
      </c>
      <c r="P221" s="155">
        <v>129.9</v>
      </c>
      <c r="Q221" s="155">
        <v>160.51</v>
      </c>
      <c r="R221" s="155">
        <v>10</v>
      </c>
      <c r="S221" s="154">
        <v>160.51</v>
      </c>
      <c r="T221" s="155">
        <v>0</v>
      </c>
      <c r="U221" s="155">
        <v>0</v>
      </c>
      <c r="V221" s="25"/>
      <c r="W221" s="28">
        <v>4</v>
      </c>
      <c r="X221" s="149">
        <v>0</v>
      </c>
      <c r="Y221" s="25" t="s">
        <v>635</v>
      </c>
      <c r="Z221" s="155">
        <v>160.51</v>
      </c>
      <c r="AA221" s="149">
        <f>Tabela4[[#This Row],[VALOR]]-Tabela4[[#This Row],[PNEUS]]-Tabela4[[#This Row],[BATERIA]]</f>
        <v>2645.9399999999996</v>
      </c>
      <c r="AB221" s="27" t="s">
        <v>27</v>
      </c>
      <c r="AC221" s="30">
        <v>0</v>
      </c>
      <c r="AD221" s="162">
        <v>0</v>
      </c>
      <c r="AE221" s="162">
        <v>0</v>
      </c>
      <c r="AF221" s="162">
        <v>0</v>
      </c>
      <c r="AG221" s="162">
        <v>0</v>
      </c>
      <c r="AH221" s="162">
        <v>0</v>
      </c>
      <c r="AI221" s="162">
        <v>0</v>
      </c>
      <c r="AJ221" s="162">
        <v>0</v>
      </c>
    </row>
    <row r="222" spans="1:36" x14ac:dyDescent="0.25">
      <c r="A222" s="25" t="s">
        <v>261</v>
      </c>
      <c r="B222" s="25"/>
      <c r="C222" s="142">
        <v>45329</v>
      </c>
      <c r="D222" s="142">
        <v>45330</v>
      </c>
      <c r="E222">
        <f>Tabela4[[#This Row],[DATA FATURAMENTO]]-Tabela4[[#This Row],[DATA ORÇAMENTO]]</f>
        <v>1</v>
      </c>
      <c r="F222" s="25">
        <v>10562</v>
      </c>
      <c r="G222" s="25" t="s">
        <v>22</v>
      </c>
      <c r="H222" s="25"/>
      <c r="I222" s="155">
        <v>1534.4</v>
      </c>
      <c r="J222" s="155">
        <v>1136</v>
      </c>
      <c r="K222" s="153">
        <f>Tabela4[[#This Row],[PECAS]]+Tabela4[[#This Row],[SERVICOS]]</f>
        <v>2670.4</v>
      </c>
      <c r="L222" s="155">
        <v>90</v>
      </c>
      <c r="M222" s="155">
        <f>116.4+25+80</f>
        <v>221.4</v>
      </c>
      <c r="N222" s="67"/>
      <c r="O222" s="155">
        <v>190</v>
      </c>
      <c r="P222" s="155">
        <v>138.80000000000001</v>
      </c>
      <c r="Q222" s="155">
        <v>168</v>
      </c>
      <c r="R222" s="155">
        <v>0</v>
      </c>
      <c r="S222" s="154">
        <v>160</v>
      </c>
      <c r="T222" s="155">
        <v>0</v>
      </c>
      <c r="U222" s="155">
        <v>0</v>
      </c>
      <c r="V222" s="25"/>
      <c r="W222" s="28">
        <v>4</v>
      </c>
      <c r="X222" s="149">
        <v>0</v>
      </c>
      <c r="Y222" s="25" t="s">
        <v>645</v>
      </c>
      <c r="Z222" s="155">
        <v>160</v>
      </c>
      <c r="AA222" s="149">
        <f>Tabela4[[#This Row],[VALOR]]-Tabela4[[#This Row],[PNEUS]]-Tabela4[[#This Row],[BATERIA]]</f>
        <v>2670.4</v>
      </c>
      <c r="AB222" s="27" t="s">
        <v>30</v>
      </c>
      <c r="AC222" s="30">
        <v>0</v>
      </c>
      <c r="AD222" s="162">
        <v>0</v>
      </c>
      <c r="AE222" s="162">
        <v>0</v>
      </c>
      <c r="AF222" s="162">
        <v>0</v>
      </c>
      <c r="AG222" s="162">
        <v>0</v>
      </c>
      <c r="AH222" s="162">
        <v>0</v>
      </c>
      <c r="AI222" s="162">
        <v>0</v>
      </c>
      <c r="AJ222" s="162">
        <v>0</v>
      </c>
    </row>
    <row r="223" spans="1:36" x14ac:dyDescent="0.25">
      <c r="A223" s="25" t="s">
        <v>475</v>
      </c>
      <c r="B223" s="25"/>
      <c r="C223" s="142">
        <v>45329</v>
      </c>
      <c r="D223" s="142">
        <v>45330</v>
      </c>
      <c r="E223">
        <f>Tabela4[[#This Row],[DATA FATURAMENTO]]-Tabela4[[#This Row],[DATA ORÇAMENTO]]</f>
        <v>1</v>
      </c>
      <c r="F223" s="25">
        <v>10555</v>
      </c>
      <c r="G223" s="25" t="s">
        <v>22</v>
      </c>
      <c r="H223" s="25"/>
      <c r="I223" s="155">
        <v>405.1</v>
      </c>
      <c r="J223" s="155">
        <v>231.9</v>
      </c>
      <c r="K223" s="153">
        <f>Tabela4[[#This Row],[PECAS]]+Tabela4[[#This Row],[SERVICOS]]</f>
        <v>637</v>
      </c>
      <c r="L223" s="155">
        <v>0</v>
      </c>
      <c r="M223" s="155">
        <v>0</v>
      </c>
      <c r="N223" s="67"/>
      <c r="O223" s="155">
        <v>0</v>
      </c>
      <c r="P223" s="155">
        <v>0</v>
      </c>
      <c r="Q223" s="155">
        <v>0</v>
      </c>
      <c r="R223" s="155">
        <v>0</v>
      </c>
      <c r="S223" s="154">
        <v>0</v>
      </c>
      <c r="T223" s="155">
        <v>0</v>
      </c>
      <c r="U223" s="155">
        <v>0</v>
      </c>
      <c r="V223" s="25"/>
      <c r="W223" s="28">
        <v>4</v>
      </c>
      <c r="X223" s="149">
        <v>0</v>
      </c>
      <c r="Y223" s="25" t="s">
        <v>805</v>
      </c>
      <c r="Z223" s="155">
        <v>0</v>
      </c>
      <c r="AA223" s="149">
        <f>Tabela4[[#This Row],[VALOR]]-Tabela4[[#This Row],[PNEUS]]-Tabela4[[#This Row],[BATERIA]]</f>
        <v>637</v>
      </c>
      <c r="AB223" s="27" t="s">
        <v>34</v>
      </c>
      <c r="AC223" s="30">
        <v>0</v>
      </c>
      <c r="AD223" s="162">
        <v>0</v>
      </c>
      <c r="AE223" s="162">
        <v>0</v>
      </c>
      <c r="AF223" s="162">
        <v>0</v>
      </c>
      <c r="AG223" s="162">
        <v>0</v>
      </c>
      <c r="AH223" s="162">
        <v>0</v>
      </c>
      <c r="AI223" s="162">
        <v>0</v>
      </c>
      <c r="AJ223" s="162">
        <v>0</v>
      </c>
    </row>
    <row r="224" spans="1:36" x14ac:dyDescent="0.25">
      <c r="A224" s="25" t="s">
        <v>345</v>
      </c>
      <c r="B224" s="25"/>
      <c r="C224" s="142">
        <v>45329</v>
      </c>
      <c r="D224" s="142">
        <v>45330</v>
      </c>
      <c r="E224">
        <f>Tabela4[[#This Row],[DATA FATURAMENTO]]-Tabela4[[#This Row],[DATA ORÇAMENTO]]</f>
        <v>1</v>
      </c>
      <c r="F224" s="25">
        <v>10563</v>
      </c>
      <c r="G224" s="25" t="s">
        <v>22</v>
      </c>
      <c r="H224" s="25"/>
      <c r="I224" s="155">
        <v>345</v>
      </c>
      <c r="J224" s="155">
        <v>0</v>
      </c>
      <c r="K224" s="153">
        <f>Tabela4[[#This Row],[PECAS]]+Tabela4[[#This Row],[SERVICOS]]</f>
        <v>345</v>
      </c>
      <c r="L224" s="155">
        <v>0</v>
      </c>
      <c r="M224" s="155">
        <v>0</v>
      </c>
      <c r="N224" s="67"/>
      <c r="O224" s="155">
        <v>0</v>
      </c>
      <c r="P224" s="155">
        <v>0</v>
      </c>
      <c r="Q224" s="155">
        <v>0</v>
      </c>
      <c r="R224" s="155">
        <v>0</v>
      </c>
      <c r="S224" s="154">
        <v>0</v>
      </c>
      <c r="T224" s="155">
        <v>0</v>
      </c>
      <c r="U224" s="155">
        <v>0</v>
      </c>
      <c r="V224" s="25"/>
      <c r="W224" s="28">
        <v>4</v>
      </c>
      <c r="X224" s="149">
        <v>0</v>
      </c>
      <c r="Y224" s="25" t="s">
        <v>638</v>
      </c>
      <c r="Z224" s="155">
        <v>0</v>
      </c>
      <c r="AA224" s="152">
        <f>K224-U224-T224</f>
        <v>345</v>
      </c>
      <c r="AB224" s="27" t="s">
        <v>32</v>
      </c>
      <c r="AC224" s="30">
        <v>0</v>
      </c>
      <c r="AD224" s="162">
        <v>0</v>
      </c>
      <c r="AE224" s="162">
        <v>0</v>
      </c>
      <c r="AF224" s="162">
        <v>0</v>
      </c>
      <c r="AG224" s="162">
        <v>0</v>
      </c>
      <c r="AH224" s="162">
        <v>0</v>
      </c>
      <c r="AI224" s="162">
        <v>0</v>
      </c>
      <c r="AJ224" s="162">
        <v>0</v>
      </c>
    </row>
    <row r="225" spans="1:36" x14ac:dyDescent="0.25">
      <c r="A225" s="25" t="s">
        <v>475</v>
      </c>
      <c r="B225" s="25"/>
      <c r="C225" s="142">
        <v>45329</v>
      </c>
      <c r="D225" s="142">
        <v>45330</v>
      </c>
      <c r="E225">
        <f>Tabela4[[#This Row],[DATA FATURAMENTO]]-Tabela4[[#This Row],[DATA ORÇAMENTO]]</f>
        <v>1</v>
      </c>
      <c r="F225" s="25">
        <v>10566</v>
      </c>
      <c r="G225" s="25" t="s">
        <v>22</v>
      </c>
      <c r="H225" s="25"/>
      <c r="I225" s="155">
        <v>90</v>
      </c>
      <c r="J225" s="155">
        <v>170</v>
      </c>
      <c r="K225" s="153">
        <f>Tabela4[[#This Row],[PECAS]]+Tabela4[[#This Row],[SERVICOS]]</f>
        <v>260</v>
      </c>
      <c r="L225" s="155">
        <v>0</v>
      </c>
      <c r="M225" s="155">
        <v>0</v>
      </c>
      <c r="N225" s="67"/>
      <c r="O225" s="155">
        <v>0</v>
      </c>
      <c r="P225" s="155">
        <v>0</v>
      </c>
      <c r="Q225" s="155">
        <v>0</v>
      </c>
      <c r="R225" s="155">
        <v>0</v>
      </c>
      <c r="S225" s="154">
        <v>0</v>
      </c>
      <c r="T225" s="155">
        <v>0</v>
      </c>
      <c r="U225" s="155">
        <v>0</v>
      </c>
      <c r="V225" s="25"/>
      <c r="W225" s="22">
        <v>0</v>
      </c>
      <c r="X225" s="149">
        <v>0</v>
      </c>
      <c r="Y225" s="25"/>
      <c r="Z225" s="155">
        <v>0</v>
      </c>
      <c r="AA225" s="149">
        <f>Tabela4[[#This Row],[VALOR]]-Tabela4[[#This Row],[PNEUS]]-Tabela4[[#This Row],[BATERIA]]</f>
        <v>260</v>
      </c>
      <c r="AB225" s="27" t="s">
        <v>34</v>
      </c>
      <c r="AC225" s="30">
        <v>0</v>
      </c>
      <c r="AD225" s="162">
        <v>0</v>
      </c>
      <c r="AE225" s="162">
        <v>0</v>
      </c>
      <c r="AF225" s="162">
        <v>0</v>
      </c>
      <c r="AG225" s="162">
        <v>0</v>
      </c>
      <c r="AH225" s="162">
        <v>0</v>
      </c>
      <c r="AI225" s="162">
        <v>0</v>
      </c>
      <c r="AJ225" s="162">
        <v>0</v>
      </c>
    </row>
    <row r="226" spans="1:36" x14ac:dyDescent="0.25">
      <c r="A226" s="25" t="s">
        <v>473</v>
      </c>
      <c r="B226" s="25"/>
      <c r="C226" s="142">
        <v>45329</v>
      </c>
      <c r="D226" s="142">
        <v>45330</v>
      </c>
      <c r="E226">
        <f>Tabela4[[#This Row],[DATA FATURAMENTO]]-Tabela4[[#This Row],[DATA ORÇAMENTO]]</f>
        <v>1</v>
      </c>
      <c r="F226" s="25">
        <v>10567</v>
      </c>
      <c r="G226" s="25" t="s">
        <v>22</v>
      </c>
      <c r="H226" s="25"/>
      <c r="I226" s="155">
        <v>543.20000000000005</v>
      </c>
      <c r="J226" s="155">
        <v>290</v>
      </c>
      <c r="K226" s="153">
        <f>Tabela4[[#This Row],[PECAS]]+Tabela4[[#This Row],[SERVICOS]]</f>
        <v>833.2</v>
      </c>
      <c r="L226" s="155">
        <v>0</v>
      </c>
      <c r="M226" s="155">
        <v>116.4</v>
      </c>
      <c r="N226" s="67"/>
      <c r="O226" s="155">
        <v>0</v>
      </c>
      <c r="P226" s="155">
        <v>0</v>
      </c>
      <c r="Q226" s="155">
        <v>0</v>
      </c>
      <c r="R226" s="155">
        <v>0</v>
      </c>
      <c r="S226" s="154">
        <v>0</v>
      </c>
      <c r="T226" s="155">
        <v>0</v>
      </c>
      <c r="U226" s="155">
        <v>0</v>
      </c>
      <c r="V226" s="25"/>
      <c r="W226" s="22">
        <v>0</v>
      </c>
      <c r="X226" s="149">
        <v>0</v>
      </c>
      <c r="Y226" s="25"/>
      <c r="Z226" s="155">
        <v>0</v>
      </c>
      <c r="AA226" s="149">
        <f>Tabela4[[#This Row],[VALOR]]-Tabela4[[#This Row],[PNEUS]]-Tabela4[[#This Row],[BATERIA]]</f>
        <v>833.2</v>
      </c>
      <c r="AB226" s="27" t="s">
        <v>34</v>
      </c>
      <c r="AC226" s="30">
        <v>0</v>
      </c>
      <c r="AD226" s="162">
        <v>0</v>
      </c>
      <c r="AE226" s="162">
        <v>0</v>
      </c>
      <c r="AF226" s="162">
        <v>0</v>
      </c>
      <c r="AG226" s="162">
        <v>0</v>
      </c>
      <c r="AH226" s="162">
        <v>0</v>
      </c>
      <c r="AI226" s="162">
        <v>0</v>
      </c>
      <c r="AJ226" s="162">
        <v>0</v>
      </c>
    </row>
    <row r="227" spans="1:36" x14ac:dyDescent="0.25">
      <c r="A227" s="25" t="s">
        <v>476</v>
      </c>
      <c r="B227" s="25"/>
      <c r="C227" s="142">
        <v>45329</v>
      </c>
      <c r="D227" s="142">
        <v>45330</v>
      </c>
      <c r="E227">
        <f>Tabela4[[#This Row],[DATA FATURAMENTO]]-Tabela4[[#This Row],[DATA ORÇAMENTO]]</f>
        <v>1</v>
      </c>
      <c r="F227" s="25">
        <v>10568</v>
      </c>
      <c r="G227" s="25" t="s">
        <v>35</v>
      </c>
      <c r="H227" s="25"/>
      <c r="I227" s="155">
        <v>280</v>
      </c>
      <c r="J227" s="155">
        <v>190</v>
      </c>
      <c r="K227" s="153">
        <f>Tabela4[[#This Row],[PECAS]]+Tabela4[[#This Row],[SERVICOS]]</f>
        <v>470</v>
      </c>
      <c r="L227" s="155">
        <v>0</v>
      </c>
      <c r="M227" s="155">
        <v>0</v>
      </c>
      <c r="N227" s="67"/>
      <c r="O227" s="155">
        <v>0</v>
      </c>
      <c r="P227" s="155">
        <v>0</v>
      </c>
      <c r="Q227" s="155">
        <v>0</v>
      </c>
      <c r="R227" s="155">
        <v>0</v>
      </c>
      <c r="S227" s="154">
        <v>0</v>
      </c>
      <c r="T227" s="155">
        <v>0</v>
      </c>
      <c r="U227" s="155">
        <v>0</v>
      </c>
      <c r="V227" s="25"/>
      <c r="W227" s="22">
        <v>0</v>
      </c>
      <c r="X227" s="149">
        <v>0</v>
      </c>
      <c r="Y227" s="25"/>
      <c r="Z227" s="155">
        <v>0</v>
      </c>
      <c r="AA227" s="149">
        <f>Tabela4[[#This Row],[VALOR]]-Tabela4[[#This Row],[PNEUS]]-Tabela4[[#This Row],[BATERIA]]</f>
        <v>470</v>
      </c>
      <c r="AB227" s="27" t="s">
        <v>34</v>
      </c>
      <c r="AC227" s="30">
        <v>0</v>
      </c>
      <c r="AD227" s="162">
        <v>0</v>
      </c>
      <c r="AE227" s="162">
        <v>0</v>
      </c>
      <c r="AF227" s="162">
        <v>0</v>
      </c>
      <c r="AG227" s="162">
        <v>0</v>
      </c>
      <c r="AH227" s="162">
        <v>0</v>
      </c>
      <c r="AI227" s="162">
        <v>0</v>
      </c>
      <c r="AJ227" s="162">
        <v>0</v>
      </c>
    </row>
    <row r="228" spans="1:36" x14ac:dyDescent="0.25">
      <c r="A228" s="25" t="s">
        <v>477</v>
      </c>
      <c r="B228" s="25"/>
      <c r="C228" s="142">
        <v>45330</v>
      </c>
      <c r="D228" s="142">
        <v>45330</v>
      </c>
      <c r="E228">
        <f>Tabela4[[#This Row],[DATA FATURAMENTO]]-Tabela4[[#This Row],[DATA ORÇAMENTO]]</f>
        <v>0</v>
      </c>
      <c r="F228" s="25">
        <v>10569</v>
      </c>
      <c r="G228" s="25" t="s">
        <v>6</v>
      </c>
      <c r="H228" s="25"/>
      <c r="I228" s="155">
        <v>535</v>
      </c>
      <c r="J228" s="155">
        <v>0</v>
      </c>
      <c r="K228" s="153">
        <f>Tabela4[[#This Row],[PECAS]]+Tabela4[[#This Row],[SERVICOS]]</f>
        <v>535</v>
      </c>
      <c r="L228" s="155">
        <v>0</v>
      </c>
      <c r="M228" s="155">
        <v>0</v>
      </c>
      <c r="N228" s="67"/>
      <c r="O228" s="155">
        <v>0</v>
      </c>
      <c r="P228" s="155">
        <v>0</v>
      </c>
      <c r="Q228" s="155">
        <v>0</v>
      </c>
      <c r="R228" s="155">
        <v>0</v>
      </c>
      <c r="S228" s="154">
        <v>0</v>
      </c>
      <c r="T228" s="155">
        <v>0</v>
      </c>
      <c r="U228" s="155">
        <v>535</v>
      </c>
      <c r="V228" s="25" t="s">
        <v>806</v>
      </c>
      <c r="W228" s="22">
        <v>0</v>
      </c>
      <c r="X228" s="149">
        <v>0</v>
      </c>
      <c r="Y228" s="25"/>
      <c r="Z228" s="155">
        <v>0</v>
      </c>
      <c r="AA228" s="152">
        <f>K228-U228-T228</f>
        <v>0</v>
      </c>
      <c r="AB228" s="27" t="s">
        <v>6</v>
      </c>
      <c r="AC228" s="30">
        <v>0</v>
      </c>
      <c r="AD228" s="162">
        <v>0</v>
      </c>
      <c r="AE228" s="162">
        <v>0</v>
      </c>
      <c r="AF228" s="162">
        <v>0</v>
      </c>
      <c r="AG228" s="162">
        <v>0</v>
      </c>
      <c r="AH228" s="162">
        <v>0</v>
      </c>
      <c r="AI228" s="162">
        <v>0</v>
      </c>
      <c r="AJ228" s="162">
        <v>0</v>
      </c>
    </row>
    <row r="229" spans="1:36" x14ac:dyDescent="0.25">
      <c r="A229" s="25" t="s">
        <v>478</v>
      </c>
      <c r="B229" s="25"/>
      <c r="C229" s="142">
        <v>45330</v>
      </c>
      <c r="D229" s="142">
        <v>45330</v>
      </c>
      <c r="E229">
        <f>Tabela4[[#This Row],[DATA FATURAMENTO]]-Tabela4[[#This Row],[DATA ORÇAMENTO]]</f>
        <v>0</v>
      </c>
      <c r="F229" s="25">
        <v>10576</v>
      </c>
      <c r="G229" s="25" t="s">
        <v>22</v>
      </c>
      <c r="H229" s="25"/>
      <c r="I229" s="155">
        <v>482.8</v>
      </c>
      <c r="J229" s="155">
        <v>190</v>
      </c>
      <c r="K229" s="153">
        <f>Tabela4[[#This Row],[PECAS]]+Tabela4[[#This Row],[SERVICOS]]</f>
        <v>672.8</v>
      </c>
      <c r="L229" s="155">
        <v>0</v>
      </c>
      <c r="M229" s="155">
        <v>0</v>
      </c>
      <c r="N229" s="67"/>
      <c r="O229" s="155">
        <v>0</v>
      </c>
      <c r="P229" s="155">
        <v>0</v>
      </c>
      <c r="Q229" s="155">
        <v>0</v>
      </c>
      <c r="R229" s="155">
        <v>0</v>
      </c>
      <c r="S229" s="154">
        <v>190</v>
      </c>
      <c r="T229" s="155">
        <v>0</v>
      </c>
      <c r="U229" s="155">
        <v>0</v>
      </c>
      <c r="V229" s="25"/>
      <c r="W229" s="22">
        <v>0</v>
      </c>
      <c r="X229" s="149">
        <v>0</v>
      </c>
      <c r="Y229" s="25"/>
      <c r="Z229" s="155">
        <v>190</v>
      </c>
      <c r="AA229" s="149">
        <f>Tabela4[[#This Row],[VALOR]]-Tabela4[[#This Row],[PNEUS]]-Tabela4[[#This Row],[BATERIA]]</f>
        <v>672.8</v>
      </c>
      <c r="AB229" s="27" t="s">
        <v>27</v>
      </c>
      <c r="AC229" s="30">
        <v>0</v>
      </c>
      <c r="AD229" s="162">
        <v>0</v>
      </c>
      <c r="AE229" s="162">
        <v>0</v>
      </c>
      <c r="AF229" s="162">
        <v>0</v>
      </c>
      <c r="AG229" s="162">
        <v>0</v>
      </c>
      <c r="AH229" s="162">
        <v>0</v>
      </c>
      <c r="AI229" s="162">
        <v>0</v>
      </c>
      <c r="AJ229" s="162">
        <v>0</v>
      </c>
    </row>
    <row r="230" spans="1:36" x14ac:dyDescent="0.25">
      <c r="A230" s="25" t="s">
        <v>479</v>
      </c>
      <c r="B230" s="25"/>
      <c r="C230" s="142">
        <v>45302</v>
      </c>
      <c r="D230" s="142">
        <v>45331</v>
      </c>
      <c r="E230">
        <f>Tabela4[[#This Row],[DATA FATURAMENTO]]-Tabela4[[#This Row],[DATA ORÇAMENTO]]</f>
        <v>29</v>
      </c>
      <c r="F230" s="25">
        <v>10270</v>
      </c>
      <c r="G230" s="25" t="s">
        <v>33</v>
      </c>
      <c r="H230" s="25"/>
      <c r="I230" s="155">
        <v>2742.2</v>
      </c>
      <c r="J230" s="155">
        <v>2257.8000000000002</v>
      </c>
      <c r="K230" s="153">
        <f>Tabela4[[#This Row],[PECAS]]+Tabela4[[#This Row],[SERVICOS]]</f>
        <v>5000</v>
      </c>
      <c r="L230" s="155">
        <v>0</v>
      </c>
      <c r="M230" s="155">
        <f>150</f>
        <v>150</v>
      </c>
      <c r="N230" s="67"/>
      <c r="O230" s="155">
        <v>0</v>
      </c>
      <c r="P230" s="155">
        <v>0</v>
      </c>
      <c r="Q230" s="155">
        <v>0</v>
      </c>
      <c r="R230" s="155">
        <v>0</v>
      </c>
      <c r="S230" s="154">
        <v>0</v>
      </c>
      <c r="T230" s="155">
        <v>0</v>
      </c>
      <c r="U230" s="155">
        <v>0</v>
      </c>
      <c r="V230" s="25"/>
      <c r="W230" s="28">
        <v>4</v>
      </c>
      <c r="X230" s="149">
        <v>0</v>
      </c>
      <c r="Y230" s="25" t="s">
        <v>645</v>
      </c>
      <c r="Z230" s="155">
        <v>0</v>
      </c>
      <c r="AA230" s="149">
        <f>Tabela4[[#This Row],[VALOR]]-Tabela4[[#This Row],[PNEUS]]-Tabela4[[#This Row],[BATERIA]]</f>
        <v>5000</v>
      </c>
      <c r="AB230" s="27" t="s">
        <v>32</v>
      </c>
      <c r="AC230" s="30">
        <v>0</v>
      </c>
      <c r="AD230" s="162">
        <v>0</v>
      </c>
      <c r="AE230" s="162">
        <v>0</v>
      </c>
      <c r="AF230" s="162">
        <v>0</v>
      </c>
      <c r="AG230" s="162">
        <v>0</v>
      </c>
      <c r="AH230" s="162">
        <v>0</v>
      </c>
      <c r="AI230" s="162">
        <v>0</v>
      </c>
      <c r="AJ230" s="162">
        <v>0</v>
      </c>
    </row>
    <row r="231" spans="1:36" x14ac:dyDescent="0.25">
      <c r="A231" s="25" t="s">
        <v>480</v>
      </c>
      <c r="B231" s="25"/>
      <c r="C231" s="142">
        <v>45320</v>
      </c>
      <c r="D231" s="142">
        <v>45331</v>
      </c>
      <c r="E231">
        <f>Tabela4[[#This Row],[DATA FATURAMENTO]]-Tabela4[[#This Row],[DATA ORÇAMENTO]]</f>
        <v>11</v>
      </c>
      <c r="F231" s="25">
        <v>10449</v>
      </c>
      <c r="G231" s="25" t="s">
        <v>35</v>
      </c>
      <c r="H231" s="25"/>
      <c r="I231" s="155">
        <v>6358.9</v>
      </c>
      <c r="J231" s="155">
        <v>3641.1</v>
      </c>
      <c r="K231" s="153">
        <f>Tabela4[[#This Row],[PECAS]]+Tabela4[[#This Row],[SERVICOS]]</f>
        <v>10000</v>
      </c>
      <c r="L231" s="155">
        <v>0</v>
      </c>
      <c r="M231" s="155">
        <v>0</v>
      </c>
      <c r="N231" s="67"/>
      <c r="O231" s="155">
        <v>0</v>
      </c>
      <c r="P231" s="155">
        <v>0</v>
      </c>
      <c r="Q231" s="155">
        <v>0</v>
      </c>
      <c r="R231" s="155">
        <v>0</v>
      </c>
      <c r="S231" s="154">
        <v>183</v>
      </c>
      <c r="T231" s="155">
        <v>0</v>
      </c>
      <c r="U231" s="155">
        <v>0</v>
      </c>
      <c r="V231" s="25"/>
      <c r="W231" s="28">
        <v>4</v>
      </c>
      <c r="X231" s="149">
        <v>0</v>
      </c>
      <c r="Y231" s="25" t="s">
        <v>654</v>
      </c>
      <c r="Z231" s="155">
        <v>183</v>
      </c>
      <c r="AA231" s="149">
        <f>Tabela4[[#This Row],[VALOR]]-Tabela4[[#This Row],[PNEUS]]-Tabela4[[#This Row],[BATERIA]]</f>
        <v>10000</v>
      </c>
      <c r="AB231" s="27" t="s">
        <v>30</v>
      </c>
      <c r="AC231" s="30">
        <v>0</v>
      </c>
      <c r="AD231" s="162">
        <v>0</v>
      </c>
      <c r="AE231" s="162">
        <v>0</v>
      </c>
      <c r="AF231" s="162">
        <v>0</v>
      </c>
      <c r="AG231" s="162">
        <v>0</v>
      </c>
      <c r="AH231" s="162">
        <v>0</v>
      </c>
      <c r="AI231" s="162">
        <v>0</v>
      </c>
      <c r="AJ231" s="162">
        <v>0</v>
      </c>
    </row>
    <row r="232" spans="1:36" x14ac:dyDescent="0.25">
      <c r="A232" s="26" t="s">
        <v>481</v>
      </c>
      <c r="B232" s="26"/>
      <c r="C232" s="142">
        <v>45321</v>
      </c>
      <c r="D232" s="142">
        <v>45331</v>
      </c>
      <c r="E232">
        <f>Tabela4[[#This Row],[DATA FATURAMENTO]]-Tabela4[[#This Row],[DATA ORÇAMENTO]]</f>
        <v>10</v>
      </c>
      <c r="F232" s="25">
        <v>10487</v>
      </c>
      <c r="G232" s="25" t="s">
        <v>31</v>
      </c>
      <c r="H232" s="25"/>
      <c r="I232" s="155">
        <v>204.4</v>
      </c>
      <c r="J232" s="155">
        <v>995.6</v>
      </c>
      <c r="K232" s="153">
        <f>Tabela4[[#This Row],[PECAS]]+Tabela4[[#This Row],[SERVICOS]]</f>
        <v>1200</v>
      </c>
      <c r="L232" s="155">
        <v>0</v>
      </c>
      <c r="M232" s="155">
        <v>116.4</v>
      </c>
      <c r="N232" s="67"/>
      <c r="O232" s="155">
        <v>0</v>
      </c>
      <c r="P232" s="155">
        <v>0</v>
      </c>
      <c r="Q232" s="155">
        <v>0</v>
      </c>
      <c r="R232" s="155">
        <v>0</v>
      </c>
      <c r="S232" s="154">
        <v>0</v>
      </c>
      <c r="T232" s="155">
        <v>0</v>
      </c>
      <c r="U232" s="155">
        <v>0</v>
      </c>
      <c r="V232" s="25"/>
      <c r="W232" s="22">
        <v>0</v>
      </c>
      <c r="X232" s="149">
        <v>0</v>
      </c>
      <c r="Y232" s="25"/>
      <c r="Z232" s="155">
        <v>0</v>
      </c>
      <c r="AA232" s="149">
        <f>Tabela4[[#This Row],[VALOR]]-Tabela4[[#This Row],[PNEUS]]-Tabela4[[#This Row],[BATERIA]]</f>
        <v>1200</v>
      </c>
      <c r="AB232" s="27" t="s">
        <v>30</v>
      </c>
      <c r="AC232" s="30">
        <v>0</v>
      </c>
      <c r="AD232" s="162">
        <v>0</v>
      </c>
      <c r="AE232" s="162">
        <v>0</v>
      </c>
      <c r="AF232" s="162">
        <v>0</v>
      </c>
      <c r="AG232" s="162">
        <v>0</v>
      </c>
      <c r="AH232" s="162">
        <v>0</v>
      </c>
      <c r="AI232" s="162">
        <v>0</v>
      </c>
      <c r="AJ232" s="162">
        <v>0</v>
      </c>
    </row>
    <row r="233" spans="1:36" x14ac:dyDescent="0.25">
      <c r="A233" s="25" t="s">
        <v>482</v>
      </c>
      <c r="B233" s="25"/>
      <c r="C233" s="142">
        <v>45327</v>
      </c>
      <c r="D233" s="142">
        <v>45331</v>
      </c>
      <c r="E233">
        <f>Tabela4[[#This Row],[DATA FATURAMENTO]]-Tabela4[[#This Row],[DATA ORÇAMENTO]]</f>
        <v>4</v>
      </c>
      <c r="F233" s="25">
        <v>10533</v>
      </c>
      <c r="G233" s="25" t="s">
        <v>35</v>
      </c>
      <c r="H233" s="25"/>
      <c r="I233" s="155">
        <v>1054.4000000000001</v>
      </c>
      <c r="J233" s="155">
        <v>1255.6099999999999</v>
      </c>
      <c r="K233" s="153">
        <f>Tabela4[[#This Row],[PECAS]]+Tabela4[[#This Row],[SERVICOS]]</f>
        <v>2310.0100000000002</v>
      </c>
      <c r="L233" s="155">
        <v>0</v>
      </c>
      <c r="M233" s="155">
        <v>0</v>
      </c>
      <c r="N233" s="67"/>
      <c r="O233" s="155">
        <v>235.62</v>
      </c>
      <c r="P233" s="155">
        <v>0</v>
      </c>
      <c r="Q233" s="155">
        <v>170.41</v>
      </c>
      <c r="R233" s="155">
        <v>0</v>
      </c>
      <c r="S233" s="154">
        <v>160</v>
      </c>
      <c r="T233" s="155">
        <v>0</v>
      </c>
      <c r="U233" s="155">
        <v>0</v>
      </c>
      <c r="V233" s="25"/>
      <c r="W233" s="28">
        <v>4</v>
      </c>
      <c r="X233" s="149">
        <v>0</v>
      </c>
      <c r="Y233" s="25" t="s">
        <v>645</v>
      </c>
      <c r="Z233" s="155">
        <v>0</v>
      </c>
      <c r="AA233" s="149">
        <f>Tabela4[[#This Row],[VALOR]]-Tabela4[[#This Row],[PNEUS]]-Tabela4[[#This Row],[BATERIA]]</f>
        <v>2310.0100000000002</v>
      </c>
      <c r="AB233" s="27" t="s">
        <v>34</v>
      </c>
      <c r="AC233" s="30">
        <v>0</v>
      </c>
      <c r="AD233" s="162">
        <v>0</v>
      </c>
      <c r="AE233" s="162">
        <v>0</v>
      </c>
      <c r="AF233" s="162">
        <v>0</v>
      </c>
      <c r="AG233" s="162">
        <v>0</v>
      </c>
      <c r="AH233" s="162">
        <v>0</v>
      </c>
      <c r="AI233" s="162">
        <v>0</v>
      </c>
      <c r="AJ233" s="162">
        <v>0</v>
      </c>
    </row>
    <row r="234" spans="1:36" x14ac:dyDescent="0.25">
      <c r="A234" s="25" t="s">
        <v>483</v>
      </c>
      <c r="B234" s="25"/>
      <c r="C234" s="142">
        <v>45328</v>
      </c>
      <c r="D234" s="142">
        <v>45331</v>
      </c>
      <c r="E234">
        <f>Tabela4[[#This Row],[DATA FATURAMENTO]]-Tabela4[[#This Row],[DATA ORÇAMENTO]]</f>
        <v>3</v>
      </c>
      <c r="F234" s="25">
        <v>10544</v>
      </c>
      <c r="G234" s="25" t="s">
        <v>22</v>
      </c>
      <c r="H234" s="25"/>
      <c r="I234" s="155">
        <v>449</v>
      </c>
      <c r="J234" s="155">
        <v>411</v>
      </c>
      <c r="K234" s="153">
        <f>Tabela4[[#This Row],[PECAS]]+Tabela4[[#This Row],[SERVICOS]]</f>
        <v>860</v>
      </c>
      <c r="L234" s="155">
        <v>0</v>
      </c>
      <c r="M234" s="155">
        <v>0</v>
      </c>
      <c r="N234" s="67"/>
      <c r="O234" s="155">
        <v>0</v>
      </c>
      <c r="P234" s="155">
        <v>0</v>
      </c>
      <c r="Q234" s="155">
        <v>0</v>
      </c>
      <c r="R234" s="155">
        <v>0</v>
      </c>
      <c r="S234" s="154">
        <v>0</v>
      </c>
      <c r="T234" s="155">
        <v>0</v>
      </c>
      <c r="U234" s="155">
        <v>0</v>
      </c>
      <c r="V234" s="25"/>
      <c r="W234" s="22">
        <v>0</v>
      </c>
      <c r="X234" s="149">
        <v>0</v>
      </c>
      <c r="Y234" s="25"/>
      <c r="Z234" s="155">
        <v>0</v>
      </c>
      <c r="AA234" s="149">
        <f>Tabela4[[#This Row],[VALOR]]-Tabela4[[#This Row],[PNEUS]]-Tabela4[[#This Row],[BATERIA]]</f>
        <v>860</v>
      </c>
      <c r="AB234" s="27" t="s">
        <v>30</v>
      </c>
      <c r="AC234" s="30">
        <v>0</v>
      </c>
      <c r="AD234" s="162">
        <v>0</v>
      </c>
      <c r="AE234" s="162">
        <v>0</v>
      </c>
      <c r="AF234" s="162">
        <v>0</v>
      </c>
      <c r="AG234" s="162">
        <v>0</v>
      </c>
      <c r="AH234" s="162">
        <v>0</v>
      </c>
      <c r="AI234" s="162">
        <v>0</v>
      </c>
      <c r="AJ234" s="162">
        <v>0</v>
      </c>
    </row>
    <row r="235" spans="1:36" x14ac:dyDescent="0.25">
      <c r="A235" s="25" t="s">
        <v>484</v>
      </c>
      <c r="B235" s="25"/>
      <c r="C235" s="142">
        <v>45328</v>
      </c>
      <c r="D235" s="142">
        <v>45331</v>
      </c>
      <c r="E235">
        <f>Tabela4[[#This Row],[DATA FATURAMENTO]]-Tabela4[[#This Row],[DATA ORÇAMENTO]]</f>
        <v>3</v>
      </c>
      <c r="F235" s="25">
        <v>10550</v>
      </c>
      <c r="G235" s="25" t="s">
        <v>35</v>
      </c>
      <c r="H235" s="25"/>
      <c r="I235" s="155">
        <v>1222.4000000000001</v>
      </c>
      <c r="J235" s="155">
        <v>1337.6</v>
      </c>
      <c r="K235" s="153">
        <f>Tabela4[[#This Row],[PECAS]]+Tabela4[[#This Row],[SERVICOS]]</f>
        <v>2560</v>
      </c>
      <c r="L235" s="155">
        <v>0</v>
      </c>
      <c r="M235" s="155">
        <f>116.4+24.8+76</f>
        <v>217.20000000000002</v>
      </c>
      <c r="N235" s="67"/>
      <c r="O235" s="155">
        <v>240</v>
      </c>
      <c r="P235" s="155">
        <v>0</v>
      </c>
      <c r="Q235" s="155">
        <v>180</v>
      </c>
      <c r="R235" s="155">
        <v>0</v>
      </c>
      <c r="S235" s="154">
        <v>220</v>
      </c>
      <c r="T235" s="155">
        <v>0</v>
      </c>
      <c r="U235" s="155">
        <v>0</v>
      </c>
      <c r="V235" s="25"/>
      <c r="W235" s="28">
        <v>4</v>
      </c>
      <c r="X235" s="149">
        <v>0</v>
      </c>
      <c r="Y235" s="25" t="s">
        <v>804</v>
      </c>
      <c r="Z235" s="155">
        <v>0</v>
      </c>
      <c r="AA235" s="149">
        <f>Tabela4[[#This Row],[VALOR]]-Tabela4[[#This Row],[PNEUS]]-Tabela4[[#This Row],[BATERIA]]</f>
        <v>2560</v>
      </c>
      <c r="AB235" s="27" t="s">
        <v>32</v>
      </c>
      <c r="AC235" s="30">
        <v>0</v>
      </c>
      <c r="AD235" s="162">
        <v>0</v>
      </c>
      <c r="AE235" s="162">
        <v>0</v>
      </c>
      <c r="AF235" s="162">
        <v>0</v>
      </c>
      <c r="AG235" s="162">
        <v>0</v>
      </c>
      <c r="AH235" s="162">
        <v>0</v>
      </c>
      <c r="AI235" s="162">
        <v>0</v>
      </c>
      <c r="AJ235" s="162">
        <v>0</v>
      </c>
    </row>
    <row r="236" spans="1:36" x14ac:dyDescent="0.25">
      <c r="A236" s="25" t="s">
        <v>485</v>
      </c>
      <c r="B236" s="25"/>
      <c r="C236" s="142">
        <v>45329</v>
      </c>
      <c r="D236" s="142">
        <v>45331</v>
      </c>
      <c r="E236">
        <f>Tabela4[[#This Row],[DATA FATURAMENTO]]-Tabela4[[#This Row],[DATA ORÇAMENTO]]</f>
        <v>2</v>
      </c>
      <c r="F236" s="25">
        <v>10559</v>
      </c>
      <c r="G236" s="25" t="s">
        <v>22</v>
      </c>
      <c r="H236" s="25"/>
      <c r="I236" s="155">
        <v>390</v>
      </c>
      <c r="J236" s="155">
        <v>490</v>
      </c>
      <c r="K236" s="153">
        <f>Tabela4[[#This Row],[PECAS]]+Tabela4[[#This Row],[SERVICOS]]</f>
        <v>880</v>
      </c>
      <c r="L236" s="155">
        <v>0</v>
      </c>
      <c r="M236" s="155">
        <v>0</v>
      </c>
      <c r="N236" s="67"/>
      <c r="O236" s="155">
        <v>0</v>
      </c>
      <c r="P236" s="155">
        <v>0</v>
      </c>
      <c r="Q236" s="155">
        <v>0</v>
      </c>
      <c r="R236" s="155">
        <v>0</v>
      </c>
      <c r="S236" s="154">
        <v>0</v>
      </c>
      <c r="T236" s="155">
        <v>0</v>
      </c>
      <c r="U236" s="155">
        <v>0</v>
      </c>
      <c r="V236" s="25"/>
      <c r="W236" s="22">
        <v>0</v>
      </c>
      <c r="X236" s="149">
        <v>0</v>
      </c>
      <c r="Y236" s="25"/>
      <c r="Z236" s="155">
        <v>0</v>
      </c>
      <c r="AA236" s="149">
        <f>Tabela4[[#This Row],[VALOR]]-Tabela4[[#This Row],[PNEUS]]-Tabela4[[#This Row],[BATERIA]]</f>
        <v>880</v>
      </c>
      <c r="AB236" s="27" t="s">
        <v>30</v>
      </c>
      <c r="AC236" s="30">
        <v>0</v>
      </c>
      <c r="AD236" s="162">
        <v>0</v>
      </c>
      <c r="AE236" s="162">
        <v>0</v>
      </c>
      <c r="AF236" s="162">
        <v>0</v>
      </c>
      <c r="AG236" s="162">
        <v>0</v>
      </c>
      <c r="AH236" s="162">
        <v>0</v>
      </c>
      <c r="AI236" s="162">
        <v>0</v>
      </c>
      <c r="AJ236" s="162">
        <v>0</v>
      </c>
    </row>
    <row r="237" spans="1:36" x14ac:dyDescent="0.25">
      <c r="A237" s="25" t="s">
        <v>441</v>
      </c>
      <c r="B237" s="25"/>
      <c r="C237" s="142">
        <v>45330</v>
      </c>
      <c r="D237" s="142">
        <v>45331</v>
      </c>
      <c r="E237">
        <f>Tabela4[[#This Row],[DATA FATURAMENTO]]-Tabela4[[#This Row],[DATA ORÇAMENTO]]</f>
        <v>1</v>
      </c>
      <c r="F237" s="25">
        <v>10572</v>
      </c>
      <c r="G237" s="25" t="s">
        <v>37</v>
      </c>
      <c r="H237" s="25"/>
      <c r="I237" s="155">
        <v>526.41</v>
      </c>
      <c r="J237" s="155">
        <v>552.4</v>
      </c>
      <c r="K237" s="153">
        <f>Tabela4[[#This Row],[PECAS]]+Tabela4[[#This Row],[SERVICOS]]</f>
        <v>1078.81</v>
      </c>
      <c r="L237" s="155">
        <v>0</v>
      </c>
      <c r="M237" s="155">
        <v>0</v>
      </c>
      <c r="N237" s="67"/>
      <c r="O237" s="155">
        <f>140+48</f>
        <v>188</v>
      </c>
      <c r="P237" s="155">
        <v>102.06</v>
      </c>
      <c r="Q237" s="155">
        <v>100</v>
      </c>
      <c r="R237" s="155">
        <v>0</v>
      </c>
      <c r="S237" s="154">
        <v>97</v>
      </c>
      <c r="T237" s="155">
        <v>0</v>
      </c>
      <c r="U237" s="155">
        <v>0</v>
      </c>
      <c r="V237" s="25"/>
      <c r="W237" s="28">
        <v>4</v>
      </c>
      <c r="X237" s="149">
        <v>0</v>
      </c>
      <c r="Y237" s="25" t="s">
        <v>654</v>
      </c>
      <c r="Z237" s="155">
        <v>0</v>
      </c>
      <c r="AA237" s="149">
        <f>Tabela4[[#This Row],[VALOR]]-Tabela4[[#This Row],[PNEUS]]-Tabela4[[#This Row],[BATERIA]]</f>
        <v>1078.81</v>
      </c>
      <c r="AB237" s="27" t="s">
        <v>32</v>
      </c>
      <c r="AC237" s="30">
        <v>0</v>
      </c>
      <c r="AD237" s="162">
        <v>0</v>
      </c>
      <c r="AE237" s="162">
        <v>0</v>
      </c>
      <c r="AF237" s="162">
        <v>0</v>
      </c>
      <c r="AG237" s="162">
        <v>0</v>
      </c>
      <c r="AH237" s="162">
        <v>0</v>
      </c>
      <c r="AI237" s="162">
        <v>0</v>
      </c>
      <c r="AJ237" s="162">
        <v>0</v>
      </c>
    </row>
    <row r="238" spans="1:36" x14ac:dyDescent="0.25">
      <c r="A238" s="25" t="s">
        <v>486</v>
      </c>
      <c r="B238" s="25"/>
      <c r="C238" s="142">
        <v>45330</v>
      </c>
      <c r="D238" s="142">
        <v>45331</v>
      </c>
      <c r="E238">
        <f>Tabela4[[#This Row],[DATA FATURAMENTO]]-Tabela4[[#This Row],[DATA ORÇAMENTO]]</f>
        <v>1</v>
      </c>
      <c r="F238" s="25">
        <v>10575</v>
      </c>
      <c r="G238" s="25" t="s">
        <v>35</v>
      </c>
      <c r="H238" s="25"/>
      <c r="I238" s="155">
        <v>156</v>
      </c>
      <c r="J238" s="155">
        <v>441.96</v>
      </c>
      <c r="K238" s="153">
        <f>Tabela4[[#This Row],[PECAS]]+Tabela4[[#This Row],[SERVICOS]]</f>
        <v>597.96</v>
      </c>
      <c r="L238" s="155">
        <v>0</v>
      </c>
      <c r="M238" s="155">
        <v>0</v>
      </c>
      <c r="N238" s="67"/>
      <c r="O238" s="155">
        <v>0</v>
      </c>
      <c r="P238" s="155">
        <v>0</v>
      </c>
      <c r="Q238" s="155">
        <v>0</v>
      </c>
      <c r="R238" s="155">
        <v>0</v>
      </c>
      <c r="S238" s="154">
        <v>0</v>
      </c>
      <c r="T238" s="155">
        <v>0</v>
      </c>
      <c r="U238" s="155">
        <v>0</v>
      </c>
      <c r="V238" s="25"/>
      <c r="W238" s="22">
        <v>0</v>
      </c>
      <c r="X238" s="149">
        <v>0</v>
      </c>
      <c r="Y238" s="25"/>
      <c r="Z238" s="155">
        <v>0</v>
      </c>
      <c r="AA238" s="149">
        <f>Tabela4[[#This Row],[VALOR]]-Tabela4[[#This Row],[PNEUS]]-Tabela4[[#This Row],[BATERIA]]</f>
        <v>597.96</v>
      </c>
      <c r="AB238" s="27" t="s">
        <v>32</v>
      </c>
      <c r="AC238" s="30">
        <v>0</v>
      </c>
      <c r="AD238" s="162">
        <v>0</v>
      </c>
      <c r="AE238" s="162">
        <v>0</v>
      </c>
      <c r="AF238" s="162">
        <v>0</v>
      </c>
      <c r="AG238" s="162">
        <v>0</v>
      </c>
      <c r="AH238" s="162">
        <v>0</v>
      </c>
      <c r="AI238" s="162">
        <v>0</v>
      </c>
      <c r="AJ238" s="162">
        <v>0</v>
      </c>
    </row>
    <row r="239" spans="1:36" x14ac:dyDescent="0.25">
      <c r="A239" s="25" t="s">
        <v>487</v>
      </c>
      <c r="B239" s="25"/>
      <c r="C239" s="142">
        <v>45331</v>
      </c>
      <c r="D239" s="142">
        <v>45331</v>
      </c>
      <c r="E239">
        <f>Tabela4[[#This Row],[DATA FATURAMENTO]]-Tabela4[[#This Row],[DATA ORÇAMENTO]]</f>
        <v>0</v>
      </c>
      <c r="F239" s="25">
        <v>10586</v>
      </c>
      <c r="G239" s="25" t="s">
        <v>31</v>
      </c>
      <c r="H239" s="25"/>
      <c r="I239" s="155">
        <v>388</v>
      </c>
      <c r="J239" s="155">
        <v>190</v>
      </c>
      <c r="K239" s="153">
        <f>Tabela4[[#This Row],[PECAS]]+Tabela4[[#This Row],[SERVICOS]]</f>
        <v>578</v>
      </c>
      <c r="L239" s="155">
        <v>0</v>
      </c>
      <c r="M239" s="155">
        <v>0</v>
      </c>
      <c r="N239" s="67"/>
      <c r="O239" s="155">
        <v>0</v>
      </c>
      <c r="P239" s="155">
        <v>0</v>
      </c>
      <c r="Q239" s="155">
        <v>0</v>
      </c>
      <c r="R239" s="155">
        <v>0</v>
      </c>
      <c r="S239" s="154">
        <v>190</v>
      </c>
      <c r="T239" s="155">
        <v>0</v>
      </c>
      <c r="U239" s="155">
        <v>0</v>
      </c>
      <c r="V239" s="25"/>
      <c r="W239" s="28">
        <v>4</v>
      </c>
      <c r="X239" s="149">
        <v>0</v>
      </c>
      <c r="Y239" s="25" t="s">
        <v>807</v>
      </c>
      <c r="Z239" s="155">
        <v>190</v>
      </c>
      <c r="AA239" s="149">
        <f>Tabela4[[#This Row],[VALOR]]-Tabela4[[#This Row],[PNEUS]]-Tabela4[[#This Row],[BATERIA]]</f>
        <v>578</v>
      </c>
      <c r="AB239" s="27" t="s">
        <v>30</v>
      </c>
      <c r="AC239" s="30">
        <v>0</v>
      </c>
      <c r="AD239" s="162">
        <v>0</v>
      </c>
      <c r="AE239" s="162">
        <v>0</v>
      </c>
      <c r="AF239" s="162">
        <v>0</v>
      </c>
      <c r="AG239" s="162">
        <v>0</v>
      </c>
      <c r="AH239" s="162">
        <v>0</v>
      </c>
      <c r="AI239" s="162">
        <v>0</v>
      </c>
      <c r="AJ239" s="162">
        <v>0</v>
      </c>
    </row>
    <row r="240" spans="1:36" x14ac:dyDescent="0.25">
      <c r="A240" s="25" t="s">
        <v>488</v>
      </c>
      <c r="B240" s="25"/>
      <c r="C240" s="142">
        <v>45328</v>
      </c>
      <c r="D240" s="142">
        <v>45332</v>
      </c>
      <c r="E240">
        <f>Tabela4[[#This Row],[DATA FATURAMENTO]]-Tabela4[[#This Row],[DATA ORÇAMENTO]]</f>
        <v>4</v>
      </c>
      <c r="F240" s="25">
        <v>10543</v>
      </c>
      <c r="G240" s="25" t="s">
        <v>22</v>
      </c>
      <c r="H240" s="25"/>
      <c r="I240" s="155">
        <v>3039.2</v>
      </c>
      <c r="J240" s="155">
        <v>1126.8</v>
      </c>
      <c r="K240" s="153">
        <f>Tabela4[[#This Row],[PECAS]]+Tabela4[[#This Row],[SERVICOS]]</f>
        <v>4166</v>
      </c>
      <c r="L240" s="155">
        <v>0</v>
      </c>
      <c r="M240" s="155">
        <v>0</v>
      </c>
      <c r="N240" s="67"/>
      <c r="O240" s="155">
        <v>324.72000000000003</v>
      </c>
      <c r="P240" s="155">
        <v>0</v>
      </c>
      <c r="Q240" s="155">
        <v>0</v>
      </c>
      <c r="R240" s="155">
        <v>0</v>
      </c>
      <c r="S240" s="154">
        <v>0</v>
      </c>
      <c r="T240" s="155">
        <v>0</v>
      </c>
      <c r="U240" s="155">
        <v>0</v>
      </c>
      <c r="V240" s="25"/>
      <c r="W240" s="22">
        <v>0</v>
      </c>
      <c r="X240" s="149">
        <v>0</v>
      </c>
      <c r="Y240" s="25"/>
      <c r="Z240" s="155">
        <v>0</v>
      </c>
      <c r="AA240" s="149">
        <f>Tabela4[[#This Row],[VALOR]]-Tabela4[[#This Row],[PNEUS]]-Tabela4[[#This Row],[BATERIA]]</f>
        <v>4166</v>
      </c>
      <c r="AB240" s="27" t="s">
        <v>32</v>
      </c>
      <c r="AC240" s="30">
        <v>0</v>
      </c>
      <c r="AD240" s="162">
        <v>0</v>
      </c>
      <c r="AE240" s="162">
        <v>0</v>
      </c>
      <c r="AF240" s="162">
        <v>0</v>
      </c>
      <c r="AG240" s="162">
        <v>0</v>
      </c>
      <c r="AH240" s="162">
        <v>0</v>
      </c>
      <c r="AI240" s="162">
        <v>0</v>
      </c>
      <c r="AJ240" s="162">
        <v>0</v>
      </c>
    </row>
    <row r="241" spans="1:36" x14ac:dyDescent="0.25">
      <c r="A241" s="25" t="s">
        <v>489</v>
      </c>
      <c r="B241" s="25"/>
      <c r="C241" s="142">
        <v>45331</v>
      </c>
      <c r="D241" s="142">
        <v>45332</v>
      </c>
      <c r="E241">
        <f>Tabela4[[#This Row],[DATA FATURAMENTO]]-Tabela4[[#This Row],[DATA ORÇAMENTO]]</f>
        <v>1</v>
      </c>
      <c r="F241" s="25">
        <v>10591</v>
      </c>
      <c r="G241" s="25" t="s">
        <v>22</v>
      </c>
      <c r="H241" s="25"/>
      <c r="I241" s="155">
        <v>2330.6999999999998</v>
      </c>
      <c r="J241" s="155">
        <v>1149.3</v>
      </c>
      <c r="K241" s="153">
        <f>Tabela4[[#This Row],[PECAS]]+Tabela4[[#This Row],[SERVICOS]]</f>
        <v>3480</v>
      </c>
      <c r="L241" s="155">
        <v>99.3</v>
      </c>
      <c r="M241" s="155">
        <v>0</v>
      </c>
      <c r="N241" s="67"/>
      <c r="O241" s="155">
        <v>240</v>
      </c>
      <c r="P241" s="155">
        <f>135+65</f>
        <v>200</v>
      </c>
      <c r="Q241" s="155">
        <v>160</v>
      </c>
      <c r="R241" s="155">
        <v>10</v>
      </c>
      <c r="S241" s="154">
        <v>170</v>
      </c>
      <c r="T241" s="155">
        <v>0</v>
      </c>
      <c r="U241" s="155">
        <v>0</v>
      </c>
      <c r="V241" s="25"/>
      <c r="W241" s="28">
        <v>4</v>
      </c>
      <c r="X241" s="149">
        <v>0</v>
      </c>
      <c r="Y241" s="25" t="s">
        <v>645</v>
      </c>
      <c r="Z241" s="155">
        <v>0</v>
      </c>
      <c r="AA241" s="149">
        <f>Tabela4[[#This Row],[VALOR]]-Tabela4[[#This Row],[PNEUS]]-Tabela4[[#This Row],[BATERIA]]</f>
        <v>3480</v>
      </c>
      <c r="AB241" s="27" t="s">
        <v>27</v>
      </c>
      <c r="AC241" s="30">
        <v>0</v>
      </c>
      <c r="AD241" s="162">
        <v>0</v>
      </c>
      <c r="AE241" s="162">
        <v>0</v>
      </c>
      <c r="AF241" s="162">
        <v>0</v>
      </c>
      <c r="AG241" s="162">
        <v>0</v>
      </c>
      <c r="AH241" s="162">
        <v>0</v>
      </c>
      <c r="AI241" s="162">
        <v>0</v>
      </c>
      <c r="AJ241" s="162">
        <v>0</v>
      </c>
    </row>
    <row r="242" spans="1:36" x14ac:dyDescent="0.25">
      <c r="A242" s="25" t="s">
        <v>490</v>
      </c>
      <c r="B242" s="25"/>
      <c r="C242" s="142">
        <v>45330</v>
      </c>
      <c r="D242" s="142">
        <v>45332</v>
      </c>
      <c r="E242">
        <f>Tabela4[[#This Row],[DATA FATURAMENTO]]-Tabela4[[#This Row],[DATA ORÇAMENTO]]</f>
        <v>2</v>
      </c>
      <c r="F242" s="25">
        <v>10579</v>
      </c>
      <c r="G242" s="25" t="s">
        <v>22</v>
      </c>
      <c r="H242" s="25"/>
      <c r="I242" s="155">
        <v>400</v>
      </c>
      <c r="J242" s="155">
        <v>0</v>
      </c>
      <c r="K242" s="153">
        <f>Tabela4[[#This Row],[PECAS]]+Tabela4[[#This Row],[SERVICOS]]</f>
        <v>400</v>
      </c>
      <c r="L242" s="155">
        <v>0</v>
      </c>
      <c r="M242" s="155">
        <v>0</v>
      </c>
      <c r="N242" s="67"/>
      <c r="O242" s="155">
        <v>0</v>
      </c>
      <c r="P242" s="155">
        <v>0</v>
      </c>
      <c r="Q242" s="155">
        <v>0</v>
      </c>
      <c r="R242" s="155">
        <v>0</v>
      </c>
      <c r="S242" s="154">
        <v>0</v>
      </c>
      <c r="T242" s="155">
        <v>0</v>
      </c>
      <c r="U242" s="155">
        <v>0</v>
      </c>
      <c r="V242" s="25"/>
      <c r="W242" s="28">
        <v>5</v>
      </c>
      <c r="X242" s="149">
        <v>0</v>
      </c>
      <c r="Y242" s="25" t="s">
        <v>658</v>
      </c>
      <c r="Z242" s="155">
        <v>0</v>
      </c>
      <c r="AA242" s="152">
        <f>K242-U242-T242</f>
        <v>400</v>
      </c>
      <c r="AB242" s="27" t="s">
        <v>34</v>
      </c>
      <c r="AC242" s="30">
        <v>0</v>
      </c>
      <c r="AD242" s="162">
        <v>0</v>
      </c>
      <c r="AE242" s="162">
        <v>0</v>
      </c>
      <c r="AF242" s="162">
        <v>0</v>
      </c>
      <c r="AG242" s="162">
        <v>0</v>
      </c>
      <c r="AH242" s="162">
        <v>0</v>
      </c>
      <c r="AI242" s="162">
        <v>0</v>
      </c>
      <c r="AJ242" s="162">
        <v>0</v>
      </c>
    </row>
    <row r="243" spans="1:36" x14ac:dyDescent="0.25">
      <c r="A243" s="25" t="s">
        <v>237</v>
      </c>
      <c r="B243" s="25"/>
      <c r="C243" s="142">
        <v>45330</v>
      </c>
      <c r="D243" s="142">
        <v>45332</v>
      </c>
      <c r="E243">
        <f>Tabela4[[#This Row],[DATA FATURAMENTO]]-Tabela4[[#This Row],[DATA ORÇAMENTO]]</f>
        <v>2</v>
      </c>
      <c r="F243" s="25">
        <v>10580</v>
      </c>
      <c r="G243" s="25" t="s">
        <v>22</v>
      </c>
      <c r="H243" s="25"/>
      <c r="I243" s="155">
        <v>1259</v>
      </c>
      <c r="J243" s="155">
        <v>1041</v>
      </c>
      <c r="K243" s="153">
        <f>Tabela4[[#This Row],[PECAS]]+Tabela4[[#This Row],[SERVICOS]]</f>
        <v>2300</v>
      </c>
      <c r="L243" s="155">
        <v>0</v>
      </c>
      <c r="M243" s="155">
        <v>0</v>
      </c>
      <c r="N243" s="67"/>
      <c r="O243" s="155">
        <v>220</v>
      </c>
      <c r="P243" s="155">
        <v>0</v>
      </c>
      <c r="Q243" s="155">
        <v>0</v>
      </c>
      <c r="R243" s="155">
        <v>0</v>
      </c>
      <c r="S243" s="154">
        <v>200</v>
      </c>
      <c r="T243" s="155">
        <v>0</v>
      </c>
      <c r="U243" s="155">
        <v>0</v>
      </c>
      <c r="V243" s="25"/>
      <c r="W243" s="22">
        <v>0</v>
      </c>
      <c r="X243" s="149">
        <v>0</v>
      </c>
      <c r="Y243" s="25"/>
      <c r="Z243" s="155">
        <v>200</v>
      </c>
      <c r="AA243" s="149">
        <f>Tabela4[[#This Row],[VALOR]]-Tabela4[[#This Row],[PNEUS]]-Tabela4[[#This Row],[BATERIA]]</f>
        <v>2300</v>
      </c>
      <c r="AB243" s="27" t="s">
        <v>30</v>
      </c>
      <c r="AC243" s="30">
        <v>0</v>
      </c>
      <c r="AD243" s="162">
        <v>0</v>
      </c>
      <c r="AE243" s="162">
        <v>0</v>
      </c>
      <c r="AF243" s="162">
        <v>0</v>
      </c>
      <c r="AG243" s="162">
        <v>0</v>
      </c>
      <c r="AH243" s="162">
        <v>0</v>
      </c>
      <c r="AI243" s="162">
        <v>0</v>
      </c>
      <c r="AJ243" s="162">
        <v>0</v>
      </c>
    </row>
    <row r="244" spans="1:36" x14ac:dyDescent="0.25">
      <c r="A244" s="25" t="s">
        <v>491</v>
      </c>
      <c r="B244" s="25"/>
      <c r="C244" s="142">
        <v>45331</v>
      </c>
      <c r="D244" s="142">
        <v>45332</v>
      </c>
      <c r="E244">
        <f>Tabela4[[#This Row],[DATA FATURAMENTO]]-Tabela4[[#This Row],[DATA ORÇAMENTO]]</f>
        <v>1</v>
      </c>
      <c r="F244" s="25">
        <v>10584</v>
      </c>
      <c r="G244" s="25" t="s">
        <v>28</v>
      </c>
      <c r="H244" s="25"/>
      <c r="I244" s="155">
        <v>284.89999999999998</v>
      </c>
      <c r="J244" s="155">
        <v>468</v>
      </c>
      <c r="K244" s="153">
        <f>Tabela4[[#This Row],[PECAS]]+Tabela4[[#This Row],[SERVICOS]]</f>
        <v>752.9</v>
      </c>
      <c r="L244" s="155">
        <v>0</v>
      </c>
      <c r="M244" s="155">
        <v>0</v>
      </c>
      <c r="N244" s="67"/>
      <c r="O244" s="155">
        <v>0</v>
      </c>
      <c r="P244" s="155">
        <v>0</v>
      </c>
      <c r="Q244" s="155">
        <v>0</v>
      </c>
      <c r="R244" s="155">
        <v>0</v>
      </c>
      <c r="S244" s="154">
        <v>0</v>
      </c>
      <c r="T244" s="155">
        <v>0</v>
      </c>
      <c r="U244" s="155">
        <v>0</v>
      </c>
      <c r="V244" s="25"/>
      <c r="W244" s="22">
        <v>0</v>
      </c>
      <c r="X244" s="149">
        <v>0</v>
      </c>
      <c r="Y244" s="25"/>
      <c r="Z244" s="155">
        <v>0</v>
      </c>
      <c r="AA244" s="149">
        <f>Tabela4[[#This Row],[VALOR]]-Tabela4[[#This Row],[PNEUS]]-Tabela4[[#This Row],[BATERIA]]</f>
        <v>752.9</v>
      </c>
      <c r="AB244" s="27" t="s">
        <v>34</v>
      </c>
      <c r="AC244" s="30">
        <v>0</v>
      </c>
      <c r="AD244" s="162">
        <v>0</v>
      </c>
      <c r="AE244" s="162">
        <v>0</v>
      </c>
      <c r="AF244" s="162">
        <v>0</v>
      </c>
      <c r="AG244" s="162">
        <v>0</v>
      </c>
      <c r="AH244" s="162">
        <v>0</v>
      </c>
      <c r="AI244" s="162">
        <v>0</v>
      </c>
      <c r="AJ244" s="162">
        <v>0</v>
      </c>
    </row>
    <row r="245" spans="1:36" x14ac:dyDescent="0.25">
      <c r="A245" s="25" t="s">
        <v>492</v>
      </c>
      <c r="B245" s="25"/>
      <c r="C245" s="142">
        <v>45332</v>
      </c>
      <c r="D245" s="142">
        <v>45332</v>
      </c>
      <c r="E245">
        <f>Tabela4[[#This Row],[DATA FATURAMENTO]]-Tabela4[[#This Row],[DATA ORÇAMENTO]]</f>
        <v>0</v>
      </c>
      <c r="F245" s="25">
        <v>10594</v>
      </c>
      <c r="G245" s="25" t="s">
        <v>31</v>
      </c>
      <c r="H245" s="25"/>
      <c r="I245" s="155">
        <f>35+15</f>
        <v>50</v>
      </c>
      <c r="J245" s="155">
        <v>0</v>
      </c>
      <c r="K245" s="153">
        <f>Tabela4[[#This Row],[PECAS]]+Tabela4[[#This Row],[SERVICOS]]</f>
        <v>50</v>
      </c>
      <c r="L245" s="155">
        <v>0</v>
      </c>
      <c r="M245" s="155">
        <v>0</v>
      </c>
      <c r="N245" s="67"/>
      <c r="O245" s="155">
        <v>0</v>
      </c>
      <c r="P245" s="155">
        <v>0</v>
      </c>
      <c r="Q245" s="155">
        <v>0</v>
      </c>
      <c r="R245" s="155">
        <v>0</v>
      </c>
      <c r="S245" s="154">
        <v>0</v>
      </c>
      <c r="T245" s="155">
        <v>0</v>
      </c>
      <c r="U245" s="155">
        <v>0</v>
      </c>
      <c r="V245" s="25"/>
      <c r="W245" s="22">
        <v>0</v>
      </c>
      <c r="X245" s="149">
        <v>0</v>
      </c>
      <c r="Y245" s="25"/>
      <c r="Z245" s="155">
        <v>0</v>
      </c>
      <c r="AA245" s="152">
        <f>K245-U245-T245</f>
        <v>50</v>
      </c>
      <c r="AB245" s="27" t="s">
        <v>30</v>
      </c>
      <c r="AC245" s="30">
        <v>0</v>
      </c>
      <c r="AD245" s="162">
        <v>0</v>
      </c>
      <c r="AE245" s="162">
        <v>0</v>
      </c>
      <c r="AF245" s="162">
        <v>0</v>
      </c>
      <c r="AG245" s="162">
        <v>0</v>
      </c>
      <c r="AH245" s="162">
        <v>0</v>
      </c>
      <c r="AI245" s="162">
        <v>0</v>
      </c>
      <c r="AJ245" s="162">
        <v>0</v>
      </c>
    </row>
    <row r="246" spans="1:36" x14ac:dyDescent="0.25">
      <c r="A246" s="25" t="s">
        <v>493</v>
      </c>
      <c r="B246" s="25"/>
      <c r="C246" s="142">
        <v>45332</v>
      </c>
      <c r="D246" s="142">
        <v>45332</v>
      </c>
      <c r="E246">
        <f>Tabela4[[#This Row],[DATA FATURAMENTO]]-Tabela4[[#This Row],[DATA ORÇAMENTO]]</f>
        <v>0</v>
      </c>
      <c r="F246" s="25">
        <v>10595</v>
      </c>
      <c r="G246" s="25" t="s">
        <v>6</v>
      </c>
      <c r="H246" s="25"/>
      <c r="I246" s="155">
        <v>522.5</v>
      </c>
      <c r="J246" s="155">
        <v>0</v>
      </c>
      <c r="K246" s="153">
        <f>Tabela4[[#This Row],[PECAS]]+Tabela4[[#This Row],[SERVICOS]]</f>
        <v>522.5</v>
      </c>
      <c r="L246" s="155">
        <v>0</v>
      </c>
      <c r="M246" s="155">
        <v>0</v>
      </c>
      <c r="N246" s="67"/>
      <c r="O246" s="155">
        <v>0</v>
      </c>
      <c r="P246" s="155">
        <v>0</v>
      </c>
      <c r="Q246" s="155">
        <v>0</v>
      </c>
      <c r="R246" s="155">
        <v>0</v>
      </c>
      <c r="S246" s="154">
        <v>0</v>
      </c>
      <c r="T246" s="155">
        <v>0</v>
      </c>
      <c r="U246" s="155">
        <v>522.5</v>
      </c>
      <c r="V246" s="25" t="s">
        <v>640</v>
      </c>
      <c r="W246" s="22">
        <v>0</v>
      </c>
      <c r="X246" s="149">
        <v>0</v>
      </c>
      <c r="Y246" s="25"/>
      <c r="Z246" s="155">
        <v>0</v>
      </c>
      <c r="AA246" s="152">
        <f>K246-U246-T246</f>
        <v>0</v>
      </c>
      <c r="AB246" s="27" t="s">
        <v>6</v>
      </c>
      <c r="AC246" s="30">
        <v>0</v>
      </c>
      <c r="AD246" s="162">
        <v>0</v>
      </c>
      <c r="AE246" s="162">
        <v>0</v>
      </c>
      <c r="AF246" s="162">
        <v>0</v>
      </c>
      <c r="AG246" s="162">
        <v>0</v>
      </c>
      <c r="AH246" s="162">
        <v>0</v>
      </c>
      <c r="AI246" s="162">
        <v>0</v>
      </c>
      <c r="AJ246" s="162">
        <v>0</v>
      </c>
    </row>
    <row r="247" spans="1:36" x14ac:dyDescent="0.25">
      <c r="A247" s="25" t="s">
        <v>494</v>
      </c>
      <c r="B247" s="25"/>
      <c r="C247" s="142">
        <v>45336</v>
      </c>
      <c r="D247" s="142">
        <v>45336</v>
      </c>
      <c r="E247">
        <f>Tabela4[[#This Row],[DATA FATURAMENTO]]-Tabela4[[#This Row],[DATA ORÇAMENTO]]</f>
        <v>0</v>
      </c>
      <c r="F247" s="25">
        <v>10597</v>
      </c>
      <c r="G247" s="25" t="s">
        <v>6</v>
      </c>
      <c r="H247" s="25"/>
      <c r="I247" s="155">
        <v>522.5</v>
      </c>
      <c r="J247" s="155">
        <v>0</v>
      </c>
      <c r="K247" s="153">
        <f>Tabela4[[#This Row],[PECAS]]+Tabela4[[#This Row],[SERVICOS]]</f>
        <v>522.5</v>
      </c>
      <c r="L247" s="155">
        <v>0</v>
      </c>
      <c r="M247" s="155">
        <v>0</v>
      </c>
      <c r="N247" s="67"/>
      <c r="O247" s="155">
        <v>0</v>
      </c>
      <c r="P247" s="155">
        <v>0</v>
      </c>
      <c r="Q247" s="155">
        <v>0</v>
      </c>
      <c r="R247" s="155">
        <v>0</v>
      </c>
      <c r="S247" s="154">
        <v>0</v>
      </c>
      <c r="T247" s="155">
        <v>0</v>
      </c>
      <c r="U247" s="155">
        <v>522.5</v>
      </c>
      <c r="V247" s="25" t="s">
        <v>640</v>
      </c>
      <c r="W247" s="22">
        <v>0</v>
      </c>
      <c r="X247" s="149">
        <v>0</v>
      </c>
      <c r="Y247" s="25"/>
      <c r="Z247" s="155">
        <v>0</v>
      </c>
      <c r="AA247" s="152">
        <f>K247-U247-T247</f>
        <v>0</v>
      </c>
      <c r="AB247" s="27" t="s">
        <v>6</v>
      </c>
      <c r="AC247" s="30">
        <v>0</v>
      </c>
      <c r="AD247" s="162">
        <v>0</v>
      </c>
      <c r="AE247" s="162">
        <v>0</v>
      </c>
      <c r="AF247" s="162">
        <v>0</v>
      </c>
      <c r="AG247" s="162">
        <v>0</v>
      </c>
      <c r="AH247" s="162">
        <v>0</v>
      </c>
      <c r="AI247" s="162">
        <v>0</v>
      </c>
      <c r="AJ247" s="162">
        <v>0</v>
      </c>
    </row>
    <row r="248" spans="1:36" x14ac:dyDescent="0.25">
      <c r="A248" s="25" t="s">
        <v>495</v>
      </c>
      <c r="B248" s="25"/>
      <c r="C248" s="142">
        <v>45336</v>
      </c>
      <c r="D248" s="142">
        <v>45336</v>
      </c>
      <c r="E248">
        <f>Tabela4[[#This Row],[DATA FATURAMENTO]]-Tabela4[[#This Row],[DATA ORÇAMENTO]]</f>
        <v>0</v>
      </c>
      <c r="F248" s="25">
        <v>10599</v>
      </c>
      <c r="G248" s="25" t="s">
        <v>6</v>
      </c>
      <c r="H248" s="25"/>
      <c r="I248" s="155">
        <v>522.5</v>
      </c>
      <c r="J248" s="155">
        <v>0</v>
      </c>
      <c r="K248" s="153">
        <f>Tabela4[[#This Row],[PECAS]]+Tabela4[[#This Row],[SERVICOS]]</f>
        <v>522.5</v>
      </c>
      <c r="L248" s="155">
        <v>0</v>
      </c>
      <c r="M248" s="155">
        <v>0</v>
      </c>
      <c r="N248" s="67"/>
      <c r="O248" s="155">
        <v>0</v>
      </c>
      <c r="P248" s="155">
        <v>0</v>
      </c>
      <c r="Q248" s="155">
        <v>0</v>
      </c>
      <c r="R248" s="155">
        <v>0</v>
      </c>
      <c r="S248" s="154">
        <v>0</v>
      </c>
      <c r="T248" s="155">
        <v>0</v>
      </c>
      <c r="U248" s="155">
        <v>522.5</v>
      </c>
      <c r="V248" s="25" t="s">
        <v>664</v>
      </c>
      <c r="W248" s="22">
        <v>0</v>
      </c>
      <c r="X248" s="149">
        <v>0</v>
      </c>
      <c r="Y248" s="25"/>
      <c r="Z248" s="155">
        <v>0</v>
      </c>
      <c r="AA248" s="152">
        <f>K248-U248-T248</f>
        <v>0</v>
      </c>
      <c r="AB248" s="27" t="s">
        <v>6</v>
      </c>
      <c r="AC248" s="30">
        <v>0</v>
      </c>
      <c r="AD248" s="162">
        <v>0</v>
      </c>
      <c r="AE248" s="162">
        <v>0</v>
      </c>
      <c r="AF248" s="162">
        <v>0</v>
      </c>
      <c r="AG248" s="162">
        <v>0</v>
      </c>
      <c r="AH248" s="162">
        <v>0</v>
      </c>
      <c r="AI248" s="162">
        <v>0</v>
      </c>
      <c r="AJ248" s="162">
        <v>0</v>
      </c>
    </row>
    <row r="249" spans="1:36" x14ac:dyDescent="0.25">
      <c r="A249" s="25" t="s">
        <v>496</v>
      </c>
      <c r="B249" s="25"/>
      <c r="C249" s="142">
        <v>45336</v>
      </c>
      <c r="D249" s="142">
        <v>45336</v>
      </c>
      <c r="E249">
        <f>Tabela4[[#This Row],[DATA FATURAMENTO]]-Tabela4[[#This Row],[DATA ORÇAMENTO]]</f>
        <v>0</v>
      </c>
      <c r="F249" s="25">
        <v>10600</v>
      </c>
      <c r="G249" s="25" t="s">
        <v>39</v>
      </c>
      <c r="H249" s="25" t="s">
        <v>44</v>
      </c>
      <c r="I249" s="155">
        <v>20</v>
      </c>
      <c r="J249" s="155">
        <v>120.01</v>
      </c>
      <c r="K249" s="153">
        <f>Tabela4[[#This Row],[PECAS]]+Tabela4[[#This Row],[SERVICOS]]</f>
        <v>140.01</v>
      </c>
      <c r="L249" s="155">
        <v>0</v>
      </c>
      <c r="M249" s="155">
        <v>0</v>
      </c>
      <c r="N249" s="67"/>
      <c r="O249" s="155">
        <v>0</v>
      </c>
      <c r="P249" s="155">
        <v>0</v>
      </c>
      <c r="Q249" s="155">
        <v>0</v>
      </c>
      <c r="R249" s="155">
        <v>0</v>
      </c>
      <c r="S249" s="154">
        <v>0</v>
      </c>
      <c r="T249" s="155">
        <v>0</v>
      </c>
      <c r="U249" s="155">
        <v>0</v>
      </c>
      <c r="V249" s="25"/>
      <c r="W249" s="22">
        <v>0</v>
      </c>
      <c r="X249" s="149">
        <v>0</v>
      </c>
      <c r="Y249" s="25"/>
      <c r="Z249" s="155">
        <v>0</v>
      </c>
      <c r="AA249" s="149">
        <f>Tabela4[[#This Row],[VALOR]]-Tabela4[[#This Row],[PNEUS]]-Tabela4[[#This Row],[BATERIA]]</f>
        <v>140.01</v>
      </c>
      <c r="AB249" s="27" t="s">
        <v>27</v>
      </c>
      <c r="AC249" s="30">
        <v>0</v>
      </c>
      <c r="AD249" s="162">
        <v>0</v>
      </c>
      <c r="AE249" s="162">
        <v>0</v>
      </c>
      <c r="AF249" s="162">
        <v>0</v>
      </c>
      <c r="AG249" s="162">
        <v>0</v>
      </c>
      <c r="AH249" s="162">
        <v>0</v>
      </c>
      <c r="AI249" s="162">
        <v>0</v>
      </c>
      <c r="AJ249" s="162">
        <v>0</v>
      </c>
    </row>
    <row r="250" spans="1:36" x14ac:dyDescent="0.25">
      <c r="A250" s="25" t="s">
        <v>497</v>
      </c>
      <c r="B250" s="25"/>
      <c r="C250" s="142">
        <v>45336</v>
      </c>
      <c r="D250" s="142">
        <v>45336</v>
      </c>
      <c r="E250">
        <f>Tabela4[[#This Row],[DATA FATURAMENTO]]-Tabela4[[#This Row],[DATA ORÇAMENTO]]</f>
        <v>0</v>
      </c>
      <c r="F250" s="25">
        <v>10603</v>
      </c>
      <c r="G250" s="25" t="s">
        <v>22</v>
      </c>
      <c r="H250" s="25"/>
      <c r="I250" s="155">
        <v>507</v>
      </c>
      <c r="J250" s="155">
        <v>0</v>
      </c>
      <c r="K250" s="153">
        <f>Tabela4[[#This Row],[PECAS]]+Tabela4[[#This Row],[SERVICOS]]</f>
        <v>507</v>
      </c>
      <c r="L250" s="155">
        <v>0</v>
      </c>
      <c r="M250" s="155">
        <v>0</v>
      </c>
      <c r="N250" s="67"/>
      <c r="O250" s="155">
        <v>0</v>
      </c>
      <c r="P250" s="155">
        <v>0</v>
      </c>
      <c r="Q250" s="155">
        <v>0</v>
      </c>
      <c r="R250" s="155">
        <v>0</v>
      </c>
      <c r="S250" s="154">
        <v>79.900000000000006</v>
      </c>
      <c r="T250" s="155">
        <v>0</v>
      </c>
      <c r="U250" s="155">
        <v>0</v>
      </c>
      <c r="V250" s="25"/>
      <c r="W250" s="28">
        <v>4</v>
      </c>
      <c r="X250" s="149">
        <v>0</v>
      </c>
      <c r="Y250" s="25" t="s">
        <v>638</v>
      </c>
      <c r="Z250" s="155">
        <v>79.900000000000006</v>
      </c>
      <c r="AA250" s="152">
        <f>K250-U250-T250</f>
        <v>507</v>
      </c>
      <c r="AB250" s="27" t="s">
        <v>30</v>
      </c>
      <c r="AC250" s="30">
        <v>0</v>
      </c>
      <c r="AD250" s="162">
        <v>0</v>
      </c>
      <c r="AE250" s="162">
        <v>0</v>
      </c>
      <c r="AF250" s="162">
        <v>0</v>
      </c>
      <c r="AG250" s="162">
        <v>0</v>
      </c>
      <c r="AH250" s="162">
        <v>0</v>
      </c>
      <c r="AI250" s="162">
        <v>0</v>
      </c>
      <c r="AJ250" s="162">
        <v>0</v>
      </c>
    </row>
    <row r="251" spans="1:36" x14ac:dyDescent="0.25">
      <c r="A251" s="25" t="s">
        <v>498</v>
      </c>
      <c r="B251" s="25"/>
      <c r="C251" s="142">
        <v>45336</v>
      </c>
      <c r="D251" s="142">
        <v>45336</v>
      </c>
      <c r="E251">
        <f>Tabela4[[#This Row],[DATA FATURAMENTO]]-Tabela4[[#This Row],[DATA ORÇAMENTO]]</f>
        <v>0</v>
      </c>
      <c r="F251" s="25">
        <v>10606</v>
      </c>
      <c r="G251" s="31"/>
      <c r="H251" s="31"/>
      <c r="I251" s="155">
        <f>165-165</f>
        <v>0</v>
      </c>
      <c r="J251" s="155">
        <v>0</v>
      </c>
      <c r="K251" s="153">
        <f>Tabela4[[#This Row],[PECAS]]+Tabela4[[#This Row],[SERVICOS]]</f>
        <v>0</v>
      </c>
      <c r="L251" s="155">
        <v>0</v>
      </c>
      <c r="M251" s="155">
        <v>0</v>
      </c>
      <c r="N251" s="67"/>
      <c r="O251" s="155">
        <v>0</v>
      </c>
      <c r="P251" s="155">
        <v>0</v>
      </c>
      <c r="Q251" s="155">
        <v>0</v>
      </c>
      <c r="R251" s="155">
        <v>0</v>
      </c>
      <c r="S251" s="154">
        <v>0</v>
      </c>
      <c r="T251" s="155">
        <v>0</v>
      </c>
      <c r="U251" s="155">
        <v>0</v>
      </c>
      <c r="V251" s="25"/>
      <c r="W251" s="28">
        <v>4</v>
      </c>
      <c r="X251" s="149">
        <v>0</v>
      </c>
      <c r="Y251" s="25" t="s">
        <v>753</v>
      </c>
      <c r="Z251" s="155">
        <v>0</v>
      </c>
      <c r="AA251" s="152">
        <f>K251-U251-T251</f>
        <v>0</v>
      </c>
      <c r="AB251" s="27" t="s">
        <v>27</v>
      </c>
      <c r="AC251" s="30">
        <v>0</v>
      </c>
      <c r="AD251" s="162">
        <v>0</v>
      </c>
      <c r="AE251" s="162">
        <v>0</v>
      </c>
      <c r="AF251" s="162">
        <v>0</v>
      </c>
      <c r="AG251" s="162">
        <v>0</v>
      </c>
      <c r="AH251" s="162">
        <v>0</v>
      </c>
      <c r="AI251" s="162">
        <v>0</v>
      </c>
      <c r="AJ251" s="162">
        <v>0</v>
      </c>
    </row>
    <row r="252" spans="1:36" x14ac:dyDescent="0.25">
      <c r="A252" s="25" t="s">
        <v>499</v>
      </c>
      <c r="B252" s="25"/>
      <c r="C252" s="142">
        <v>45331</v>
      </c>
      <c r="D252" s="142">
        <v>45337</v>
      </c>
      <c r="E252">
        <f>Tabela4[[#This Row],[DATA FATURAMENTO]]-Tabela4[[#This Row],[DATA ORÇAMENTO]]</f>
        <v>6</v>
      </c>
      <c r="F252" s="25">
        <v>10688</v>
      </c>
      <c r="G252" s="25" t="s">
        <v>35</v>
      </c>
      <c r="H252" s="25"/>
      <c r="I252" s="155">
        <v>1425.9</v>
      </c>
      <c r="J252" s="155">
        <v>1054.0999999999999</v>
      </c>
      <c r="K252" s="153">
        <f>Tabela4[[#This Row],[PECAS]]+Tabela4[[#This Row],[SERVICOS]]</f>
        <v>2480</v>
      </c>
      <c r="L252" s="155">
        <v>0</v>
      </c>
      <c r="M252" s="155">
        <f>77.6+25+76.75</f>
        <v>179.35</v>
      </c>
      <c r="N252" s="67"/>
      <c r="O252" s="155">
        <v>217.35</v>
      </c>
      <c r="P252" s="155">
        <v>104.5</v>
      </c>
      <c r="Q252" s="155">
        <v>170</v>
      </c>
      <c r="R252" s="155">
        <v>0</v>
      </c>
      <c r="S252" s="154">
        <v>0</v>
      </c>
      <c r="T252" s="155">
        <v>0</v>
      </c>
      <c r="U252" s="155">
        <v>0</v>
      </c>
      <c r="V252" s="25"/>
      <c r="W252" s="22">
        <v>0</v>
      </c>
      <c r="X252" s="149">
        <v>0</v>
      </c>
      <c r="Y252" s="25"/>
      <c r="Z252" s="155">
        <v>0</v>
      </c>
      <c r="AA252" s="149">
        <f>Tabela4[[#This Row],[VALOR]]-Tabela4[[#This Row],[PNEUS]]-Tabela4[[#This Row],[BATERIA]]</f>
        <v>2480</v>
      </c>
      <c r="AB252" s="27" t="s">
        <v>27</v>
      </c>
      <c r="AC252" s="30">
        <v>0</v>
      </c>
      <c r="AD252" s="162">
        <v>0</v>
      </c>
      <c r="AE252" s="162">
        <v>0</v>
      </c>
      <c r="AF252" s="162">
        <v>0</v>
      </c>
      <c r="AG252" s="162">
        <v>0</v>
      </c>
      <c r="AH252" s="162">
        <v>0</v>
      </c>
      <c r="AI252" s="162">
        <v>0</v>
      </c>
      <c r="AJ252" s="162">
        <v>0</v>
      </c>
    </row>
    <row r="253" spans="1:36" x14ac:dyDescent="0.25">
      <c r="A253" s="25" t="s">
        <v>500</v>
      </c>
      <c r="B253" s="25"/>
      <c r="C253" s="142">
        <v>45336</v>
      </c>
      <c r="D253" s="142">
        <v>45337</v>
      </c>
      <c r="E253">
        <f>Tabela4[[#This Row],[DATA FATURAMENTO]]-Tabela4[[#This Row],[DATA ORÇAMENTO]]</f>
        <v>1</v>
      </c>
      <c r="F253" s="25">
        <v>10602</v>
      </c>
      <c r="G253" s="25" t="s">
        <v>22</v>
      </c>
      <c r="H253" s="25"/>
      <c r="I253" s="155">
        <v>1319</v>
      </c>
      <c r="J253" s="155">
        <v>864</v>
      </c>
      <c r="K253" s="153">
        <f>Tabela4[[#This Row],[PECAS]]+Tabela4[[#This Row],[SERVICOS]]</f>
        <v>2183</v>
      </c>
      <c r="L253" s="155">
        <v>0</v>
      </c>
      <c r="M253" s="155">
        <v>0</v>
      </c>
      <c r="N253" s="67"/>
      <c r="O253" s="155">
        <v>0</v>
      </c>
      <c r="P253" s="155">
        <v>0</v>
      </c>
      <c r="Q253" s="155">
        <v>0</v>
      </c>
      <c r="R253" s="155">
        <v>0</v>
      </c>
      <c r="S253" s="154">
        <v>0</v>
      </c>
      <c r="T253" s="155">
        <v>0</v>
      </c>
      <c r="U253" s="155">
        <v>0</v>
      </c>
      <c r="V253" s="25"/>
      <c r="W253" s="28">
        <v>4</v>
      </c>
      <c r="X253" s="149">
        <v>0</v>
      </c>
      <c r="Y253" s="25" t="s">
        <v>805</v>
      </c>
      <c r="Z253" s="155">
        <v>0</v>
      </c>
      <c r="AA253" s="149">
        <f>Tabela4[[#This Row],[VALOR]]-Tabela4[[#This Row],[PNEUS]]-Tabela4[[#This Row],[BATERIA]]</f>
        <v>2183</v>
      </c>
      <c r="AB253" s="27" t="s">
        <v>32</v>
      </c>
      <c r="AC253" s="30">
        <v>0</v>
      </c>
      <c r="AD253" s="162">
        <v>0</v>
      </c>
      <c r="AE253" s="162">
        <v>0</v>
      </c>
      <c r="AF253" s="162">
        <v>0</v>
      </c>
      <c r="AG253" s="162">
        <v>0</v>
      </c>
      <c r="AH253" s="162">
        <v>0</v>
      </c>
      <c r="AI253" s="162">
        <v>0</v>
      </c>
      <c r="AJ253" s="162">
        <v>0</v>
      </c>
    </row>
    <row r="254" spans="1:36" x14ac:dyDescent="0.25">
      <c r="A254" s="25" t="s">
        <v>501</v>
      </c>
      <c r="B254" s="25"/>
      <c r="C254" s="142">
        <v>45337</v>
      </c>
      <c r="D254" s="142">
        <v>45337</v>
      </c>
      <c r="E254">
        <f>Tabela4[[#This Row],[DATA FATURAMENTO]]-Tabela4[[#This Row],[DATA ORÇAMENTO]]</f>
        <v>0</v>
      </c>
      <c r="F254" s="25">
        <v>10615</v>
      </c>
      <c r="G254" s="25" t="s">
        <v>6</v>
      </c>
      <c r="H254" s="25"/>
      <c r="I254" s="155">
        <v>955.9</v>
      </c>
      <c r="J254" s="155">
        <v>0</v>
      </c>
      <c r="K254" s="153">
        <f>Tabela4[[#This Row],[PECAS]]+Tabela4[[#This Row],[SERVICOS]]</f>
        <v>955.9</v>
      </c>
      <c r="L254" s="155">
        <v>0</v>
      </c>
      <c r="M254" s="155">
        <v>0</v>
      </c>
      <c r="N254" s="67"/>
      <c r="O254" s="155">
        <v>0</v>
      </c>
      <c r="P254" s="155">
        <v>0</v>
      </c>
      <c r="Q254" s="155">
        <v>0</v>
      </c>
      <c r="R254" s="155">
        <v>0</v>
      </c>
      <c r="S254" s="154">
        <v>0</v>
      </c>
      <c r="T254" s="155">
        <v>0</v>
      </c>
      <c r="U254" s="155">
        <v>955.9</v>
      </c>
      <c r="V254" s="25" t="s">
        <v>722</v>
      </c>
      <c r="W254" s="22">
        <v>0</v>
      </c>
      <c r="X254" s="149">
        <v>0</v>
      </c>
      <c r="Y254" s="25"/>
      <c r="Z254" s="155">
        <v>0</v>
      </c>
      <c r="AA254" s="152">
        <f>K254-U254-T254</f>
        <v>0</v>
      </c>
      <c r="AB254" s="27" t="s">
        <v>6</v>
      </c>
      <c r="AC254" s="30">
        <v>0</v>
      </c>
      <c r="AD254" s="162">
        <v>0</v>
      </c>
      <c r="AE254" s="162">
        <v>0</v>
      </c>
      <c r="AF254" s="162">
        <v>0</v>
      </c>
      <c r="AG254" s="162">
        <v>0</v>
      </c>
      <c r="AH254" s="162">
        <v>0</v>
      </c>
      <c r="AI254" s="162">
        <v>0</v>
      </c>
      <c r="AJ254" s="162">
        <v>0</v>
      </c>
    </row>
    <row r="255" spans="1:36" x14ac:dyDescent="0.25">
      <c r="A255" s="25" t="s">
        <v>326</v>
      </c>
      <c r="B255" s="25"/>
      <c r="C255" s="142">
        <v>45329</v>
      </c>
      <c r="D255" s="142">
        <v>45338</v>
      </c>
      <c r="E255">
        <f>Tabela4[[#This Row],[DATA FATURAMENTO]]-Tabela4[[#This Row],[DATA ORÇAMENTO]]</f>
        <v>9</v>
      </c>
      <c r="F255" s="25">
        <v>10558</v>
      </c>
      <c r="G255" s="25" t="s">
        <v>28</v>
      </c>
      <c r="H255" s="25"/>
      <c r="I255" s="155">
        <v>128.6</v>
      </c>
      <c r="J255" s="155">
        <v>224.01</v>
      </c>
      <c r="K255" s="153">
        <f>Tabela4[[#This Row],[PECAS]]+Tabela4[[#This Row],[SERVICOS]]</f>
        <v>352.61</v>
      </c>
      <c r="L255" s="155">
        <v>0</v>
      </c>
      <c r="M255" s="155">
        <v>0</v>
      </c>
      <c r="N255" s="67"/>
      <c r="O255" s="155">
        <v>0</v>
      </c>
      <c r="P255" s="155">
        <v>0</v>
      </c>
      <c r="Q255" s="155">
        <v>0</v>
      </c>
      <c r="R255" s="155">
        <v>0</v>
      </c>
      <c r="S255" s="154">
        <v>0</v>
      </c>
      <c r="T255" s="155">
        <v>0</v>
      </c>
      <c r="U255" s="155">
        <v>0</v>
      </c>
      <c r="V255" s="25"/>
      <c r="W255" s="28">
        <v>3</v>
      </c>
      <c r="X255" s="149">
        <v>0</v>
      </c>
      <c r="Y255" s="25" t="s">
        <v>654</v>
      </c>
      <c r="Z255" s="155">
        <v>0</v>
      </c>
      <c r="AA255" s="149">
        <f>Tabela4[[#This Row],[VALOR]]-Tabela4[[#This Row],[PNEUS]]-Tabela4[[#This Row],[BATERIA]]</f>
        <v>352.61</v>
      </c>
      <c r="AB255" s="27" t="s">
        <v>27</v>
      </c>
      <c r="AC255" s="30">
        <v>0</v>
      </c>
      <c r="AD255" s="162">
        <v>0</v>
      </c>
      <c r="AE255" s="162">
        <v>0</v>
      </c>
      <c r="AF255" s="162">
        <v>0</v>
      </c>
      <c r="AG255" s="162">
        <v>0</v>
      </c>
      <c r="AH255" s="162">
        <v>0</v>
      </c>
      <c r="AI255" s="162">
        <v>0</v>
      </c>
      <c r="AJ255" s="162">
        <v>0</v>
      </c>
    </row>
    <row r="256" spans="1:36" x14ac:dyDescent="0.25">
      <c r="A256" s="25" t="s">
        <v>502</v>
      </c>
      <c r="B256" s="25"/>
      <c r="C256" s="142">
        <v>45330</v>
      </c>
      <c r="D256" s="142">
        <v>45338</v>
      </c>
      <c r="E256">
        <f>Tabela4[[#This Row],[DATA FATURAMENTO]]-Tabela4[[#This Row],[DATA ORÇAMENTO]]</f>
        <v>8</v>
      </c>
      <c r="F256" s="25">
        <v>10574</v>
      </c>
      <c r="G256" s="25" t="s">
        <v>22</v>
      </c>
      <c r="H256" s="25"/>
      <c r="I256" s="155">
        <v>1442</v>
      </c>
      <c r="J256" s="155">
        <v>270.01</v>
      </c>
      <c r="K256" s="153">
        <f>Tabela4[[#This Row],[PECAS]]+Tabela4[[#This Row],[SERVICOS]]</f>
        <v>1712.01</v>
      </c>
      <c r="L256" s="155">
        <v>0</v>
      </c>
      <c r="M256" s="155">
        <v>0</v>
      </c>
      <c r="N256" s="67"/>
      <c r="O256" s="155">
        <v>0</v>
      </c>
      <c r="P256" s="155">
        <v>0</v>
      </c>
      <c r="Q256" s="155">
        <v>0</v>
      </c>
      <c r="R256" s="155">
        <v>0</v>
      </c>
      <c r="S256" s="154">
        <v>0</v>
      </c>
      <c r="T256" s="155">
        <v>0</v>
      </c>
      <c r="U256" s="155">
        <v>0</v>
      </c>
      <c r="V256" s="25"/>
      <c r="W256" s="22">
        <v>0</v>
      </c>
      <c r="X256" s="149">
        <v>0</v>
      </c>
      <c r="Y256" s="25"/>
      <c r="Z256" s="155">
        <v>0</v>
      </c>
      <c r="AA256" s="149">
        <f>Tabela4[[#This Row],[VALOR]]-Tabela4[[#This Row],[PNEUS]]-Tabela4[[#This Row],[BATERIA]]</f>
        <v>1712.01</v>
      </c>
      <c r="AB256" s="27" t="s">
        <v>32</v>
      </c>
      <c r="AC256" s="30">
        <v>0</v>
      </c>
      <c r="AD256" s="162">
        <v>0</v>
      </c>
      <c r="AE256" s="162">
        <v>0</v>
      </c>
      <c r="AF256" s="162">
        <v>0</v>
      </c>
      <c r="AG256" s="162">
        <v>0</v>
      </c>
      <c r="AH256" s="162">
        <v>0</v>
      </c>
      <c r="AI256" s="162">
        <v>0</v>
      </c>
      <c r="AJ256" s="162">
        <v>0</v>
      </c>
    </row>
    <row r="257" spans="1:36" x14ac:dyDescent="0.25">
      <c r="A257" s="25" t="s">
        <v>503</v>
      </c>
      <c r="B257" s="25"/>
      <c r="C257" s="142">
        <v>45337</v>
      </c>
      <c r="D257" s="142">
        <v>45338</v>
      </c>
      <c r="E257">
        <f>Tabela4[[#This Row],[DATA FATURAMENTO]]-Tabela4[[#This Row],[DATA ORÇAMENTO]]</f>
        <v>1</v>
      </c>
      <c r="F257" s="25">
        <v>10616</v>
      </c>
      <c r="G257" s="25" t="s">
        <v>37</v>
      </c>
      <c r="H257" s="25"/>
      <c r="I257" s="155">
        <v>508.41</v>
      </c>
      <c r="J257" s="155">
        <v>865</v>
      </c>
      <c r="K257" s="153">
        <f>Tabela4[[#This Row],[PECAS]]+Tabela4[[#This Row],[SERVICOS]]</f>
        <v>1373.41</v>
      </c>
      <c r="L257" s="155">
        <v>135</v>
      </c>
      <c r="M257" s="155">
        <f>65+100</f>
        <v>165</v>
      </c>
      <c r="N257" s="67"/>
      <c r="O257" s="155">
        <f>170+48</f>
        <v>218</v>
      </c>
      <c r="P257" s="155">
        <v>0</v>
      </c>
      <c r="Q257" s="155">
        <v>0</v>
      </c>
      <c r="R257" s="155">
        <v>10</v>
      </c>
      <c r="S257" s="154">
        <v>193.9</v>
      </c>
      <c r="T257" s="155">
        <v>0</v>
      </c>
      <c r="U257" s="155">
        <v>0</v>
      </c>
      <c r="V257" s="25"/>
      <c r="W257" s="28">
        <v>4</v>
      </c>
      <c r="X257" s="149">
        <v>0</v>
      </c>
      <c r="Y257" s="25" t="s">
        <v>805</v>
      </c>
      <c r="Z257" s="155">
        <v>0</v>
      </c>
      <c r="AA257" s="149">
        <f>Tabela4[[#This Row],[VALOR]]-Tabela4[[#This Row],[PNEUS]]-Tabela4[[#This Row],[BATERIA]]</f>
        <v>1373.41</v>
      </c>
      <c r="AB257" s="27" t="s">
        <v>27</v>
      </c>
      <c r="AC257" s="30">
        <v>0</v>
      </c>
      <c r="AD257" s="162">
        <v>0</v>
      </c>
      <c r="AE257" s="162">
        <v>0</v>
      </c>
      <c r="AF257" s="162">
        <v>0</v>
      </c>
      <c r="AG257" s="162">
        <v>0</v>
      </c>
      <c r="AH257" s="162">
        <v>0</v>
      </c>
      <c r="AI257" s="162">
        <v>0</v>
      </c>
      <c r="AJ257" s="162">
        <v>0</v>
      </c>
    </row>
    <row r="258" spans="1:36" x14ac:dyDescent="0.25">
      <c r="A258" s="25" t="s">
        <v>504</v>
      </c>
      <c r="B258" s="25"/>
      <c r="C258" s="142">
        <v>45338</v>
      </c>
      <c r="D258" s="142">
        <v>45338</v>
      </c>
      <c r="E258">
        <f>Tabela4[[#This Row],[DATA FATURAMENTO]]-Tabela4[[#This Row],[DATA ORÇAMENTO]]</f>
        <v>0</v>
      </c>
      <c r="F258" s="25">
        <v>10628</v>
      </c>
      <c r="G258" s="25" t="s">
        <v>37</v>
      </c>
      <c r="H258" s="25"/>
      <c r="I258" s="155">
        <v>395.31</v>
      </c>
      <c r="J258" s="155">
        <v>650</v>
      </c>
      <c r="K258" s="153">
        <f>Tabela4[[#This Row],[PECAS]]+Tabela4[[#This Row],[SERVICOS]]</f>
        <v>1045.31</v>
      </c>
      <c r="L258" s="155">
        <v>100</v>
      </c>
      <c r="M258" s="155">
        <v>0</v>
      </c>
      <c r="N258" s="67"/>
      <c r="O258" s="155">
        <v>80</v>
      </c>
      <c r="P258" s="155">
        <v>0</v>
      </c>
      <c r="Q258" s="155">
        <v>100</v>
      </c>
      <c r="R258" s="155">
        <v>0</v>
      </c>
      <c r="S258" s="154">
        <v>159.9</v>
      </c>
      <c r="T258" s="155">
        <v>0</v>
      </c>
      <c r="U258" s="155">
        <v>0</v>
      </c>
      <c r="V258" s="25"/>
      <c r="W258" s="22">
        <v>0</v>
      </c>
      <c r="X258" s="149">
        <v>0</v>
      </c>
      <c r="Y258" s="25"/>
      <c r="Z258" s="155">
        <v>0</v>
      </c>
      <c r="AA258" s="149">
        <f>Tabela4[[#This Row],[VALOR]]-Tabela4[[#This Row],[PNEUS]]-Tabela4[[#This Row],[BATERIA]]</f>
        <v>1045.31</v>
      </c>
      <c r="AB258" s="27" t="s">
        <v>34</v>
      </c>
      <c r="AC258" s="30">
        <v>0</v>
      </c>
      <c r="AD258" s="162">
        <v>0</v>
      </c>
      <c r="AE258" s="162">
        <v>0</v>
      </c>
      <c r="AF258" s="162">
        <v>0</v>
      </c>
      <c r="AG258" s="162">
        <v>0</v>
      </c>
      <c r="AH258" s="162">
        <v>0</v>
      </c>
      <c r="AI258" s="162">
        <v>0</v>
      </c>
      <c r="AJ258" s="162">
        <v>0</v>
      </c>
    </row>
    <row r="259" spans="1:36" x14ac:dyDescent="0.25">
      <c r="A259" s="25" t="s">
        <v>505</v>
      </c>
      <c r="B259" s="25"/>
      <c r="C259" s="142">
        <v>45331</v>
      </c>
      <c r="D259" s="142">
        <v>45339</v>
      </c>
      <c r="E259">
        <f>Tabela4[[#This Row],[DATA FATURAMENTO]]-Tabela4[[#This Row],[DATA ORÇAMENTO]]</f>
        <v>8</v>
      </c>
      <c r="F259" s="25">
        <v>10583</v>
      </c>
      <c r="G259" s="25" t="s">
        <v>28</v>
      </c>
      <c r="H259" s="25"/>
      <c r="I259" s="155">
        <v>866.5</v>
      </c>
      <c r="J259" s="155">
        <v>736</v>
      </c>
      <c r="K259" s="153">
        <f>Tabela4[[#This Row],[PECAS]]+Tabela4[[#This Row],[SERVICOS]]</f>
        <v>1602.5</v>
      </c>
      <c r="L259" s="155">
        <v>0</v>
      </c>
      <c r="M259" s="155">
        <v>0</v>
      </c>
      <c r="N259" s="67"/>
      <c r="O259" s="155">
        <v>0</v>
      </c>
      <c r="P259" s="155">
        <v>0</v>
      </c>
      <c r="Q259" s="155">
        <v>0</v>
      </c>
      <c r="R259" s="155">
        <v>0</v>
      </c>
      <c r="S259" s="154">
        <v>213</v>
      </c>
      <c r="T259" s="155">
        <v>0</v>
      </c>
      <c r="U259" s="155">
        <v>0</v>
      </c>
      <c r="V259" s="25"/>
      <c r="W259" s="22">
        <v>0</v>
      </c>
      <c r="X259" s="149">
        <v>0</v>
      </c>
      <c r="Y259" s="25"/>
      <c r="Z259" s="155">
        <v>213</v>
      </c>
      <c r="AA259" s="149">
        <f>Tabela4[[#This Row],[VALOR]]-Tabela4[[#This Row],[PNEUS]]-Tabela4[[#This Row],[BATERIA]]</f>
        <v>1602.5</v>
      </c>
      <c r="AB259" s="27" t="s">
        <v>38</v>
      </c>
      <c r="AC259" s="30">
        <v>0</v>
      </c>
      <c r="AD259" s="162">
        <v>0</v>
      </c>
      <c r="AE259" s="162">
        <v>0</v>
      </c>
      <c r="AF259" s="162">
        <v>0</v>
      </c>
      <c r="AG259" s="162">
        <v>0</v>
      </c>
      <c r="AH259" s="162">
        <v>0</v>
      </c>
      <c r="AI259" s="162">
        <v>0</v>
      </c>
      <c r="AJ259" s="162">
        <v>0</v>
      </c>
    </row>
    <row r="260" spans="1:36" x14ac:dyDescent="0.25">
      <c r="A260" s="25" t="s">
        <v>506</v>
      </c>
      <c r="B260" s="25"/>
      <c r="C260" s="142">
        <v>45337</v>
      </c>
      <c r="D260" s="142">
        <v>45339</v>
      </c>
      <c r="E260">
        <f>Tabela4[[#This Row],[DATA FATURAMENTO]]-Tabela4[[#This Row],[DATA ORÇAMENTO]]</f>
        <v>2</v>
      </c>
      <c r="F260" s="25">
        <v>10619</v>
      </c>
      <c r="G260" s="25" t="s">
        <v>22</v>
      </c>
      <c r="H260" s="25"/>
      <c r="I260" s="155">
        <v>4063.7</v>
      </c>
      <c r="J260" s="155">
        <v>2036.31</v>
      </c>
      <c r="K260" s="153">
        <f>Tabela4[[#This Row],[PECAS]]+Tabela4[[#This Row],[SERVICOS]]</f>
        <v>6100.01</v>
      </c>
      <c r="L260" s="155">
        <v>133</v>
      </c>
      <c r="M260" s="155">
        <f>115.5+25+85.54</f>
        <v>226.04000000000002</v>
      </c>
      <c r="N260" s="67"/>
      <c r="O260" s="155">
        <v>285.12</v>
      </c>
      <c r="P260" s="155">
        <v>0</v>
      </c>
      <c r="Q260" s="155">
        <v>209.02</v>
      </c>
      <c r="R260" s="155">
        <v>0</v>
      </c>
      <c r="S260" s="154">
        <v>220</v>
      </c>
      <c r="T260" s="155">
        <v>0</v>
      </c>
      <c r="U260" s="155">
        <v>0</v>
      </c>
      <c r="V260" s="25"/>
      <c r="W260" s="28">
        <v>4</v>
      </c>
      <c r="X260" s="149">
        <v>0</v>
      </c>
      <c r="Y260" s="25" t="s">
        <v>654</v>
      </c>
      <c r="Z260" s="155">
        <v>0</v>
      </c>
      <c r="AA260" s="149">
        <f>Tabela4[[#This Row],[VALOR]]-Tabela4[[#This Row],[PNEUS]]-Tabela4[[#This Row],[BATERIA]]</f>
        <v>6100.01</v>
      </c>
      <c r="AB260" s="27" t="s">
        <v>34</v>
      </c>
      <c r="AC260" s="30">
        <v>0</v>
      </c>
      <c r="AD260" s="162">
        <v>0</v>
      </c>
      <c r="AE260" s="162">
        <v>0</v>
      </c>
      <c r="AF260" s="162">
        <v>0</v>
      </c>
      <c r="AG260" s="162">
        <v>0</v>
      </c>
      <c r="AH260" s="162">
        <v>0</v>
      </c>
      <c r="AI260" s="162">
        <v>0</v>
      </c>
      <c r="AJ260" s="162">
        <v>0</v>
      </c>
    </row>
    <row r="261" spans="1:36" x14ac:dyDescent="0.25">
      <c r="A261" s="25" t="s">
        <v>507</v>
      </c>
      <c r="B261" s="25"/>
      <c r="C261" s="142">
        <v>45337</v>
      </c>
      <c r="D261" s="142">
        <v>45339</v>
      </c>
      <c r="E261">
        <f>Tabela4[[#This Row],[DATA FATURAMENTO]]-Tabela4[[#This Row],[DATA ORÇAMENTO]]</f>
        <v>2</v>
      </c>
      <c r="F261" s="25">
        <v>10617</v>
      </c>
      <c r="G261" s="25" t="s">
        <v>25</v>
      </c>
      <c r="H261" s="25"/>
      <c r="I261" s="155">
        <v>1906.1</v>
      </c>
      <c r="J261" s="155">
        <v>679.6</v>
      </c>
      <c r="K261" s="153">
        <f>Tabela4[[#This Row],[PECAS]]+Tabela4[[#This Row],[SERVICOS]]</f>
        <v>2585.6999999999998</v>
      </c>
      <c r="L261" s="155">
        <v>0</v>
      </c>
      <c r="M261" s="155">
        <f>62.8+102.8</f>
        <v>165.6</v>
      </c>
      <c r="N261" s="67"/>
      <c r="O261" s="155">
        <f>40.8+124</f>
        <v>164.8</v>
      </c>
      <c r="P261" s="155">
        <v>0</v>
      </c>
      <c r="Q261" s="155">
        <v>0</v>
      </c>
      <c r="R261" s="155">
        <v>0</v>
      </c>
      <c r="S261" s="154">
        <v>0</v>
      </c>
      <c r="T261" s="155">
        <v>0</v>
      </c>
      <c r="U261" s="155">
        <v>835.9</v>
      </c>
      <c r="V261" s="25" t="s">
        <v>808</v>
      </c>
      <c r="W261" s="22">
        <v>0</v>
      </c>
      <c r="X261" s="149">
        <v>0</v>
      </c>
      <c r="Y261" s="25"/>
      <c r="Z261" s="155">
        <v>0</v>
      </c>
      <c r="AA261" s="149">
        <f>Tabela4[[#This Row],[VALOR]]-Tabela4[[#This Row],[PNEUS]]-Tabela4[[#This Row],[BATERIA]]</f>
        <v>1749.7999999999997</v>
      </c>
      <c r="AB261" s="27" t="s">
        <v>27</v>
      </c>
      <c r="AC261" s="30">
        <v>0</v>
      </c>
      <c r="AD261" s="162">
        <v>0</v>
      </c>
      <c r="AE261" s="162">
        <v>0</v>
      </c>
      <c r="AF261" s="162">
        <v>0</v>
      </c>
      <c r="AG261" s="162">
        <v>0</v>
      </c>
      <c r="AH261" s="162">
        <v>0</v>
      </c>
      <c r="AI261" s="162">
        <v>0</v>
      </c>
      <c r="AJ261" s="162">
        <v>0</v>
      </c>
    </row>
    <row r="262" spans="1:36" x14ac:dyDescent="0.25">
      <c r="A262" s="25" t="s">
        <v>508</v>
      </c>
      <c r="B262" s="25"/>
      <c r="C262" s="142">
        <v>45338</v>
      </c>
      <c r="D262" s="142">
        <v>45339</v>
      </c>
      <c r="E262">
        <f>Tabela4[[#This Row],[DATA FATURAMENTO]]-Tabela4[[#This Row],[DATA ORÇAMENTO]]</f>
        <v>1</v>
      </c>
      <c r="F262" s="25">
        <v>10624</v>
      </c>
      <c r="G262" s="25" t="s">
        <v>31</v>
      </c>
      <c r="H262" s="25"/>
      <c r="I262" s="155">
        <v>80</v>
      </c>
      <c r="J262" s="155">
        <v>0.01</v>
      </c>
      <c r="K262" s="153">
        <f>Tabela4[[#This Row],[PECAS]]+Tabela4[[#This Row],[SERVICOS]]</f>
        <v>80.010000000000005</v>
      </c>
      <c r="L262" s="155">
        <v>0</v>
      </c>
      <c r="M262" s="155">
        <v>0</v>
      </c>
      <c r="N262" s="67"/>
      <c r="O262" s="155">
        <v>0</v>
      </c>
      <c r="P262" s="155">
        <v>0</v>
      </c>
      <c r="Q262" s="155">
        <v>0</v>
      </c>
      <c r="R262" s="155">
        <v>0</v>
      </c>
      <c r="S262" s="154">
        <v>0</v>
      </c>
      <c r="T262" s="155">
        <v>0</v>
      </c>
      <c r="U262" s="155">
        <v>0</v>
      </c>
      <c r="V262" s="25"/>
      <c r="W262" s="22">
        <v>0</v>
      </c>
      <c r="X262" s="149">
        <v>0</v>
      </c>
      <c r="Y262" s="25"/>
      <c r="Z262" s="155">
        <v>0</v>
      </c>
      <c r="AA262" s="149">
        <f>Tabela4[[#This Row],[VALOR]]-Tabela4[[#This Row],[PNEUS]]-Tabela4[[#This Row],[BATERIA]]</f>
        <v>80.010000000000005</v>
      </c>
      <c r="AB262" s="27" t="s">
        <v>38</v>
      </c>
      <c r="AC262" s="30">
        <v>0</v>
      </c>
      <c r="AD262" s="162">
        <v>0</v>
      </c>
      <c r="AE262" s="162">
        <v>0</v>
      </c>
      <c r="AF262" s="162">
        <v>0</v>
      </c>
      <c r="AG262" s="162">
        <v>0</v>
      </c>
      <c r="AH262" s="162">
        <v>0</v>
      </c>
      <c r="AI262" s="162">
        <v>0</v>
      </c>
      <c r="AJ262" s="162">
        <v>0</v>
      </c>
    </row>
    <row r="263" spans="1:36" x14ac:dyDescent="0.25">
      <c r="A263" s="25" t="s">
        <v>497</v>
      </c>
      <c r="B263" s="25"/>
      <c r="C263" s="142">
        <v>45339</v>
      </c>
      <c r="D263" s="142">
        <v>45339</v>
      </c>
      <c r="E263">
        <f>Tabela4[[#This Row],[DATA FATURAMENTO]]-Tabela4[[#This Row],[DATA ORÇAMENTO]]</f>
        <v>0</v>
      </c>
      <c r="F263" s="25">
        <v>10629</v>
      </c>
      <c r="G263" s="25" t="s">
        <v>22</v>
      </c>
      <c r="H263" s="25"/>
      <c r="I263" s="155">
        <v>317.89999999999998</v>
      </c>
      <c r="J263" s="155">
        <v>216.48</v>
      </c>
      <c r="K263" s="153">
        <f>Tabela4[[#This Row],[PECAS]]+Tabela4[[#This Row],[SERVICOS]]</f>
        <v>534.38</v>
      </c>
      <c r="L263" s="155">
        <v>0</v>
      </c>
      <c r="M263" s="155">
        <v>0</v>
      </c>
      <c r="N263" s="67"/>
      <c r="O263" s="155">
        <v>0</v>
      </c>
      <c r="P263" s="155">
        <v>0</v>
      </c>
      <c r="Q263" s="155">
        <v>0</v>
      </c>
      <c r="R263" s="155">
        <v>0</v>
      </c>
      <c r="S263" s="154">
        <v>0</v>
      </c>
      <c r="T263" s="155">
        <v>0</v>
      </c>
      <c r="U263" s="155">
        <v>0</v>
      </c>
      <c r="V263" s="25"/>
      <c r="W263" s="22">
        <v>0</v>
      </c>
      <c r="X263" s="149">
        <v>0</v>
      </c>
      <c r="Y263" s="25"/>
      <c r="Z263" s="155">
        <v>0</v>
      </c>
      <c r="AA263" s="149">
        <f>Tabela4[[#This Row],[VALOR]]-Tabela4[[#This Row],[PNEUS]]-Tabela4[[#This Row],[BATERIA]]</f>
        <v>534.38</v>
      </c>
      <c r="AB263" s="27" t="s">
        <v>34</v>
      </c>
      <c r="AC263" s="30">
        <v>0</v>
      </c>
      <c r="AD263" s="162">
        <v>0</v>
      </c>
      <c r="AE263" s="162">
        <v>0</v>
      </c>
      <c r="AF263" s="162">
        <v>0</v>
      </c>
      <c r="AG263" s="162">
        <v>0</v>
      </c>
      <c r="AH263" s="162">
        <v>0</v>
      </c>
      <c r="AI263" s="162">
        <v>0</v>
      </c>
      <c r="AJ263" s="162">
        <v>0</v>
      </c>
    </row>
    <row r="264" spans="1:36" x14ac:dyDescent="0.25">
      <c r="A264" s="25" t="s">
        <v>509</v>
      </c>
      <c r="B264" s="25"/>
      <c r="C264" s="142">
        <v>45339</v>
      </c>
      <c r="D264" s="142">
        <v>45339</v>
      </c>
      <c r="E264">
        <f>Tabela4[[#This Row],[DATA FATURAMENTO]]-Tabela4[[#This Row],[DATA ORÇAMENTO]]</f>
        <v>0</v>
      </c>
      <c r="F264" s="25">
        <v>10632</v>
      </c>
      <c r="G264" s="25" t="s">
        <v>22</v>
      </c>
      <c r="H264" s="25"/>
      <c r="I264" s="155">
        <v>170</v>
      </c>
      <c r="J264" s="155">
        <v>0</v>
      </c>
      <c r="K264" s="153">
        <f>Tabela4[[#This Row],[PECAS]]+Tabela4[[#This Row],[SERVICOS]]</f>
        <v>170</v>
      </c>
      <c r="L264" s="155">
        <v>0</v>
      </c>
      <c r="M264" s="155">
        <v>0</v>
      </c>
      <c r="N264" s="67"/>
      <c r="O264" s="155">
        <v>0</v>
      </c>
      <c r="P264" s="155">
        <v>170</v>
      </c>
      <c r="Q264" s="155">
        <v>0</v>
      </c>
      <c r="R264" s="155">
        <v>0</v>
      </c>
      <c r="S264" s="154">
        <v>0</v>
      </c>
      <c r="T264" s="155">
        <v>0</v>
      </c>
      <c r="U264" s="155">
        <v>0</v>
      </c>
      <c r="V264" s="25"/>
      <c r="W264" s="22">
        <v>0</v>
      </c>
      <c r="X264" s="149">
        <v>0</v>
      </c>
      <c r="Y264" s="25"/>
      <c r="Z264" s="155">
        <v>0</v>
      </c>
      <c r="AA264" s="152">
        <f>K264-U264-T264</f>
        <v>170</v>
      </c>
      <c r="AB264" s="27" t="s">
        <v>38</v>
      </c>
      <c r="AC264" s="30">
        <v>0</v>
      </c>
      <c r="AD264" s="162">
        <v>0</v>
      </c>
      <c r="AE264" s="162">
        <v>0</v>
      </c>
      <c r="AF264" s="162">
        <v>0</v>
      </c>
      <c r="AG264" s="162">
        <v>0</v>
      </c>
      <c r="AH264" s="162">
        <v>0</v>
      </c>
      <c r="AI264" s="162">
        <v>0</v>
      </c>
      <c r="AJ264" s="162">
        <v>0</v>
      </c>
    </row>
    <row r="265" spans="1:36" x14ac:dyDescent="0.25">
      <c r="A265" s="25" t="s">
        <v>510</v>
      </c>
      <c r="B265" s="25"/>
      <c r="C265" s="142">
        <v>45339</v>
      </c>
      <c r="D265" s="142">
        <v>45339</v>
      </c>
      <c r="E265">
        <f>Tabela4[[#This Row],[DATA FATURAMENTO]]-Tabela4[[#This Row],[DATA ORÇAMENTO]]</f>
        <v>0</v>
      </c>
      <c r="F265" s="25">
        <v>10635</v>
      </c>
      <c r="G265" s="25" t="s">
        <v>31</v>
      </c>
      <c r="H265" s="25"/>
      <c r="I265" s="155">
        <v>214</v>
      </c>
      <c r="J265" s="155">
        <v>170</v>
      </c>
      <c r="K265" s="153">
        <f>Tabela4[[#This Row],[PECAS]]+Tabela4[[#This Row],[SERVICOS]]</f>
        <v>384</v>
      </c>
      <c r="L265" s="155">
        <v>0</v>
      </c>
      <c r="M265" s="155">
        <v>0</v>
      </c>
      <c r="N265" s="67"/>
      <c r="O265" s="155">
        <v>0</v>
      </c>
      <c r="P265" s="155">
        <v>0</v>
      </c>
      <c r="Q265" s="155">
        <v>0</v>
      </c>
      <c r="R265" s="155">
        <v>0</v>
      </c>
      <c r="S265" s="154">
        <v>0</v>
      </c>
      <c r="T265" s="155">
        <v>0</v>
      </c>
      <c r="U265" s="155">
        <v>0</v>
      </c>
      <c r="V265" s="25"/>
      <c r="W265" s="22">
        <v>0</v>
      </c>
      <c r="X265" s="149">
        <v>0</v>
      </c>
      <c r="Y265" s="25"/>
      <c r="Z265" s="155">
        <v>0</v>
      </c>
      <c r="AA265" s="149">
        <f>Tabela4[[#This Row],[VALOR]]-Tabela4[[#This Row],[PNEUS]]-Tabela4[[#This Row],[BATERIA]]</f>
        <v>384</v>
      </c>
      <c r="AB265" s="27" t="s">
        <v>32</v>
      </c>
      <c r="AC265" s="30">
        <v>0</v>
      </c>
      <c r="AD265" s="162">
        <v>0</v>
      </c>
      <c r="AE265" s="162">
        <v>0</v>
      </c>
      <c r="AF265" s="162">
        <v>0</v>
      </c>
      <c r="AG265" s="162">
        <v>0</v>
      </c>
      <c r="AH265" s="162">
        <v>0</v>
      </c>
      <c r="AI265" s="162">
        <v>0</v>
      </c>
      <c r="AJ265" s="162">
        <v>0</v>
      </c>
    </row>
    <row r="266" spans="1:36" x14ac:dyDescent="0.25">
      <c r="A266" s="25" t="s">
        <v>389</v>
      </c>
      <c r="B266" s="25"/>
      <c r="C266" s="142">
        <v>45338</v>
      </c>
      <c r="D266" s="142">
        <v>45341</v>
      </c>
      <c r="E266">
        <f>Tabela4[[#This Row],[DATA FATURAMENTO]]-Tabela4[[#This Row],[DATA ORÇAMENTO]]</f>
        <v>3</v>
      </c>
      <c r="F266" s="25">
        <v>10623</v>
      </c>
      <c r="G266" s="25" t="s">
        <v>35</v>
      </c>
      <c r="H266" s="25"/>
      <c r="I266" s="155">
        <v>535.29999999999995</v>
      </c>
      <c r="J266" s="155">
        <v>464.7</v>
      </c>
      <c r="K266" s="153">
        <f>Tabela4[[#This Row],[PECAS]]+Tabela4[[#This Row],[SERVICOS]]</f>
        <v>1000</v>
      </c>
      <c r="L266" s="155">
        <v>0</v>
      </c>
      <c r="M266" s="155">
        <f>21+116.4</f>
        <v>137.4</v>
      </c>
      <c r="N266" s="67"/>
      <c r="O266" s="155">
        <v>0</v>
      </c>
      <c r="P266" s="155">
        <v>0</v>
      </c>
      <c r="Q266" s="155">
        <v>0</v>
      </c>
      <c r="R266" s="155">
        <v>0</v>
      </c>
      <c r="S266" s="154">
        <v>0</v>
      </c>
      <c r="T266" s="155">
        <v>0</v>
      </c>
      <c r="U266" s="155">
        <v>0</v>
      </c>
      <c r="V266" s="25"/>
      <c r="W266" s="22">
        <v>0</v>
      </c>
      <c r="X266" s="149">
        <v>0</v>
      </c>
      <c r="Y266" s="25"/>
      <c r="Z266" s="155">
        <v>0</v>
      </c>
      <c r="AA266" s="149">
        <f>Tabela4[[#This Row],[VALOR]]-Tabela4[[#This Row],[PNEUS]]-Tabela4[[#This Row],[BATERIA]]</f>
        <v>1000</v>
      </c>
      <c r="AB266" s="27" t="s">
        <v>30</v>
      </c>
      <c r="AC266" s="30">
        <v>0</v>
      </c>
      <c r="AD266" s="162">
        <v>0</v>
      </c>
      <c r="AE266" s="162">
        <v>0</v>
      </c>
      <c r="AF266" s="162">
        <v>0</v>
      </c>
      <c r="AG266" s="162">
        <v>0</v>
      </c>
      <c r="AH266" s="162">
        <v>0</v>
      </c>
      <c r="AI266" s="162">
        <v>0</v>
      </c>
      <c r="AJ266" s="162">
        <v>0</v>
      </c>
    </row>
    <row r="267" spans="1:36" x14ac:dyDescent="0.25">
      <c r="A267" s="25" t="s">
        <v>511</v>
      </c>
      <c r="B267" s="25"/>
      <c r="C267" s="142">
        <v>45341</v>
      </c>
      <c r="D267" s="142">
        <v>45341</v>
      </c>
      <c r="E267">
        <f>Tabela4[[#This Row],[DATA FATURAMENTO]]-Tabela4[[#This Row],[DATA ORÇAMENTO]]</f>
        <v>0</v>
      </c>
      <c r="F267" s="25">
        <v>10640</v>
      </c>
      <c r="G267" s="25" t="s">
        <v>22</v>
      </c>
      <c r="H267" s="25"/>
      <c r="I267" s="155">
        <v>895.4</v>
      </c>
      <c r="J267" s="155">
        <v>170</v>
      </c>
      <c r="K267" s="153">
        <f>Tabela4[[#This Row],[PECAS]]+Tabela4[[#This Row],[SERVICOS]]</f>
        <v>1065.4000000000001</v>
      </c>
      <c r="L267" s="155">
        <v>0</v>
      </c>
      <c r="M267" s="155">
        <v>0</v>
      </c>
      <c r="N267" s="67"/>
      <c r="O267" s="155">
        <v>0</v>
      </c>
      <c r="P267" s="155">
        <v>0</v>
      </c>
      <c r="Q267" s="155">
        <v>0</v>
      </c>
      <c r="R267" s="155">
        <v>0</v>
      </c>
      <c r="S267" s="154">
        <v>0</v>
      </c>
      <c r="T267" s="155">
        <v>0</v>
      </c>
      <c r="U267" s="155">
        <v>895.4</v>
      </c>
      <c r="V267" s="25" t="s">
        <v>700</v>
      </c>
      <c r="W267" s="22">
        <v>0</v>
      </c>
      <c r="X267" s="149">
        <v>0</v>
      </c>
      <c r="Y267" s="25"/>
      <c r="Z267" s="155">
        <v>0</v>
      </c>
      <c r="AA267" s="149">
        <f>Tabela4[[#This Row],[VALOR]]-Tabela4[[#This Row],[PNEUS]]-Tabela4[[#This Row],[BATERIA]]</f>
        <v>170.00000000000011</v>
      </c>
      <c r="AB267" s="27" t="s">
        <v>32</v>
      </c>
      <c r="AC267" s="30">
        <v>0</v>
      </c>
      <c r="AD267" s="162">
        <v>0</v>
      </c>
      <c r="AE267" s="162">
        <v>0</v>
      </c>
      <c r="AF267" s="162">
        <v>0</v>
      </c>
      <c r="AG267" s="162">
        <v>0</v>
      </c>
      <c r="AH267" s="162">
        <v>0</v>
      </c>
      <c r="AI267" s="162">
        <v>0</v>
      </c>
      <c r="AJ267" s="162">
        <v>0</v>
      </c>
    </row>
    <row r="268" spans="1:36" x14ac:dyDescent="0.25">
      <c r="A268" s="25" t="s">
        <v>512</v>
      </c>
      <c r="B268" s="25"/>
      <c r="C268" s="142">
        <v>45341</v>
      </c>
      <c r="D268" s="142">
        <v>45341</v>
      </c>
      <c r="E268">
        <f>Tabela4[[#This Row],[DATA FATURAMENTO]]-Tabela4[[#This Row],[DATA ORÇAMENTO]]</f>
        <v>0</v>
      </c>
      <c r="F268" s="25">
        <v>10647</v>
      </c>
      <c r="G268" s="25" t="s">
        <v>31</v>
      </c>
      <c r="H268" s="25"/>
      <c r="I268" s="155">
        <v>30</v>
      </c>
      <c r="J268" s="155">
        <v>0</v>
      </c>
      <c r="K268" s="153">
        <f>Tabela4[[#This Row],[PECAS]]+Tabela4[[#This Row],[SERVICOS]]</f>
        <v>30</v>
      </c>
      <c r="L268" s="155">
        <v>0</v>
      </c>
      <c r="M268" s="155">
        <v>0</v>
      </c>
      <c r="N268" s="67"/>
      <c r="O268" s="155">
        <v>0</v>
      </c>
      <c r="P268" s="155">
        <v>0</v>
      </c>
      <c r="Q268" s="155">
        <v>0</v>
      </c>
      <c r="R268" s="155">
        <v>0</v>
      </c>
      <c r="S268" s="154">
        <v>0</v>
      </c>
      <c r="T268" s="155">
        <v>0</v>
      </c>
      <c r="U268" s="155">
        <v>0</v>
      </c>
      <c r="V268" s="25"/>
      <c r="W268" s="22">
        <v>0</v>
      </c>
      <c r="X268" s="149">
        <v>0</v>
      </c>
      <c r="Y268" s="25"/>
      <c r="Z268" s="155">
        <v>0</v>
      </c>
      <c r="AA268" s="152">
        <f>K268-U268-T268</f>
        <v>30</v>
      </c>
      <c r="AB268" s="27" t="s">
        <v>38</v>
      </c>
      <c r="AC268" s="30">
        <v>0</v>
      </c>
      <c r="AD268" s="162">
        <v>0</v>
      </c>
      <c r="AE268" s="162">
        <v>0</v>
      </c>
      <c r="AF268" s="162">
        <v>0</v>
      </c>
      <c r="AG268" s="162">
        <v>0</v>
      </c>
      <c r="AH268" s="162">
        <v>0</v>
      </c>
      <c r="AI268" s="162">
        <v>0</v>
      </c>
      <c r="AJ268" s="162">
        <v>0</v>
      </c>
    </row>
    <row r="269" spans="1:36" x14ac:dyDescent="0.25">
      <c r="A269" s="25" t="s">
        <v>223</v>
      </c>
      <c r="B269" s="25"/>
      <c r="C269" s="142">
        <v>45339</v>
      </c>
      <c r="D269" s="142">
        <v>45341</v>
      </c>
      <c r="E269">
        <f>Tabela4[[#This Row],[DATA FATURAMENTO]]-Tabela4[[#This Row],[DATA ORÇAMENTO]]</f>
        <v>2</v>
      </c>
      <c r="F269" s="25">
        <v>10634</v>
      </c>
      <c r="G269" s="25" t="s">
        <v>39</v>
      </c>
      <c r="H269" s="25" t="s">
        <v>809</v>
      </c>
      <c r="I269" s="155">
        <v>320</v>
      </c>
      <c r="J269" s="155">
        <v>144.01</v>
      </c>
      <c r="K269" s="153">
        <f>Tabela4[[#This Row],[PECAS]]+Tabela4[[#This Row],[SERVICOS]]</f>
        <v>464.01</v>
      </c>
      <c r="L269" s="155">
        <v>0</v>
      </c>
      <c r="M269" s="155">
        <v>0</v>
      </c>
      <c r="N269" s="67"/>
      <c r="O269" s="155">
        <v>0</v>
      </c>
      <c r="P269" s="155">
        <v>0</v>
      </c>
      <c r="Q269" s="155">
        <v>0</v>
      </c>
      <c r="R269" s="155">
        <v>0</v>
      </c>
      <c r="S269" s="154">
        <v>0</v>
      </c>
      <c r="T269" s="155">
        <v>0</v>
      </c>
      <c r="U269" s="155">
        <v>0</v>
      </c>
      <c r="V269" s="25"/>
      <c r="W269" s="28">
        <v>3</v>
      </c>
      <c r="X269" s="149">
        <v>0</v>
      </c>
      <c r="Y269" s="25" t="s">
        <v>638</v>
      </c>
      <c r="Z269" s="155">
        <v>0</v>
      </c>
      <c r="AA269" s="149">
        <f>Tabela4[[#This Row],[VALOR]]-Tabela4[[#This Row],[PNEUS]]-Tabela4[[#This Row],[BATERIA]]</f>
        <v>464.01</v>
      </c>
      <c r="AB269" s="27" t="s">
        <v>30</v>
      </c>
      <c r="AC269" s="30">
        <v>0</v>
      </c>
      <c r="AD269" s="162">
        <v>0</v>
      </c>
      <c r="AE269" s="162">
        <v>0</v>
      </c>
      <c r="AF269" s="162">
        <v>0</v>
      </c>
      <c r="AG269" s="162">
        <v>0</v>
      </c>
      <c r="AH269" s="162">
        <v>0</v>
      </c>
      <c r="AI269" s="162">
        <v>0</v>
      </c>
      <c r="AJ269" s="162">
        <v>0</v>
      </c>
    </row>
    <row r="270" spans="1:36" x14ac:dyDescent="0.25">
      <c r="A270" s="25" t="s">
        <v>513</v>
      </c>
      <c r="B270" s="25"/>
      <c r="C270" s="142">
        <v>45337</v>
      </c>
      <c r="D270" s="142">
        <v>45342</v>
      </c>
      <c r="E270">
        <f>Tabela4[[#This Row],[DATA FATURAMENTO]]-Tabela4[[#This Row],[DATA ORÇAMENTO]]</f>
        <v>5</v>
      </c>
      <c r="F270" s="25">
        <v>10618</v>
      </c>
      <c r="G270" s="25" t="s">
        <v>25</v>
      </c>
      <c r="H270" s="25"/>
      <c r="I270" s="155">
        <v>241.34</v>
      </c>
      <c r="J270" s="155">
        <v>72.02</v>
      </c>
      <c r="K270" s="153">
        <f>Tabela4[[#This Row],[PECAS]]+Tabela4[[#This Row],[SERVICOS]]</f>
        <v>313.36</v>
      </c>
      <c r="L270" s="155">
        <v>0</v>
      </c>
      <c r="M270" s="155">
        <v>0</v>
      </c>
      <c r="N270" s="67"/>
      <c r="O270" s="155">
        <v>0</v>
      </c>
      <c r="P270" s="155">
        <v>0</v>
      </c>
      <c r="Q270" s="155">
        <v>0</v>
      </c>
      <c r="R270" s="155">
        <v>0</v>
      </c>
      <c r="S270" s="154">
        <v>24.49</v>
      </c>
      <c r="T270" s="155">
        <v>0</v>
      </c>
      <c r="U270" s="155">
        <v>0</v>
      </c>
      <c r="V270" s="25"/>
      <c r="W270" s="28">
        <v>3</v>
      </c>
      <c r="X270" s="149">
        <v>0</v>
      </c>
      <c r="Y270" s="25" t="s">
        <v>654</v>
      </c>
      <c r="Z270" s="155">
        <v>0</v>
      </c>
      <c r="AA270" s="149">
        <f>Tabela4[[#This Row],[VALOR]]-Tabela4[[#This Row],[PNEUS]]-Tabela4[[#This Row],[BATERIA]]</f>
        <v>313.36</v>
      </c>
      <c r="AB270" s="27" t="s">
        <v>30</v>
      </c>
      <c r="AC270" s="30">
        <v>0</v>
      </c>
      <c r="AD270" s="162">
        <v>0</v>
      </c>
      <c r="AE270" s="162">
        <v>0</v>
      </c>
      <c r="AF270" s="162">
        <v>0</v>
      </c>
      <c r="AG270" s="162">
        <v>0</v>
      </c>
      <c r="AH270" s="162">
        <v>0</v>
      </c>
      <c r="AI270" s="162">
        <v>0</v>
      </c>
      <c r="AJ270" s="162">
        <v>0</v>
      </c>
    </row>
    <row r="271" spans="1:36" x14ac:dyDescent="0.25">
      <c r="A271" s="25" t="s">
        <v>514</v>
      </c>
      <c r="B271" s="25"/>
      <c r="C271" s="142">
        <v>45341</v>
      </c>
      <c r="D271" s="142">
        <v>45342</v>
      </c>
      <c r="E271">
        <f>Tabela4[[#This Row],[DATA FATURAMENTO]]-Tabela4[[#This Row],[DATA ORÇAMENTO]]</f>
        <v>1</v>
      </c>
      <c r="F271" s="25">
        <v>10642</v>
      </c>
      <c r="G271" s="25" t="s">
        <v>35</v>
      </c>
      <c r="H271" s="25"/>
      <c r="I271" s="155">
        <v>905</v>
      </c>
      <c r="J271" s="155">
        <v>0</v>
      </c>
      <c r="K271" s="153">
        <f>Tabela4[[#This Row],[PECAS]]+Tabela4[[#This Row],[SERVICOS]]</f>
        <v>905</v>
      </c>
      <c r="L271" s="155">
        <v>0</v>
      </c>
      <c r="M271" s="155">
        <v>0</v>
      </c>
      <c r="N271" s="67"/>
      <c r="O271" s="155">
        <v>0</v>
      </c>
      <c r="P271" s="155">
        <v>0</v>
      </c>
      <c r="Q271" s="155">
        <v>0</v>
      </c>
      <c r="R271" s="155">
        <v>0</v>
      </c>
      <c r="S271" s="154">
        <v>0</v>
      </c>
      <c r="T271" s="155">
        <v>0</v>
      </c>
      <c r="U271" s="155">
        <v>905</v>
      </c>
      <c r="V271" s="25" t="s">
        <v>810</v>
      </c>
      <c r="W271" s="22">
        <v>0</v>
      </c>
      <c r="X271" s="149">
        <v>0</v>
      </c>
      <c r="Y271" s="25"/>
      <c r="Z271" s="155">
        <v>0</v>
      </c>
      <c r="AA271" s="152">
        <f>K271-U271-T271</f>
        <v>0</v>
      </c>
      <c r="AB271" s="27" t="s">
        <v>6</v>
      </c>
      <c r="AC271" s="30">
        <v>0</v>
      </c>
      <c r="AD271" s="162">
        <v>0</v>
      </c>
      <c r="AE271" s="162">
        <v>0</v>
      </c>
      <c r="AF271" s="162">
        <v>0</v>
      </c>
      <c r="AG271" s="162">
        <v>0</v>
      </c>
      <c r="AH271" s="162">
        <v>0</v>
      </c>
      <c r="AI271" s="162">
        <v>0</v>
      </c>
      <c r="AJ271" s="162">
        <v>0</v>
      </c>
    </row>
    <row r="272" spans="1:36" x14ac:dyDescent="0.25">
      <c r="A272" s="25" t="s">
        <v>515</v>
      </c>
      <c r="B272" s="25"/>
      <c r="C272" s="142">
        <v>45342</v>
      </c>
      <c r="D272" s="142">
        <v>45342</v>
      </c>
      <c r="E272">
        <f>Tabela4[[#This Row],[DATA FATURAMENTO]]-Tabela4[[#This Row],[DATA ORÇAMENTO]]</f>
        <v>0</v>
      </c>
      <c r="F272" s="25">
        <v>10654</v>
      </c>
      <c r="G272" s="25" t="s">
        <v>31</v>
      </c>
      <c r="H272" s="25"/>
      <c r="I272" s="155">
        <v>0</v>
      </c>
      <c r="J272" s="155">
        <v>170</v>
      </c>
      <c r="K272" s="153">
        <f>Tabela4[[#This Row],[PECAS]]+Tabela4[[#This Row],[SERVICOS]]</f>
        <v>170</v>
      </c>
      <c r="L272" s="155">
        <v>0</v>
      </c>
      <c r="M272" s="155">
        <v>0</v>
      </c>
      <c r="N272" s="67"/>
      <c r="O272" s="155">
        <v>0</v>
      </c>
      <c r="P272" s="155">
        <v>0</v>
      </c>
      <c r="Q272" s="155">
        <v>0</v>
      </c>
      <c r="R272" s="155">
        <v>0</v>
      </c>
      <c r="S272" s="154">
        <v>170</v>
      </c>
      <c r="T272" s="155">
        <v>0</v>
      </c>
      <c r="U272" s="155">
        <v>0</v>
      </c>
      <c r="V272" s="25"/>
      <c r="W272" s="22">
        <v>0</v>
      </c>
      <c r="X272" s="149">
        <v>0</v>
      </c>
      <c r="Y272" s="25"/>
      <c r="Z272" s="155">
        <v>0</v>
      </c>
      <c r="AA272" s="149">
        <f>Tabela4[[#This Row],[VALOR]]-Tabela4[[#This Row],[PNEUS]]-Tabela4[[#This Row],[BATERIA]]</f>
        <v>170</v>
      </c>
      <c r="AB272" s="27" t="s">
        <v>38</v>
      </c>
      <c r="AC272" s="30">
        <v>0</v>
      </c>
      <c r="AD272" s="162">
        <v>0</v>
      </c>
      <c r="AE272" s="162">
        <v>0</v>
      </c>
      <c r="AF272" s="162">
        <v>0</v>
      </c>
      <c r="AG272" s="162">
        <v>0</v>
      </c>
      <c r="AH272" s="162">
        <v>0</v>
      </c>
      <c r="AI272" s="162">
        <v>0</v>
      </c>
      <c r="AJ272" s="162">
        <v>0</v>
      </c>
    </row>
    <row r="273" spans="1:36" x14ac:dyDescent="0.25">
      <c r="A273" s="25" t="s">
        <v>516</v>
      </c>
      <c r="B273" s="25"/>
      <c r="C273" s="142">
        <v>45342</v>
      </c>
      <c r="D273" s="142">
        <v>45342</v>
      </c>
      <c r="E273">
        <f>Tabela4[[#This Row],[DATA FATURAMENTO]]-Tabela4[[#This Row],[DATA ORÇAMENTO]]</f>
        <v>0</v>
      </c>
      <c r="F273" s="25">
        <v>10658</v>
      </c>
      <c r="G273" s="25" t="s">
        <v>22</v>
      </c>
      <c r="H273" s="25"/>
      <c r="I273" s="155">
        <v>90</v>
      </c>
      <c r="J273" s="155">
        <v>0</v>
      </c>
      <c r="K273" s="153">
        <f>Tabela4[[#This Row],[PECAS]]+Tabela4[[#This Row],[SERVICOS]]</f>
        <v>90</v>
      </c>
      <c r="L273" s="155">
        <v>0</v>
      </c>
      <c r="M273" s="155">
        <v>0</v>
      </c>
      <c r="N273" s="67"/>
      <c r="O273" s="155">
        <v>0</v>
      </c>
      <c r="P273" s="155">
        <v>90</v>
      </c>
      <c r="Q273" s="155">
        <v>0</v>
      </c>
      <c r="R273" s="155">
        <v>0</v>
      </c>
      <c r="S273" s="154">
        <v>0</v>
      </c>
      <c r="T273" s="155">
        <v>0</v>
      </c>
      <c r="U273" s="155">
        <v>0</v>
      </c>
      <c r="V273" s="25"/>
      <c r="W273" s="22">
        <v>0</v>
      </c>
      <c r="X273" s="149">
        <v>0</v>
      </c>
      <c r="Y273" s="25"/>
      <c r="Z273" s="155">
        <v>0</v>
      </c>
      <c r="AA273" s="152">
        <f>K273-U273-T273</f>
        <v>90</v>
      </c>
      <c r="AB273" s="27" t="s">
        <v>38</v>
      </c>
      <c r="AC273" s="30">
        <v>0</v>
      </c>
      <c r="AD273" s="162">
        <v>0</v>
      </c>
      <c r="AE273" s="162">
        <v>0</v>
      </c>
      <c r="AF273" s="162">
        <v>0</v>
      </c>
      <c r="AG273" s="162">
        <v>0</v>
      </c>
      <c r="AH273" s="162">
        <v>0</v>
      </c>
      <c r="AI273" s="162">
        <v>0</v>
      </c>
      <c r="AJ273" s="162">
        <v>0</v>
      </c>
    </row>
    <row r="274" spans="1:36" x14ac:dyDescent="0.25">
      <c r="A274" s="25" t="s">
        <v>811</v>
      </c>
      <c r="B274" s="25"/>
      <c r="C274" s="142">
        <v>45342</v>
      </c>
      <c r="D274" s="142">
        <v>45342</v>
      </c>
      <c r="E274">
        <f>Tabela4[[#This Row],[DATA FATURAMENTO]]-Tabela4[[#This Row],[DATA ORÇAMENTO]]</f>
        <v>0</v>
      </c>
      <c r="F274" s="25">
        <v>10659</v>
      </c>
      <c r="G274" s="25" t="s">
        <v>6</v>
      </c>
      <c r="H274" s="25"/>
      <c r="I274" s="155">
        <v>533.5</v>
      </c>
      <c r="J274" s="155">
        <v>0</v>
      </c>
      <c r="K274" s="153">
        <f>Tabela4[[#This Row],[PECAS]]+Tabela4[[#This Row],[SERVICOS]]</f>
        <v>533.5</v>
      </c>
      <c r="L274" s="155">
        <v>0</v>
      </c>
      <c r="M274" s="155">
        <v>0</v>
      </c>
      <c r="N274" s="67"/>
      <c r="O274" s="155">
        <v>0</v>
      </c>
      <c r="P274" s="155">
        <v>0</v>
      </c>
      <c r="Q274" s="155">
        <v>0</v>
      </c>
      <c r="R274" s="155">
        <v>0</v>
      </c>
      <c r="S274" s="154">
        <v>0</v>
      </c>
      <c r="T274" s="155">
        <v>0</v>
      </c>
      <c r="U274" s="155">
        <v>533.5</v>
      </c>
      <c r="V274" s="25" t="s">
        <v>664</v>
      </c>
      <c r="W274" s="22">
        <v>0</v>
      </c>
      <c r="X274" s="149">
        <v>0</v>
      </c>
      <c r="Y274" s="25"/>
      <c r="Z274" s="155">
        <v>0</v>
      </c>
      <c r="AA274" s="149">
        <f>Tabela4[[#This Row],[VALOR]]-Tabela4[[#This Row],[PNEUS]]-Tabela4[[#This Row],[BATERIA]]</f>
        <v>0</v>
      </c>
      <c r="AB274" s="27" t="s">
        <v>6</v>
      </c>
      <c r="AC274" s="30">
        <v>0</v>
      </c>
      <c r="AD274" s="162">
        <v>0</v>
      </c>
      <c r="AE274" s="162">
        <v>0</v>
      </c>
      <c r="AF274" s="162">
        <v>0</v>
      </c>
      <c r="AG274" s="162">
        <v>0</v>
      </c>
      <c r="AH274" s="162">
        <v>0</v>
      </c>
      <c r="AI274" s="162">
        <v>0</v>
      </c>
      <c r="AJ274" s="162">
        <v>0</v>
      </c>
    </row>
    <row r="275" spans="1:36" x14ac:dyDescent="0.25">
      <c r="A275" s="25" t="s">
        <v>517</v>
      </c>
      <c r="B275" s="25"/>
      <c r="C275" s="142">
        <v>45323</v>
      </c>
      <c r="D275" s="142">
        <v>45343</v>
      </c>
      <c r="E275">
        <f>Tabela4[[#This Row],[DATA FATURAMENTO]]-Tabela4[[#This Row],[DATA ORÇAMENTO]]</f>
        <v>20</v>
      </c>
      <c r="F275" s="25">
        <v>10506</v>
      </c>
      <c r="G275" s="25" t="s">
        <v>6</v>
      </c>
      <c r="H275" s="25"/>
      <c r="I275" s="155">
        <v>522.5</v>
      </c>
      <c r="J275" s="155">
        <v>0</v>
      </c>
      <c r="K275" s="153">
        <f>Tabela4[[#This Row],[PECAS]]+Tabela4[[#This Row],[SERVICOS]]</f>
        <v>522.5</v>
      </c>
      <c r="L275" s="155">
        <v>0</v>
      </c>
      <c r="M275" s="155">
        <v>0</v>
      </c>
      <c r="N275" s="67"/>
      <c r="O275" s="155">
        <v>0</v>
      </c>
      <c r="P275" s="155">
        <v>0</v>
      </c>
      <c r="Q275" s="155">
        <v>0</v>
      </c>
      <c r="R275" s="155">
        <v>0</v>
      </c>
      <c r="S275" s="154">
        <v>0</v>
      </c>
      <c r="T275" s="155">
        <v>0</v>
      </c>
      <c r="U275" s="155">
        <v>522.5</v>
      </c>
      <c r="V275" s="25" t="s">
        <v>707</v>
      </c>
      <c r="W275" s="22">
        <v>0</v>
      </c>
      <c r="X275" s="149">
        <v>0</v>
      </c>
      <c r="Y275" s="25"/>
      <c r="Z275" s="155">
        <v>0</v>
      </c>
      <c r="AA275" s="149">
        <f>Tabela4[[#This Row],[VALOR]]-Tabela4[[#This Row],[PNEUS]]-Tabela4[[#This Row],[BATERIA]]</f>
        <v>0</v>
      </c>
      <c r="AB275" s="27" t="s">
        <v>6</v>
      </c>
      <c r="AC275" s="30">
        <v>0</v>
      </c>
      <c r="AD275" s="162">
        <v>0</v>
      </c>
      <c r="AE275" s="162">
        <v>0</v>
      </c>
      <c r="AF275" s="162">
        <v>0</v>
      </c>
      <c r="AG275" s="162">
        <v>0</v>
      </c>
      <c r="AH275" s="162">
        <v>0</v>
      </c>
      <c r="AI275" s="162">
        <v>0</v>
      </c>
      <c r="AJ275" s="162">
        <v>0</v>
      </c>
    </row>
    <row r="276" spans="1:36" x14ac:dyDescent="0.25">
      <c r="A276" s="25" t="s">
        <v>518</v>
      </c>
      <c r="B276" s="25"/>
      <c r="C276" s="142">
        <v>45329</v>
      </c>
      <c r="D276" s="142">
        <v>45343</v>
      </c>
      <c r="E276">
        <f>Tabela4[[#This Row],[DATA FATURAMENTO]]-Tabela4[[#This Row],[DATA ORÇAMENTO]]</f>
        <v>14</v>
      </c>
      <c r="F276" s="25">
        <v>10561</v>
      </c>
      <c r="G276" s="25" t="s">
        <v>6</v>
      </c>
      <c r="H276" s="25"/>
      <c r="I276" s="155">
        <v>522.5</v>
      </c>
      <c r="J276" s="155">
        <v>0</v>
      </c>
      <c r="K276" s="153">
        <f>Tabela4[[#This Row],[PECAS]]+Tabela4[[#This Row],[SERVICOS]]</f>
        <v>522.5</v>
      </c>
      <c r="L276" s="155">
        <v>0</v>
      </c>
      <c r="M276" s="155">
        <v>0</v>
      </c>
      <c r="N276" s="67"/>
      <c r="O276" s="155">
        <v>0</v>
      </c>
      <c r="P276" s="155">
        <v>0</v>
      </c>
      <c r="Q276" s="155">
        <v>0</v>
      </c>
      <c r="R276" s="155">
        <v>0</v>
      </c>
      <c r="S276" s="154">
        <v>0</v>
      </c>
      <c r="T276" s="155">
        <v>0</v>
      </c>
      <c r="U276" s="155">
        <v>522.5</v>
      </c>
      <c r="V276" s="25" t="s">
        <v>664</v>
      </c>
      <c r="W276" s="22">
        <v>0</v>
      </c>
      <c r="X276" s="149">
        <v>0</v>
      </c>
      <c r="Y276" s="25"/>
      <c r="Z276" s="155">
        <v>0</v>
      </c>
      <c r="AA276" s="149">
        <f>Tabela4[[#This Row],[VALOR]]-Tabela4[[#This Row],[PNEUS]]-Tabela4[[#This Row],[BATERIA]]</f>
        <v>0</v>
      </c>
      <c r="AB276" s="27" t="s">
        <v>6</v>
      </c>
      <c r="AC276" s="30">
        <v>0</v>
      </c>
      <c r="AD276" s="162">
        <v>0</v>
      </c>
      <c r="AE276" s="162">
        <v>0</v>
      </c>
      <c r="AF276" s="162">
        <v>0</v>
      </c>
      <c r="AG276" s="162">
        <v>0</v>
      </c>
      <c r="AH276" s="162">
        <v>0</v>
      </c>
      <c r="AI276" s="162">
        <v>0</v>
      </c>
      <c r="AJ276" s="162">
        <v>0</v>
      </c>
    </row>
    <row r="277" spans="1:36" x14ac:dyDescent="0.25">
      <c r="A277" s="25" t="s">
        <v>519</v>
      </c>
      <c r="B277" s="25"/>
      <c r="C277" s="142">
        <v>45341</v>
      </c>
      <c r="D277" s="142">
        <v>45343</v>
      </c>
      <c r="E277">
        <f>Tabela4[[#This Row],[DATA FATURAMENTO]]-Tabela4[[#This Row],[DATA ORÇAMENTO]]</f>
        <v>2</v>
      </c>
      <c r="F277" s="25">
        <v>10641</v>
      </c>
      <c r="G277" s="25" t="s">
        <v>28</v>
      </c>
      <c r="H277" s="25"/>
      <c r="I277" s="155">
        <v>958.7</v>
      </c>
      <c r="J277" s="155">
        <v>623.20000000000005</v>
      </c>
      <c r="K277" s="153">
        <f>Tabela4[[#This Row],[PECAS]]+Tabela4[[#This Row],[SERVICOS]]</f>
        <v>1581.9</v>
      </c>
      <c r="L277" s="155">
        <v>0</v>
      </c>
      <c r="M277" s="155">
        <v>0</v>
      </c>
      <c r="N277" s="67"/>
      <c r="O277" s="155">
        <v>0</v>
      </c>
      <c r="P277" s="155">
        <v>0</v>
      </c>
      <c r="Q277" s="155">
        <v>0</v>
      </c>
      <c r="R277" s="155">
        <v>0</v>
      </c>
      <c r="S277" s="154">
        <v>0</v>
      </c>
      <c r="T277" s="155">
        <v>938.7</v>
      </c>
      <c r="U277" s="155">
        <v>0</v>
      </c>
      <c r="V277" s="25"/>
      <c r="W277" s="22">
        <v>0</v>
      </c>
      <c r="X277" s="149">
        <v>0</v>
      </c>
      <c r="Y277" s="25"/>
      <c r="Z277" s="155">
        <v>0</v>
      </c>
      <c r="AA277" s="149">
        <f>Tabela4[[#This Row],[VALOR]]-Tabela4[[#This Row],[PNEUS]]-Tabela4[[#This Row],[BATERIA]]</f>
        <v>643.20000000000005</v>
      </c>
      <c r="AB277" s="27" t="s">
        <v>27</v>
      </c>
      <c r="AC277" s="30">
        <v>0</v>
      </c>
      <c r="AD277" s="162">
        <v>0</v>
      </c>
      <c r="AE277" s="162">
        <v>0</v>
      </c>
      <c r="AF277" s="162">
        <v>0</v>
      </c>
      <c r="AG277" s="162">
        <v>0</v>
      </c>
      <c r="AH277" s="162">
        <v>0</v>
      </c>
      <c r="AI277" s="162">
        <v>0</v>
      </c>
      <c r="AJ277" s="162">
        <v>0</v>
      </c>
    </row>
    <row r="278" spans="1:36" x14ac:dyDescent="0.25">
      <c r="A278" s="25" t="s">
        <v>173</v>
      </c>
      <c r="B278" s="25"/>
      <c r="C278" s="142">
        <v>45342</v>
      </c>
      <c r="D278" s="142">
        <v>45343</v>
      </c>
      <c r="E278">
        <f>Tabela4[[#This Row],[DATA FATURAMENTO]]-Tabela4[[#This Row],[DATA ORÇAMENTO]]</f>
        <v>1</v>
      </c>
      <c r="F278" s="25">
        <v>10648</v>
      </c>
      <c r="G278" s="25" t="s">
        <v>35</v>
      </c>
      <c r="H278" s="25"/>
      <c r="I278" s="155">
        <v>790</v>
      </c>
      <c r="J278" s="155">
        <v>690</v>
      </c>
      <c r="K278" s="153">
        <f>Tabela4[[#This Row],[PECAS]]+Tabela4[[#This Row],[SERVICOS]]</f>
        <v>1480</v>
      </c>
      <c r="L278" s="155">
        <v>0</v>
      </c>
      <c r="M278" s="155">
        <v>0</v>
      </c>
      <c r="N278" s="67"/>
      <c r="O278" s="155">
        <v>0</v>
      </c>
      <c r="P278" s="155">
        <v>0</v>
      </c>
      <c r="Q278" s="155">
        <v>0</v>
      </c>
      <c r="R278" s="155">
        <v>0</v>
      </c>
      <c r="S278" s="154">
        <v>0</v>
      </c>
      <c r="T278" s="155">
        <v>0</v>
      </c>
      <c r="U278" s="155">
        <v>0</v>
      </c>
      <c r="V278" s="25"/>
      <c r="W278" s="22">
        <v>0</v>
      </c>
      <c r="X278" s="149">
        <v>0</v>
      </c>
      <c r="Y278" s="25"/>
      <c r="Z278" s="155">
        <v>0</v>
      </c>
      <c r="AA278" s="149">
        <f>Tabela4[[#This Row],[VALOR]]-Tabela4[[#This Row],[PNEUS]]-Tabela4[[#This Row],[BATERIA]]</f>
        <v>1480</v>
      </c>
      <c r="AB278" s="27" t="s">
        <v>34</v>
      </c>
      <c r="AC278" s="30">
        <v>0</v>
      </c>
      <c r="AD278" s="162">
        <v>0</v>
      </c>
      <c r="AE278" s="162">
        <v>0</v>
      </c>
      <c r="AF278" s="162">
        <v>0</v>
      </c>
      <c r="AG278" s="162">
        <v>0</v>
      </c>
      <c r="AH278" s="162">
        <v>0</v>
      </c>
      <c r="AI278" s="162">
        <v>0</v>
      </c>
      <c r="AJ278" s="162">
        <v>0</v>
      </c>
    </row>
    <row r="279" spans="1:36" x14ac:dyDescent="0.25">
      <c r="A279" s="25" t="s">
        <v>520</v>
      </c>
      <c r="B279" s="25"/>
      <c r="C279" s="142">
        <v>45342</v>
      </c>
      <c r="D279" s="142">
        <v>45343</v>
      </c>
      <c r="E279">
        <f>Tabela4[[#This Row],[DATA FATURAMENTO]]-Tabela4[[#This Row],[DATA ORÇAMENTO]]</f>
        <v>1</v>
      </c>
      <c r="F279" s="25">
        <v>10649</v>
      </c>
      <c r="G279" s="25" t="s">
        <v>22</v>
      </c>
      <c r="H279" s="25"/>
      <c r="I279" s="155">
        <v>780</v>
      </c>
      <c r="J279" s="155">
        <v>320</v>
      </c>
      <c r="K279" s="153">
        <f>Tabela4[[#This Row],[PECAS]]+Tabela4[[#This Row],[SERVICOS]]</f>
        <v>1100</v>
      </c>
      <c r="L279" s="155">
        <v>0</v>
      </c>
      <c r="M279" s="155">
        <v>0</v>
      </c>
      <c r="N279" s="67"/>
      <c r="O279" s="155">
        <v>0</v>
      </c>
      <c r="P279" s="155">
        <v>0</v>
      </c>
      <c r="Q279" s="155">
        <v>0</v>
      </c>
      <c r="R279" s="155">
        <v>0</v>
      </c>
      <c r="S279" s="154">
        <v>0</v>
      </c>
      <c r="T279" s="155">
        <v>0</v>
      </c>
      <c r="U279" s="155">
        <v>0</v>
      </c>
      <c r="V279" s="25"/>
      <c r="W279" s="22">
        <v>0</v>
      </c>
      <c r="X279" s="149">
        <v>0</v>
      </c>
      <c r="Y279" s="25"/>
      <c r="Z279" s="155">
        <v>0</v>
      </c>
      <c r="AA279" s="149">
        <f>Tabela4[[#This Row],[VALOR]]-Tabela4[[#This Row],[PNEUS]]-Tabela4[[#This Row],[BATERIA]]</f>
        <v>1100</v>
      </c>
      <c r="AB279" s="27" t="s">
        <v>30</v>
      </c>
      <c r="AC279" s="30">
        <v>0</v>
      </c>
      <c r="AD279" s="162">
        <v>0</v>
      </c>
      <c r="AE279" s="162">
        <v>0</v>
      </c>
      <c r="AF279" s="162">
        <v>0</v>
      </c>
      <c r="AG279" s="162">
        <v>0</v>
      </c>
      <c r="AH279" s="162">
        <v>0</v>
      </c>
      <c r="AI279" s="162">
        <v>0</v>
      </c>
      <c r="AJ279" s="162">
        <v>0</v>
      </c>
    </row>
    <row r="280" spans="1:36" x14ac:dyDescent="0.25">
      <c r="A280" s="25" t="s">
        <v>521</v>
      </c>
      <c r="B280" s="25"/>
      <c r="C280" s="142">
        <v>45342</v>
      </c>
      <c r="D280" s="142">
        <v>45343</v>
      </c>
      <c r="E280">
        <f>Tabela4[[#This Row],[DATA FATURAMENTO]]-Tabela4[[#This Row],[DATA ORÇAMENTO]]</f>
        <v>1</v>
      </c>
      <c r="F280" s="25">
        <v>10651</v>
      </c>
      <c r="G280" s="25" t="s">
        <v>31</v>
      </c>
      <c r="H280" s="25"/>
      <c r="I280" s="155">
        <v>900</v>
      </c>
      <c r="J280" s="155">
        <v>560</v>
      </c>
      <c r="K280" s="153">
        <f>Tabela4[[#This Row],[PECAS]]+Tabela4[[#This Row],[SERVICOS]]</f>
        <v>1460</v>
      </c>
      <c r="L280" s="155">
        <v>0</v>
      </c>
      <c r="M280" s="155">
        <f>112.2+24.4+80</f>
        <v>216.6</v>
      </c>
      <c r="N280" s="67"/>
      <c r="O280" s="155">
        <v>0</v>
      </c>
      <c r="P280" s="155">
        <v>0</v>
      </c>
      <c r="Q280" s="155">
        <v>0</v>
      </c>
      <c r="R280" s="155">
        <v>0</v>
      </c>
      <c r="S280" s="154">
        <v>0</v>
      </c>
      <c r="T280" s="155">
        <v>0</v>
      </c>
      <c r="U280" s="155">
        <v>0</v>
      </c>
      <c r="V280" s="25"/>
      <c r="W280" s="22">
        <v>0</v>
      </c>
      <c r="X280" s="149">
        <v>0</v>
      </c>
      <c r="Y280" s="25"/>
      <c r="Z280" s="155">
        <v>0</v>
      </c>
      <c r="AA280" s="149">
        <f>Tabela4[[#This Row],[VALOR]]-Tabela4[[#This Row],[PNEUS]]-Tabela4[[#This Row],[BATERIA]]</f>
        <v>1460</v>
      </c>
      <c r="AB280" s="27" t="s">
        <v>27</v>
      </c>
      <c r="AC280" s="30">
        <v>0</v>
      </c>
      <c r="AD280" s="162">
        <v>0</v>
      </c>
      <c r="AE280" s="162">
        <v>0</v>
      </c>
      <c r="AF280" s="162">
        <v>0</v>
      </c>
      <c r="AG280" s="162">
        <v>0</v>
      </c>
      <c r="AH280" s="162">
        <v>0</v>
      </c>
      <c r="AI280" s="162">
        <v>0</v>
      </c>
      <c r="AJ280" s="162">
        <v>0</v>
      </c>
    </row>
    <row r="281" spans="1:36" x14ac:dyDescent="0.25">
      <c r="A281" s="25" t="s">
        <v>522</v>
      </c>
      <c r="B281" s="25"/>
      <c r="C281" s="142">
        <v>45343</v>
      </c>
      <c r="D281" s="142">
        <v>45343</v>
      </c>
      <c r="E281">
        <f>Tabela4[[#This Row],[DATA FATURAMENTO]]-Tabela4[[#This Row],[DATA ORÇAMENTO]]</f>
        <v>0</v>
      </c>
      <c r="F281" s="25">
        <v>10661</v>
      </c>
      <c r="G281" s="25" t="s">
        <v>33</v>
      </c>
      <c r="H281" s="25"/>
      <c r="I281" s="155">
        <v>0</v>
      </c>
      <c r="J281" s="155">
        <v>170</v>
      </c>
      <c r="K281" s="153">
        <f>Tabela4[[#This Row],[PECAS]]+Tabela4[[#This Row],[SERVICOS]]</f>
        <v>170</v>
      </c>
      <c r="L281" s="155">
        <v>0</v>
      </c>
      <c r="M281" s="155">
        <v>0</v>
      </c>
      <c r="N281" s="67"/>
      <c r="O281" s="155">
        <v>0</v>
      </c>
      <c r="P281" s="155">
        <v>0</v>
      </c>
      <c r="Q281" s="155">
        <v>0</v>
      </c>
      <c r="R281" s="155">
        <v>0</v>
      </c>
      <c r="S281" s="154">
        <v>170</v>
      </c>
      <c r="T281" s="155">
        <v>0</v>
      </c>
      <c r="U281" s="155">
        <v>0</v>
      </c>
      <c r="V281" s="25"/>
      <c r="W281" s="22">
        <v>0</v>
      </c>
      <c r="X281" s="149">
        <v>0</v>
      </c>
      <c r="Y281" s="25"/>
      <c r="Z281" s="155">
        <v>0</v>
      </c>
      <c r="AA281" s="149">
        <f>Tabela4[[#This Row],[VALOR]]-Tabela4[[#This Row],[PNEUS]]-Tabela4[[#This Row],[BATERIA]]</f>
        <v>170</v>
      </c>
      <c r="AB281" s="27" t="s">
        <v>38</v>
      </c>
      <c r="AC281" s="30">
        <v>0</v>
      </c>
      <c r="AD281" s="162">
        <v>0</v>
      </c>
      <c r="AE281" s="162">
        <v>0</v>
      </c>
      <c r="AF281" s="162">
        <v>0</v>
      </c>
      <c r="AG281" s="162">
        <v>0</v>
      </c>
      <c r="AH281" s="162">
        <v>0</v>
      </c>
      <c r="AI281" s="162">
        <v>0</v>
      </c>
      <c r="AJ281" s="162">
        <v>0</v>
      </c>
    </row>
    <row r="282" spans="1:36" x14ac:dyDescent="0.25">
      <c r="A282" s="25" t="s">
        <v>183</v>
      </c>
      <c r="B282" s="25"/>
      <c r="C282" s="142">
        <v>45343</v>
      </c>
      <c r="D282" s="142">
        <v>45343</v>
      </c>
      <c r="E282">
        <f>Tabela4[[#This Row],[DATA FATURAMENTO]]-Tabela4[[#This Row],[DATA ORÇAMENTO]]</f>
        <v>0</v>
      </c>
      <c r="F282" s="25">
        <v>10663</v>
      </c>
      <c r="G282" s="25" t="s">
        <v>22</v>
      </c>
      <c r="H282" s="25"/>
      <c r="I282" s="155">
        <v>429.6</v>
      </c>
      <c r="J282" s="155">
        <v>450</v>
      </c>
      <c r="K282" s="153">
        <f>Tabela4[[#This Row],[PECAS]]+Tabela4[[#This Row],[SERVICOS]]</f>
        <v>879.6</v>
      </c>
      <c r="L282" s="155">
        <v>0</v>
      </c>
      <c r="M282" s="155">
        <v>0</v>
      </c>
      <c r="N282" s="67"/>
      <c r="O282" s="155">
        <v>0</v>
      </c>
      <c r="P282" s="155">
        <v>0</v>
      </c>
      <c r="Q282" s="155">
        <v>0</v>
      </c>
      <c r="R282" s="155">
        <v>0</v>
      </c>
      <c r="S282" s="154">
        <v>0</v>
      </c>
      <c r="T282" s="155">
        <v>0</v>
      </c>
      <c r="U282" s="155">
        <v>0</v>
      </c>
      <c r="V282" s="25"/>
      <c r="W282" s="22">
        <v>0</v>
      </c>
      <c r="X282" s="149">
        <v>0</v>
      </c>
      <c r="Y282" s="25"/>
      <c r="Z282" s="155">
        <v>0</v>
      </c>
      <c r="AA282" s="149">
        <f>Tabela4[[#This Row],[VALOR]]-Tabela4[[#This Row],[PNEUS]]-Tabela4[[#This Row],[BATERIA]]</f>
        <v>879.6</v>
      </c>
      <c r="AB282" s="27" t="s">
        <v>34</v>
      </c>
      <c r="AC282" s="30">
        <v>0</v>
      </c>
      <c r="AD282" s="162">
        <v>0</v>
      </c>
      <c r="AE282" s="162">
        <v>0</v>
      </c>
      <c r="AF282" s="162">
        <v>0</v>
      </c>
      <c r="AG282" s="162">
        <v>0</v>
      </c>
      <c r="AH282" s="162">
        <v>0</v>
      </c>
      <c r="AI282" s="162">
        <v>0</v>
      </c>
      <c r="AJ282" s="162">
        <v>0</v>
      </c>
    </row>
    <row r="283" spans="1:36" x14ac:dyDescent="0.25">
      <c r="A283" s="25" t="s">
        <v>149</v>
      </c>
      <c r="B283" s="25"/>
      <c r="C283" s="142">
        <v>45343</v>
      </c>
      <c r="D283" s="142">
        <v>45343</v>
      </c>
      <c r="E283">
        <f>Tabela4[[#This Row],[DATA FATURAMENTO]]-Tabela4[[#This Row],[DATA ORÇAMENTO]]</f>
        <v>0</v>
      </c>
      <c r="F283" s="25">
        <v>10669</v>
      </c>
      <c r="G283" s="25" t="s">
        <v>22</v>
      </c>
      <c r="H283" s="25"/>
      <c r="I283" s="155">
        <v>95</v>
      </c>
      <c r="J283" s="155">
        <f>225-45</f>
        <v>180</v>
      </c>
      <c r="K283" s="153">
        <f>Tabela4[[#This Row],[PECAS]]+Tabela4[[#This Row],[SERVICOS]]</f>
        <v>275</v>
      </c>
      <c r="L283" s="155">
        <v>0</v>
      </c>
      <c r="M283" s="155">
        <v>0</v>
      </c>
      <c r="N283" s="67"/>
      <c r="O283" s="155">
        <v>0</v>
      </c>
      <c r="P283" s="155">
        <v>95</v>
      </c>
      <c r="Q283" s="155">
        <v>0</v>
      </c>
      <c r="R283" s="155">
        <v>0</v>
      </c>
      <c r="S283" s="154">
        <v>0</v>
      </c>
      <c r="T283" s="155">
        <v>0</v>
      </c>
      <c r="U283" s="155">
        <v>0</v>
      </c>
      <c r="V283" s="25"/>
      <c r="W283" s="22">
        <v>0</v>
      </c>
      <c r="X283" s="149">
        <v>0</v>
      </c>
      <c r="Y283" s="25"/>
      <c r="Z283" s="155">
        <v>0</v>
      </c>
      <c r="AA283" s="149">
        <f>Tabela4[[#This Row],[VALOR]]-Tabela4[[#This Row],[PNEUS]]-Tabela4[[#This Row],[BATERIA]]</f>
        <v>275</v>
      </c>
      <c r="AB283" s="27" t="s">
        <v>34</v>
      </c>
      <c r="AC283" s="30">
        <v>0</v>
      </c>
      <c r="AD283" s="162">
        <v>0</v>
      </c>
      <c r="AE283" s="162">
        <v>0</v>
      </c>
      <c r="AF283" s="162">
        <v>0</v>
      </c>
      <c r="AG283" s="162">
        <v>0</v>
      </c>
      <c r="AH283" s="162">
        <v>0</v>
      </c>
      <c r="AI283" s="162">
        <v>0</v>
      </c>
      <c r="AJ283" s="162">
        <v>0</v>
      </c>
    </row>
    <row r="284" spans="1:36" x14ac:dyDescent="0.25">
      <c r="A284" s="25" t="s">
        <v>523</v>
      </c>
      <c r="B284" s="25"/>
      <c r="C284" s="142">
        <v>45343</v>
      </c>
      <c r="D284" s="142">
        <v>45343</v>
      </c>
      <c r="E284">
        <f>Tabela4[[#This Row],[DATA FATURAMENTO]]-Tabela4[[#This Row],[DATA ORÇAMENTO]]</f>
        <v>0</v>
      </c>
      <c r="F284" s="25">
        <v>10667</v>
      </c>
      <c r="G284" s="25" t="s">
        <v>31</v>
      </c>
      <c r="H284" s="25"/>
      <c r="I284" s="155">
        <v>338</v>
      </c>
      <c r="J284" s="155">
        <v>162</v>
      </c>
      <c r="K284" s="153">
        <f>Tabela4[[#This Row],[PECAS]]+Tabela4[[#This Row],[SERVICOS]]</f>
        <v>500</v>
      </c>
      <c r="L284" s="155">
        <v>0</v>
      </c>
      <c r="M284" s="155">
        <v>0</v>
      </c>
      <c r="N284" s="67"/>
      <c r="O284" s="155">
        <v>0</v>
      </c>
      <c r="P284" s="155">
        <v>0</v>
      </c>
      <c r="Q284" s="155">
        <v>0</v>
      </c>
      <c r="R284" s="155">
        <v>0</v>
      </c>
      <c r="S284" s="154">
        <v>162</v>
      </c>
      <c r="T284" s="155">
        <v>0</v>
      </c>
      <c r="U284" s="155">
        <v>0</v>
      </c>
      <c r="V284" s="25"/>
      <c r="W284" s="22">
        <v>0</v>
      </c>
      <c r="X284" s="149">
        <v>0</v>
      </c>
      <c r="Y284" s="25"/>
      <c r="Z284" s="155">
        <v>0</v>
      </c>
      <c r="AA284" s="149">
        <f>Tabela4[[#This Row],[VALOR]]-Tabela4[[#This Row],[PNEUS]]-Tabela4[[#This Row],[BATERIA]]</f>
        <v>500</v>
      </c>
      <c r="AB284" s="27" t="s">
        <v>34</v>
      </c>
      <c r="AC284" s="30">
        <v>0</v>
      </c>
      <c r="AD284" s="162">
        <v>0</v>
      </c>
      <c r="AE284" s="162">
        <v>0</v>
      </c>
      <c r="AF284" s="162">
        <v>0</v>
      </c>
      <c r="AG284" s="162">
        <v>0</v>
      </c>
      <c r="AH284" s="162">
        <v>0</v>
      </c>
      <c r="AI284" s="162">
        <v>0</v>
      </c>
      <c r="AJ284" s="162">
        <v>0</v>
      </c>
    </row>
    <row r="285" spans="1:36" x14ac:dyDescent="0.25">
      <c r="A285" s="25" t="s">
        <v>812</v>
      </c>
      <c r="B285" s="25"/>
      <c r="C285" s="142">
        <v>45343</v>
      </c>
      <c r="D285" s="142">
        <v>45343</v>
      </c>
      <c r="E285">
        <f>Tabela4[[#This Row],[DATA FATURAMENTO]]-Tabela4[[#This Row],[DATA ORÇAMENTO]]</f>
        <v>0</v>
      </c>
      <c r="F285" s="25">
        <v>10668</v>
      </c>
      <c r="G285" s="25" t="s">
        <v>6</v>
      </c>
      <c r="H285" s="25"/>
      <c r="I285" s="155">
        <v>522.5</v>
      </c>
      <c r="J285" s="155">
        <v>0</v>
      </c>
      <c r="K285" s="153">
        <f>Tabela4[[#This Row],[PECAS]]+Tabela4[[#This Row],[SERVICOS]]</f>
        <v>522.5</v>
      </c>
      <c r="L285" s="155">
        <v>0</v>
      </c>
      <c r="M285" s="155">
        <v>0</v>
      </c>
      <c r="N285" s="67"/>
      <c r="O285" s="155">
        <v>0</v>
      </c>
      <c r="P285" s="155">
        <v>0</v>
      </c>
      <c r="Q285" s="155">
        <v>0</v>
      </c>
      <c r="R285" s="155">
        <v>0</v>
      </c>
      <c r="S285" s="154">
        <v>0</v>
      </c>
      <c r="T285" s="155">
        <v>0</v>
      </c>
      <c r="U285" s="155">
        <v>522.5</v>
      </c>
      <c r="V285" s="25" t="s">
        <v>640</v>
      </c>
      <c r="W285" s="22">
        <v>0</v>
      </c>
      <c r="X285" s="149">
        <v>0</v>
      </c>
      <c r="Y285" s="25"/>
      <c r="Z285" s="155">
        <v>0</v>
      </c>
      <c r="AA285" s="149">
        <f>Tabela4[[#This Row],[VALOR]]-Tabela4[[#This Row],[PNEUS]]-Tabela4[[#This Row],[BATERIA]]</f>
        <v>0</v>
      </c>
      <c r="AB285" s="27" t="s">
        <v>6</v>
      </c>
      <c r="AC285" s="30">
        <v>0</v>
      </c>
      <c r="AD285" s="162">
        <v>0</v>
      </c>
      <c r="AE285" s="162">
        <v>0</v>
      </c>
      <c r="AF285" s="162">
        <v>0</v>
      </c>
      <c r="AG285" s="162">
        <v>0</v>
      </c>
      <c r="AH285" s="162">
        <v>0</v>
      </c>
      <c r="AI285" s="162">
        <v>0</v>
      </c>
      <c r="AJ285" s="162">
        <v>0</v>
      </c>
    </row>
    <row r="286" spans="1:36" x14ac:dyDescent="0.25">
      <c r="A286" s="25" t="s">
        <v>525</v>
      </c>
      <c r="B286" s="25"/>
      <c r="C286" s="142">
        <v>45341</v>
      </c>
      <c r="D286" s="142">
        <v>45344</v>
      </c>
      <c r="E286">
        <f>Tabela4[[#This Row],[DATA FATURAMENTO]]-Tabela4[[#This Row],[DATA ORÇAMENTO]]</f>
        <v>3</v>
      </c>
      <c r="F286" s="25">
        <v>10639</v>
      </c>
      <c r="G286" s="25" t="s">
        <v>37</v>
      </c>
      <c r="H286" s="25"/>
      <c r="I286" s="155">
        <v>1070.0899999999999</v>
      </c>
      <c r="J286" s="155">
        <v>744.01</v>
      </c>
      <c r="K286" s="153">
        <f>Tabela4[[#This Row],[PECAS]]+Tabela4[[#This Row],[SERVICOS]]</f>
        <v>1814.1</v>
      </c>
      <c r="L286" s="155">
        <v>0</v>
      </c>
      <c r="M286" s="155">
        <v>0</v>
      </c>
      <c r="N286" s="67"/>
      <c r="O286" s="155">
        <f>24+20.01</f>
        <v>44.010000000000005</v>
      </c>
      <c r="P286" s="155">
        <v>0</v>
      </c>
      <c r="Q286" s="155">
        <v>150</v>
      </c>
      <c r="R286" s="155">
        <v>0</v>
      </c>
      <c r="S286" s="154">
        <v>170.84</v>
      </c>
      <c r="T286" s="155">
        <v>0</v>
      </c>
      <c r="U286" s="155">
        <v>0</v>
      </c>
      <c r="V286" s="25"/>
      <c r="W286" s="28">
        <v>4</v>
      </c>
      <c r="X286" s="149">
        <v>0</v>
      </c>
      <c r="Y286" s="25" t="s">
        <v>654</v>
      </c>
      <c r="Z286" s="155">
        <v>0</v>
      </c>
      <c r="AA286" s="149">
        <f>Tabela4[[#This Row],[VALOR]]-Tabela4[[#This Row],[PNEUS]]-Tabela4[[#This Row],[BATERIA]]</f>
        <v>1814.1</v>
      </c>
      <c r="AB286" s="27" t="s">
        <v>27</v>
      </c>
      <c r="AC286" s="30">
        <v>0</v>
      </c>
      <c r="AD286" s="162">
        <v>0</v>
      </c>
      <c r="AE286" s="162">
        <v>0</v>
      </c>
      <c r="AF286" s="162">
        <v>0</v>
      </c>
      <c r="AG286" s="162">
        <v>0</v>
      </c>
      <c r="AH286" s="162">
        <v>0</v>
      </c>
      <c r="AI286" s="162">
        <v>0</v>
      </c>
      <c r="AJ286" s="162">
        <v>0</v>
      </c>
    </row>
    <row r="287" spans="1:36" x14ac:dyDescent="0.25">
      <c r="A287" s="25" t="s">
        <v>526</v>
      </c>
      <c r="B287" s="25"/>
      <c r="C287" s="142">
        <v>45342</v>
      </c>
      <c r="D287" s="142">
        <v>45344</v>
      </c>
      <c r="E287">
        <f>Tabela4[[#This Row],[DATA FATURAMENTO]]-Tabela4[[#This Row],[DATA ORÇAMENTO]]</f>
        <v>2</v>
      </c>
      <c r="F287" s="25">
        <v>10650</v>
      </c>
      <c r="G287" s="25" t="s">
        <v>6</v>
      </c>
      <c r="H287" s="25"/>
      <c r="I287" s="155">
        <v>511.5</v>
      </c>
      <c r="J287" s="155">
        <v>0</v>
      </c>
      <c r="K287" s="153">
        <f>Tabela4[[#This Row],[PECAS]]+Tabela4[[#This Row],[SERVICOS]]</f>
        <v>511.5</v>
      </c>
      <c r="L287" s="155">
        <v>0</v>
      </c>
      <c r="M287" s="155">
        <v>0</v>
      </c>
      <c r="N287" s="67"/>
      <c r="O287" s="155">
        <v>0</v>
      </c>
      <c r="P287" s="155">
        <v>0</v>
      </c>
      <c r="Q287" s="155">
        <v>0</v>
      </c>
      <c r="R287" s="155">
        <v>0</v>
      </c>
      <c r="S287" s="154">
        <v>0</v>
      </c>
      <c r="T287" s="155">
        <v>0</v>
      </c>
      <c r="U287" s="155">
        <v>511.5</v>
      </c>
      <c r="V287" s="25" t="s">
        <v>637</v>
      </c>
      <c r="W287" s="22">
        <v>0</v>
      </c>
      <c r="X287" s="149">
        <v>0</v>
      </c>
      <c r="Y287" s="25"/>
      <c r="Z287" s="155">
        <v>0</v>
      </c>
      <c r="AA287" s="149">
        <f>Tabela4[[#This Row],[VALOR]]-Tabela4[[#This Row],[PNEUS]]-Tabela4[[#This Row],[BATERIA]]</f>
        <v>0</v>
      </c>
      <c r="AB287" s="27" t="s">
        <v>6</v>
      </c>
      <c r="AC287" s="30">
        <v>0</v>
      </c>
      <c r="AD287" s="162">
        <v>0</v>
      </c>
      <c r="AE287" s="162">
        <v>0</v>
      </c>
      <c r="AF287" s="162">
        <v>0</v>
      </c>
      <c r="AG287" s="162">
        <v>0</v>
      </c>
      <c r="AH287" s="162">
        <v>0</v>
      </c>
      <c r="AI287" s="162">
        <v>0</v>
      </c>
      <c r="AJ287" s="162">
        <v>0</v>
      </c>
    </row>
    <row r="288" spans="1:36" x14ac:dyDescent="0.25">
      <c r="A288" s="25" t="s">
        <v>527</v>
      </c>
      <c r="B288" s="25"/>
      <c r="C288" s="142">
        <v>45342</v>
      </c>
      <c r="D288" s="142">
        <v>45344</v>
      </c>
      <c r="E288">
        <f>Tabela4[[#This Row],[DATA FATURAMENTO]]-Tabela4[[#This Row],[DATA ORÇAMENTO]]</f>
        <v>2</v>
      </c>
      <c r="F288" s="25">
        <v>10653</v>
      </c>
      <c r="G288" s="25" t="s">
        <v>6</v>
      </c>
      <c r="H288" s="25"/>
      <c r="I288" s="155">
        <v>522.5</v>
      </c>
      <c r="J288" s="155">
        <v>0</v>
      </c>
      <c r="K288" s="153">
        <f>Tabela4[[#This Row],[PECAS]]+Tabela4[[#This Row],[SERVICOS]]</f>
        <v>522.5</v>
      </c>
      <c r="L288" s="155">
        <v>0</v>
      </c>
      <c r="M288" s="155">
        <v>0</v>
      </c>
      <c r="N288" s="67"/>
      <c r="O288" s="155">
        <v>0</v>
      </c>
      <c r="P288" s="155">
        <v>0</v>
      </c>
      <c r="Q288" s="155">
        <v>0</v>
      </c>
      <c r="R288" s="155">
        <v>0</v>
      </c>
      <c r="S288" s="154">
        <v>0</v>
      </c>
      <c r="T288" s="155">
        <v>0</v>
      </c>
      <c r="U288" s="155">
        <v>522.5</v>
      </c>
      <c r="V288" s="25" t="s">
        <v>664</v>
      </c>
      <c r="W288" s="22">
        <v>0</v>
      </c>
      <c r="X288" s="149">
        <v>0</v>
      </c>
      <c r="Y288" s="25"/>
      <c r="Z288" s="155">
        <v>0</v>
      </c>
      <c r="AA288" s="149">
        <f>Tabela4[[#This Row],[VALOR]]-Tabela4[[#This Row],[PNEUS]]-Tabela4[[#This Row],[BATERIA]]</f>
        <v>0</v>
      </c>
      <c r="AB288" s="27" t="s">
        <v>6</v>
      </c>
      <c r="AC288" s="30">
        <v>0</v>
      </c>
      <c r="AD288" s="162">
        <v>0</v>
      </c>
      <c r="AE288" s="162">
        <v>0</v>
      </c>
      <c r="AF288" s="162">
        <v>0</v>
      </c>
      <c r="AG288" s="162">
        <v>0</v>
      </c>
      <c r="AH288" s="162">
        <v>0</v>
      </c>
      <c r="AI288" s="162">
        <v>0</v>
      </c>
      <c r="AJ288" s="162">
        <v>0</v>
      </c>
    </row>
    <row r="289" spans="1:36" x14ac:dyDescent="0.25">
      <c r="A289" s="25" t="s">
        <v>528</v>
      </c>
      <c r="B289" s="25"/>
      <c r="C289" s="142">
        <v>45344</v>
      </c>
      <c r="D289" s="142">
        <v>45344</v>
      </c>
      <c r="E289">
        <f>Tabela4[[#This Row],[DATA FATURAMENTO]]-Tabela4[[#This Row],[DATA ORÇAMENTO]]</f>
        <v>0</v>
      </c>
      <c r="F289" s="25">
        <v>10670</v>
      </c>
      <c r="G289" s="25" t="s">
        <v>6</v>
      </c>
      <c r="H289" s="25"/>
      <c r="I289" s="155">
        <v>533.5</v>
      </c>
      <c r="J289" s="155">
        <v>0</v>
      </c>
      <c r="K289" s="153">
        <f>Tabela4[[#This Row],[PECAS]]+Tabela4[[#This Row],[SERVICOS]]</f>
        <v>533.5</v>
      </c>
      <c r="L289" s="155">
        <v>0</v>
      </c>
      <c r="M289" s="155">
        <v>0</v>
      </c>
      <c r="N289" s="67"/>
      <c r="O289" s="155">
        <v>0</v>
      </c>
      <c r="P289" s="155">
        <v>0</v>
      </c>
      <c r="Q289" s="155">
        <v>0</v>
      </c>
      <c r="R289" s="155">
        <v>0</v>
      </c>
      <c r="S289" s="154">
        <v>0</v>
      </c>
      <c r="T289" s="155">
        <v>0</v>
      </c>
      <c r="U289" s="155">
        <v>533.5</v>
      </c>
      <c r="V289" s="25" t="s">
        <v>664</v>
      </c>
      <c r="W289" s="22">
        <v>0</v>
      </c>
      <c r="X289" s="149">
        <v>0</v>
      </c>
      <c r="Y289" s="25"/>
      <c r="Z289" s="155">
        <v>0</v>
      </c>
      <c r="AA289" s="149">
        <f>Tabela4[[#This Row],[VALOR]]-Tabela4[[#This Row],[PNEUS]]-Tabela4[[#This Row],[BATERIA]]</f>
        <v>0</v>
      </c>
      <c r="AB289" s="27" t="s">
        <v>6</v>
      </c>
      <c r="AC289" s="30">
        <v>0</v>
      </c>
      <c r="AD289" s="162">
        <v>0</v>
      </c>
      <c r="AE289" s="162">
        <v>0</v>
      </c>
      <c r="AF289" s="162">
        <v>0</v>
      </c>
      <c r="AG289" s="162">
        <v>0</v>
      </c>
      <c r="AH289" s="162">
        <v>0</v>
      </c>
      <c r="AI289" s="162">
        <v>0</v>
      </c>
      <c r="AJ289" s="162">
        <v>0</v>
      </c>
    </row>
    <row r="290" spans="1:36" x14ac:dyDescent="0.25">
      <c r="A290" s="25" t="s">
        <v>529</v>
      </c>
      <c r="B290" s="25"/>
      <c r="C290" s="142">
        <v>45344</v>
      </c>
      <c r="D290" s="142">
        <v>45344</v>
      </c>
      <c r="E290">
        <f>Tabela4[[#This Row],[DATA FATURAMENTO]]-Tabela4[[#This Row],[DATA ORÇAMENTO]]</f>
        <v>0</v>
      </c>
      <c r="F290" s="25">
        <v>10671</v>
      </c>
      <c r="G290" s="25" t="s">
        <v>6</v>
      </c>
      <c r="H290" s="25"/>
      <c r="I290" s="155">
        <v>522.5</v>
      </c>
      <c r="J290" s="155">
        <v>0</v>
      </c>
      <c r="K290" s="153">
        <f>Tabela4[[#This Row],[PECAS]]+Tabela4[[#This Row],[SERVICOS]]</f>
        <v>522.5</v>
      </c>
      <c r="L290" s="155">
        <v>0</v>
      </c>
      <c r="M290" s="155">
        <v>0</v>
      </c>
      <c r="N290" s="67"/>
      <c r="O290" s="155">
        <v>0</v>
      </c>
      <c r="P290" s="155">
        <v>0</v>
      </c>
      <c r="Q290" s="155">
        <v>0</v>
      </c>
      <c r="R290" s="155">
        <v>0</v>
      </c>
      <c r="S290" s="154">
        <v>0</v>
      </c>
      <c r="T290" s="155">
        <v>0</v>
      </c>
      <c r="U290" s="155">
        <v>522.5</v>
      </c>
      <c r="V290" s="25" t="s">
        <v>640</v>
      </c>
      <c r="W290" s="22">
        <v>0</v>
      </c>
      <c r="X290" s="149">
        <v>0</v>
      </c>
      <c r="Y290" s="25"/>
      <c r="Z290" s="155">
        <v>0</v>
      </c>
      <c r="AA290" s="149">
        <f>Tabela4[[#This Row],[VALOR]]-Tabela4[[#This Row],[PNEUS]]-Tabela4[[#This Row],[BATERIA]]</f>
        <v>0</v>
      </c>
      <c r="AB290" s="27" t="s">
        <v>6</v>
      </c>
      <c r="AC290" s="30">
        <v>0</v>
      </c>
      <c r="AD290" s="162">
        <v>0</v>
      </c>
      <c r="AE290" s="162">
        <v>0</v>
      </c>
      <c r="AF290" s="162">
        <v>0</v>
      </c>
      <c r="AG290" s="162">
        <v>0</v>
      </c>
      <c r="AH290" s="162">
        <v>0</v>
      </c>
      <c r="AI290" s="162">
        <v>0</v>
      </c>
      <c r="AJ290" s="162">
        <v>0</v>
      </c>
    </row>
    <row r="291" spans="1:36" x14ac:dyDescent="0.25">
      <c r="A291" s="25" t="s">
        <v>530</v>
      </c>
      <c r="B291" s="25"/>
      <c r="C291" s="142">
        <v>45344</v>
      </c>
      <c r="D291" s="142">
        <v>45344</v>
      </c>
      <c r="E291">
        <f>Tabela4[[#This Row],[DATA FATURAMENTO]]-Tabela4[[#This Row],[DATA ORÇAMENTO]]</f>
        <v>0</v>
      </c>
      <c r="F291" s="25">
        <v>10672</v>
      </c>
      <c r="G291" s="25" t="s">
        <v>6</v>
      </c>
      <c r="H291" s="25"/>
      <c r="I291" s="155">
        <v>522.5</v>
      </c>
      <c r="J291" s="155">
        <v>0</v>
      </c>
      <c r="K291" s="153">
        <f>Tabela4[[#This Row],[PECAS]]+Tabela4[[#This Row],[SERVICOS]]</f>
        <v>522.5</v>
      </c>
      <c r="L291" s="155">
        <v>0</v>
      </c>
      <c r="M291" s="155">
        <v>0</v>
      </c>
      <c r="N291" s="67"/>
      <c r="O291" s="155">
        <v>0</v>
      </c>
      <c r="P291" s="155">
        <v>0</v>
      </c>
      <c r="Q291" s="155">
        <v>0</v>
      </c>
      <c r="R291" s="155">
        <v>0</v>
      </c>
      <c r="S291" s="154">
        <v>0</v>
      </c>
      <c r="T291" s="155">
        <v>0</v>
      </c>
      <c r="U291" s="155">
        <v>522.5</v>
      </c>
      <c r="V291" s="25" t="s">
        <v>640</v>
      </c>
      <c r="W291" s="22">
        <v>0</v>
      </c>
      <c r="X291" s="149">
        <v>0</v>
      </c>
      <c r="Y291" s="25"/>
      <c r="Z291" s="155">
        <v>0</v>
      </c>
      <c r="AA291" s="149">
        <f>Tabela4[[#This Row],[VALOR]]-Tabela4[[#This Row],[PNEUS]]-Tabela4[[#This Row],[BATERIA]]</f>
        <v>0</v>
      </c>
      <c r="AB291" s="27" t="s">
        <v>6</v>
      </c>
      <c r="AC291" s="30">
        <v>0</v>
      </c>
      <c r="AD291" s="162">
        <v>0</v>
      </c>
      <c r="AE291" s="162">
        <v>0</v>
      </c>
      <c r="AF291" s="162">
        <v>0</v>
      </c>
      <c r="AG291" s="162">
        <v>0</v>
      </c>
      <c r="AH291" s="162">
        <v>0</v>
      </c>
      <c r="AI291" s="162">
        <v>0</v>
      </c>
      <c r="AJ291" s="162">
        <v>0</v>
      </c>
    </row>
    <row r="292" spans="1:36" x14ac:dyDescent="0.25">
      <c r="A292" s="25" t="s">
        <v>531</v>
      </c>
      <c r="B292" s="25"/>
      <c r="C292" s="142">
        <v>45344</v>
      </c>
      <c r="D292" s="142">
        <v>45344</v>
      </c>
      <c r="E292">
        <f>Tabela4[[#This Row],[DATA FATURAMENTO]]-Tabela4[[#This Row],[DATA ORÇAMENTO]]</f>
        <v>0</v>
      </c>
      <c r="F292" s="25">
        <v>10673</v>
      </c>
      <c r="G292" s="25" t="s">
        <v>6</v>
      </c>
      <c r="H292" s="25"/>
      <c r="I292" s="155">
        <v>522.5</v>
      </c>
      <c r="J292" s="155">
        <v>0</v>
      </c>
      <c r="K292" s="153">
        <f>Tabela4[[#This Row],[PECAS]]+Tabela4[[#This Row],[SERVICOS]]</f>
        <v>522.5</v>
      </c>
      <c r="L292" s="155">
        <v>0</v>
      </c>
      <c r="M292" s="155">
        <v>0</v>
      </c>
      <c r="N292" s="67"/>
      <c r="O292" s="155">
        <v>0</v>
      </c>
      <c r="P292" s="155">
        <v>0</v>
      </c>
      <c r="Q292" s="155">
        <v>0</v>
      </c>
      <c r="R292" s="155">
        <v>0</v>
      </c>
      <c r="S292" s="154">
        <v>0</v>
      </c>
      <c r="T292" s="155">
        <v>0</v>
      </c>
      <c r="U292" s="155">
        <v>522.5</v>
      </c>
      <c r="V292" s="25" t="s">
        <v>664</v>
      </c>
      <c r="W292" s="22">
        <v>0</v>
      </c>
      <c r="X292" s="149">
        <v>0</v>
      </c>
      <c r="Y292" s="25"/>
      <c r="Z292" s="155">
        <v>0</v>
      </c>
      <c r="AA292" s="149">
        <f>Tabela4[[#This Row],[VALOR]]-Tabela4[[#This Row],[PNEUS]]-Tabela4[[#This Row],[BATERIA]]</f>
        <v>0</v>
      </c>
      <c r="AB292" s="27" t="s">
        <v>6</v>
      </c>
      <c r="AC292" s="30">
        <v>0</v>
      </c>
      <c r="AD292" s="162">
        <v>0</v>
      </c>
      <c r="AE292" s="162">
        <v>0</v>
      </c>
      <c r="AF292" s="162">
        <v>0</v>
      </c>
      <c r="AG292" s="162">
        <v>0</v>
      </c>
      <c r="AH292" s="162">
        <v>0</v>
      </c>
      <c r="AI292" s="162">
        <v>0</v>
      </c>
      <c r="AJ292" s="162">
        <v>0</v>
      </c>
    </row>
    <row r="293" spans="1:36" x14ac:dyDescent="0.25">
      <c r="A293" s="25" t="s">
        <v>532</v>
      </c>
      <c r="B293" s="25"/>
      <c r="C293" s="142">
        <v>45344</v>
      </c>
      <c r="D293" s="142">
        <v>45344</v>
      </c>
      <c r="E293">
        <f>Tabela4[[#This Row],[DATA FATURAMENTO]]-Tabela4[[#This Row],[DATA ORÇAMENTO]]</f>
        <v>0</v>
      </c>
      <c r="F293" s="25">
        <v>10674</v>
      </c>
      <c r="G293" s="25" t="s">
        <v>6</v>
      </c>
      <c r="H293" s="25"/>
      <c r="I293" s="155">
        <v>522.5</v>
      </c>
      <c r="J293" s="155">
        <v>0</v>
      </c>
      <c r="K293" s="153">
        <f>Tabela4[[#This Row],[PECAS]]+Tabela4[[#This Row],[SERVICOS]]</f>
        <v>522.5</v>
      </c>
      <c r="L293" s="155">
        <v>0</v>
      </c>
      <c r="M293" s="155">
        <v>0</v>
      </c>
      <c r="N293" s="67"/>
      <c r="O293" s="155">
        <v>0</v>
      </c>
      <c r="P293" s="155">
        <v>0</v>
      </c>
      <c r="Q293" s="155">
        <v>0</v>
      </c>
      <c r="R293" s="155">
        <v>0</v>
      </c>
      <c r="S293" s="154">
        <v>0</v>
      </c>
      <c r="T293" s="155">
        <v>0</v>
      </c>
      <c r="U293" s="155">
        <v>522.5</v>
      </c>
      <c r="V293" s="25" t="s">
        <v>640</v>
      </c>
      <c r="W293" s="22">
        <v>0</v>
      </c>
      <c r="X293" s="149">
        <v>0</v>
      </c>
      <c r="Y293" s="25"/>
      <c r="Z293" s="155">
        <v>0</v>
      </c>
      <c r="AA293" s="149">
        <f>Tabela4[[#This Row],[VALOR]]-Tabela4[[#This Row],[PNEUS]]-Tabela4[[#This Row],[BATERIA]]</f>
        <v>0</v>
      </c>
      <c r="AB293" s="27" t="s">
        <v>6</v>
      </c>
      <c r="AC293" s="30">
        <v>0</v>
      </c>
      <c r="AD293" s="162">
        <v>0</v>
      </c>
      <c r="AE293" s="162">
        <v>0</v>
      </c>
      <c r="AF293" s="162">
        <v>0</v>
      </c>
      <c r="AG293" s="162">
        <v>0</v>
      </c>
      <c r="AH293" s="162">
        <v>0</v>
      </c>
      <c r="AI293" s="162">
        <v>0</v>
      </c>
      <c r="AJ293" s="162">
        <v>0</v>
      </c>
    </row>
    <row r="294" spans="1:36" x14ac:dyDescent="0.25">
      <c r="A294" s="25" t="s">
        <v>245</v>
      </c>
      <c r="B294" s="25"/>
      <c r="C294" s="142">
        <v>45344</v>
      </c>
      <c r="D294" s="142">
        <v>45344</v>
      </c>
      <c r="E294">
        <f>Tabela4[[#This Row],[DATA FATURAMENTO]]-Tabela4[[#This Row],[DATA ORÇAMENTO]]</f>
        <v>0</v>
      </c>
      <c r="F294" s="25">
        <v>10675</v>
      </c>
      <c r="G294" s="25" t="s">
        <v>6</v>
      </c>
      <c r="H294" s="25"/>
      <c r="I294" s="155">
        <v>522.5</v>
      </c>
      <c r="J294" s="155">
        <v>0</v>
      </c>
      <c r="K294" s="153">
        <f>Tabela4[[#This Row],[PECAS]]+Tabela4[[#This Row],[SERVICOS]]</f>
        <v>522.5</v>
      </c>
      <c r="L294" s="155">
        <v>0</v>
      </c>
      <c r="M294" s="155">
        <v>0</v>
      </c>
      <c r="N294" s="67"/>
      <c r="O294" s="155">
        <v>0</v>
      </c>
      <c r="P294" s="155">
        <v>0</v>
      </c>
      <c r="Q294" s="155">
        <v>0</v>
      </c>
      <c r="R294" s="155">
        <v>0</v>
      </c>
      <c r="S294" s="154">
        <v>0</v>
      </c>
      <c r="T294" s="155">
        <v>0</v>
      </c>
      <c r="U294" s="155">
        <v>522.5</v>
      </c>
      <c r="V294" s="25" t="s">
        <v>640</v>
      </c>
      <c r="W294" s="22">
        <v>0</v>
      </c>
      <c r="X294" s="149">
        <v>0</v>
      </c>
      <c r="Y294" s="25"/>
      <c r="Z294" s="155">
        <v>0</v>
      </c>
      <c r="AA294" s="149">
        <f>Tabela4[[#This Row],[VALOR]]-Tabela4[[#This Row],[PNEUS]]-Tabela4[[#This Row],[BATERIA]]</f>
        <v>0</v>
      </c>
      <c r="AB294" s="27" t="s">
        <v>6</v>
      </c>
      <c r="AC294" s="30">
        <v>0</v>
      </c>
      <c r="AD294" s="162">
        <v>0</v>
      </c>
      <c r="AE294" s="162">
        <v>0</v>
      </c>
      <c r="AF294" s="162">
        <v>0</v>
      </c>
      <c r="AG294" s="162">
        <v>0</v>
      </c>
      <c r="AH294" s="162">
        <v>0</v>
      </c>
      <c r="AI294" s="162">
        <v>0</v>
      </c>
      <c r="AJ294" s="162">
        <v>0</v>
      </c>
    </row>
    <row r="295" spans="1:36" x14ac:dyDescent="0.25">
      <c r="A295" s="25" t="s">
        <v>533</v>
      </c>
      <c r="B295" s="25"/>
      <c r="C295" s="142">
        <v>45344</v>
      </c>
      <c r="D295" s="142">
        <v>45344</v>
      </c>
      <c r="E295">
        <f>Tabela4[[#This Row],[DATA FATURAMENTO]]-Tabela4[[#This Row],[DATA ORÇAMENTO]]</f>
        <v>0</v>
      </c>
      <c r="F295" s="25">
        <v>10676</v>
      </c>
      <c r="G295" s="25" t="s">
        <v>22</v>
      </c>
      <c r="H295" s="25"/>
      <c r="I295" s="155">
        <v>1602.7</v>
      </c>
      <c r="J295" s="155">
        <v>787.3</v>
      </c>
      <c r="K295" s="153">
        <f>Tabela4[[#This Row],[PECAS]]+Tabela4[[#This Row],[SERVICOS]]</f>
        <v>2390</v>
      </c>
      <c r="L295" s="155">
        <v>90</v>
      </c>
      <c r="M295" s="155">
        <v>0</v>
      </c>
      <c r="N295" s="67"/>
      <c r="O295" s="155">
        <v>257.3</v>
      </c>
      <c r="P295" s="155">
        <v>0</v>
      </c>
      <c r="Q295" s="155">
        <v>0</v>
      </c>
      <c r="R295" s="155">
        <v>0</v>
      </c>
      <c r="S295" s="154">
        <v>220</v>
      </c>
      <c r="T295" s="155">
        <v>0</v>
      </c>
      <c r="U295" s="155">
        <v>0</v>
      </c>
      <c r="V295" s="25"/>
      <c r="W295" s="28">
        <v>5</v>
      </c>
      <c r="X295" s="149">
        <v>0</v>
      </c>
      <c r="Y295" s="25" t="s">
        <v>807</v>
      </c>
      <c r="Z295" s="155">
        <v>220</v>
      </c>
      <c r="AA295" s="149">
        <f>Tabela4[[#This Row],[VALOR]]-Tabela4[[#This Row],[PNEUS]]-Tabela4[[#This Row],[BATERIA]]</f>
        <v>2390</v>
      </c>
      <c r="AB295" s="27" t="s">
        <v>27</v>
      </c>
      <c r="AC295" s="30">
        <v>0</v>
      </c>
      <c r="AD295" s="162">
        <v>0</v>
      </c>
      <c r="AE295" s="162">
        <v>0</v>
      </c>
      <c r="AF295" s="162">
        <v>0</v>
      </c>
      <c r="AG295" s="162">
        <v>0</v>
      </c>
      <c r="AH295" s="162">
        <v>0</v>
      </c>
      <c r="AI295" s="162">
        <v>0</v>
      </c>
      <c r="AJ295" s="162">
        <v>0</v>
      </c>
    </row>
    <row r="296" spans="1:36" x14ac:dyDescent="0.25">
      <c r="A296" s="25" t="s">
        <v>376</v>
      </c>
      <c r="B296" s="25"/>
      <c r="C296" s="142">
        <v>45344</v>
      </c>
      <c r="D296" s="142">
        <v>45344</v>
      </c>
      <c r="E296">
        <f>Tabela4[[#This Row],[DATA FATURAMENTO]]-Tabela4[[#This Row],[DATA ORÇAMENTO]]</f>
        <v>0</v>
      </c>
      <c r="F296" s="25">
        <v>10677</v>
      </c>
      <c r="G296" s="25" t="s">
        <v>22</v>
      </c>
      <c r="H296" s="25"/>
      <c r="I296" s="155">
        <v>1042.0999999999999</v>
      </c>
      <c r="J296" s="155">
        <v>752.9</v>
      </c>
      <c r="K296" s="153">
        <f>Tabela4[[#This Row],[PECAS]]+Tabela4[[#This Row],[SERVICOS]]</f>
        <v>1795</v>
      </c>
      <c r="L296" s="155">
        <v>0</v>
      </c>
      <c r="M296" s="155">
        <v>0</v>
      </c>
      <c r="N296" s="67"/>
      <c r="O296" s="155">
        <v>221.76</v>
      </c>
      <c r="P296" s="155">
        <v>0</v>
      </c>
      <c r="Q296" s="155">
        <v>162.62</v>
      </c>
      <c r="R296" s="155">
        <v>0</v>
      </c>
      <c r="S296" s="154">
        <v>220.68</v>
      </c>
      <c r="T296" s="155">
        <v>0</v>
      </c>
      <c r="U296" s="155">
        <v>0</v>
      </c>
      <c r="V296" s="25"/>
      <c r="W296" s="22">
        <v>0</v>
      </c>
      <c r="X296" s="149">
        <v>0</v>
      </c>
      <c r="Y296" s="25"/>
      <c r="Z296" s="155">
        <v>0</v>
      </c>
      <c r="AA296" s="149">
        <f>Tabela4[[#This Row],[VALOR]]-Tabela4[[#This Row],[PNEUS]]-Tabela4[[#This Row],[BATERIA]]</f>
        <v>1795</v>
      </c>
      <c r="AB296" s="27" t="s">
        <v>34</v>
      </c>
      <c r="AC296" s="30">
        <v>0</v>
      </c>
      <c r="AD296" s="162">
        <v>0</v>
      </c>
      <c r="AE296" s="162">
        <v>0</v>
      </c>
      <c r="AF296" s="162">
        <v>0</v>
      </c>
      <c r="AG296" s="162">
        <v>0</v>
      </c>
      <c r="AH296" s="162">
        <v>0</v>
      </c>
      <c r="AI296" s="162">
        <v>0</v>
      </c>
      <c r="AJ296" s="162">
        <v>0</v>
      </c>
    </row>
    <row r="297" spans="1:36" x14ac:dyDescent="0.25">
      <c r="A297" s="25" t="s">
        <v>534</v>
      </c>
      <c r="B297" s="25"/>
      <c r="C297" s="142">
        <v>45344</v>
      </c>
      <c r="D297" s="142">
        <v>45344</v>
      </c>
      <c r="E297">
        <f>Tabela4[[#This Row],[DATA FATURAMENTO]]-Tabela4[[#This Row],[DATA ORÇAMENTO]]</f>
        <v>0</v>
      </c>
      <c r="F297" s="25">
        <v>10680</v>
      </c>
      <c r="G297" s="25" t="s">
        <v>31</v>
      </c>
      <c r="H297" s="25"/>
      <c r="I297" s="155">
        <v>477.8</v>
      </c>
      <c r="J297" s="155">
        <v>182.2</v>
      </c>
      <c r="K297" s="153">
        <f>Tabela4[[#This Row],[PECAS]]+Tabela4[[#This Row],[SERVICOS]]</f>
        <v>660</v>
      </c>
      <c r="L297" s="155">
        <v>0</v>
      </c>
      <c r="M297" s="155">
        <v>0</v>
      </c>
      <c r="N297" s="67"/>
      <c r="O297" s="155">
        <v>0</v>
      </c>
      <c r="P297" s="155">
        <v>0</v>
      </c>
      <c r="Q297" s="155">
        <v>0</v>
      </c>
      <c r="R297" s="155">
        <v>0</v>
      </c>
      <c r="S297" s="154">
        <v>0</v>
      </c>
      <c r="T297" s="155">
        <v>0</v>
      </c>
      <c r="U297" s="155">
        <v>0</v>
      </c>
      <c r="V297" s="25"/>
      <c r="W297" s="22">
        <v>0</v>
      </c>
      <c r="X297" s="149">
        <v>0</v>
      </c>
      <c r="Y297" s="25"/>
      <c r="Z297" s="155">
        <v>0</v>
      </c>
      <c r="AA297" s="149">
        <f>Tabela4[[#This Row],[VALOR]]-Tabela4[[#This Row],[PNEUS]]-Tabela4[[#This Row],[BATERIA]]</f>
        <v>660</v>
      </c>
      <c r="AB297" s="27" t="s">
        <v>32</v>
      </c>
      <c r="AC297" s="30">
        <v>0</v>
      </c>
      <c r="AD297" s="162">
        <v>0</v>
      </c>
      <c r="AE297" s="162">
        <v>0</v>
      </c>
      <c r="AF297" s="162">
        <v>0</v>
      </c>
      <c r="AG297" s="162">
        <v>0</v>
      </c>
      <c r="AH297" s="162">
        <v>0</v>
      </c>
      <c r="AI297" s="162">
        <v>0</v>
      </c>
      <c r="AJ297" s="162">
        <v>0</v>
      </c>
    </row>
    <row r="298" spans="1:36" x14ac:dyDescent="0.25">
      <c r="A298" s="25" t="s">
        <v>535</v>
      </c>
      <c r="B298" s="25"/>
      <c r="C298" s="142">
        <v>45344</v>
      </c>
      <c r="D298" s="142">
        <v>45344</v>
      </c>
      <c r="E298">
        <f>Tabela4[[#This Row],[DATA FATURAMENTO]]-Tabela4[[#This Row],[DATA ORÇAMENTO]]</f>
        <v>0</v>
      </c>
      <c r="F298" s="25">
        <v>10685</v>
      </c>
      <c r="G298" s="25" t="s">
        <v>39</v>
      </c>
      <c r="H298" s="25" t="s">
        <v>44</v>
      </c>
      <c r="I298" s="155">
        <v>20</v>
      </c>
      <c r="J298" s="155">
        <v>145.01</v>
      </c>
      <c r="K298" s="153">
        <f>Tabela4[[#This Row],[PECAS]]+Tabela4[[#This Row],[SERVICOS]]</f>
        <v>165.01</v>
      </c>
      <c r="L298" s="155">
        <v>0</v>
      </c>
      <c r="M298" s="155">
        <v>0</v>
      </c>
      <c r="N298" s="67"/>
      <c r="O298" s="155">
        <v>0</v>
      </c>
      <c r="P298" s="155">
        <v>0</v>
      </c>
      <c r="Q298" s="155">
        <v>0</v>
      </c>
      <c r="R298" s="155">
        <v>0</v>
      </c>
      <c r="S298" s="154">
        <v>0</v>
      </c>
      <c r="T298" s="155">
        <v>0</v>
      </c>
      <c r="U298" s="155">
        <v>0</v>
      </c>
      <c r="V298" s="25"/>
      <c r="W298" s="22">
        <v>0</v>
      </c>
      <c r="X298" s="149">
        <v>0</v>
      </c>
      <c r="Y298" s="25"/>
      <c r="Z298" s="155">
        <v>0</v>
      </c>
      <c r="AA298" s="149">
        <f>Tabela4[[#This Row],[VALOR]]-Tabela4[[#This Row],[PNEUS]]-Tabela4[[#This Row],[BATERIA]]</f>
        <v>165.01</v>
      </c>
      <c r="AB298" s="27" t="s">
        <v>27</v>
      </c>
      <c r="AC298" s="30">
        <v>0</v>
      </c>
      <c r="AD298" s="162">
        <v>0</v>
      </c>
      <c r="AE298" s="162">
        <v>0</v>
      </c>
      <c r="AF298" s="162">
        <v>0</v>
      </c>
      <c r="AG298" s="162">
        <v>0</v>
      </c>
      <c r="AH298" s="162">
        <v>0</v>
      </c>
      <c r="AI298" s="162">
        <v>0</v>
      </c>
      <c r="AJ298" s="162">
        <v>0</v>
      </c>
    </row>
    <row r="299" spans="1:36" x14ac:dyDescent="0.25">
      <c r="A299" s="25" t="s">
        <v>536</v>
      </c>
      <c r="B299" s="25"/>
      <c r="C299" s="142">
        <v>45344</v>
      </c>
      <c r="D299" s="142">
        <v>45344</v>
      </c>
      <c r="E299">
        <f>Tabela4[[#This Row],[DATA FATURAMENTO]]-Tabela4[[#This Row],[DATA ORÇAMENTO]]</f>
        <v>0</v>
      </c>
      <c r="F299" s="25">
        <v>10683</v>
      </c>
      <c r="G299" s="25" t="s">
        <v>22</v>
      </c>
      <c r="H299" s="25"/>
      <c r="I299" s="155">
        <v>0</v>
      </c>
      <c r="J299" s="155">
        <v>448</v>
      </c>
      <c r="K299" s="153">
        <f>Tabela4[[#This Row],[PECAS]]+Tabela4[[#This Row],[SERVICOS]]</f>
        <v>448</v>
      </c>
      <c r="L299" s="155">
        <v>0</v>
      </c>
      <c r="M299" s="155">
        <v>0</v>
      </c>
      <c r="N299" s="67"/>
      <c r="O299" s="155">
        <v>0</v>
      </c>
      <c r="P299" s="155">
        <v>0</v>
      </c>
      <c r="Q299" s="155">
        <v>0</v>
      </c>
      <c r="R299" s="155">
        <v>0</v>
      </c>
      <c r="S299" s="154">
        <v>0</v>
      </c>
      <c r="T299" s="155">
        <v>0</v>
      </c>
      <c r="U299" s="155">
        <v>0</v>
      </c>
      <c r="V299" s="25"/>
      <c r="W299" s="22">
        <v>0</v>
      </c>
      <c r="X299" s="149">
        <v>0</v>
      </c>
      <c r="Y299" s="25"/>
      <c r="Z299" s="155">
        <v>0</v>
      </c>
      <c r="AA299" s="149">
        <f>Tabela4[[#This Row],[VALOR]]-Tabela4[[#This Row],[PNEUS]]-Tabela4[[#This Row],[BATERIA]]</f>
        <v>448</v>
      </c>
      <c r="AB299" s="27" t="s">
        <v>30</v>
      </c>
      <c r="AC299" s="30">
        <v>0</v>
      </c>
      <c r="AD299" s="162">
        <v>0</v>
      </c>
      <c r="AE299" s="162">
        <v>0</v>
      </c>
      <c r="AF299" s="162">
        <v>0</v>
      </c>
      <c r="AG299" s="162">
        <v>0</v>
      </c>
      <c r="AH299" s="162">
        <v>0</v>
      </c>
      <c r="AI299" s="162">
        <v>0</v>
      </c>
      <c r="AJ299" s="162">
        <v>0</v>
      </c>
    </row>
    <row r="300" spans="1:36" x14ac:dyDescent="0.25">
      <c r="A300" s="25" t="s">
        <v>521</v>
      </c>
      <c r="B300" s="25"/>
      <c r="C300" s="142">
        <v>45344</v>
      </c>
      <c r="D300" s="142">
        <v>45344</v>
      </c>
      <c r="E300">
        <f>Tabela4[[#This Row],[DATA FATURAMENTO]]-Tabela4[[#This Row],[DATA ORÇAMENTO]]</f>
        <v>0</v>
      </c>
      <c r="F300" s="25">
        <v>10686</v>
      </c>
      <c r="G300" s="25" t="s">
        <v>31</v>
      </c>
      <c r="H300" s="25"/>
      <c r="I300" s="155">
        <v>660</v>
      </c>
      <c r="J300" s="155">
        <v>0</v>
      </c>
      <c r="K300" s="153">
        <f>Tabela4[[#This Row],[PECAS]]+Tabela4[[#This Row],[SERVICOS]]</f>
        <v>660</v>
      </c>
      <c r="L300" s="155">
        <v>0</v>
      </c>
      <c r="M300" s="155">
        <v>0</v>
      </c>
      <c r="N300" s="67"/>
      <c r="O300" s="155">
        <v>0</v>
      </c>
      <c r="P300" s="155">
        <v>0</v>
      </c>
      <c r="Q300" s="155">
        <v>0</v>
      </c>
      <c r="R300" s="155">
        <v>0</v>
      </c>
      <c r="S300" s="154">
        <v>0</v>
      </c>
      <c r="T300" s="155">
        <v>0</v>
      </c>
      <c r="U300" s="155">
        <v>0</v>
      </c>
      <c r="V300" s="25"/>
      <c r="W300" s="22">
        <v>0</v>
      </c>
      <c r="X300" s="149">
        <v>0</v>
      </c>
      <c r="Y300" s="25"/>
      <c r="Z300" s="155">
        <v>0</v>
      </c>
      <c r="AA300" s="149">
        <f>Tabela4[[#This Row],[VALOR]]-Tabela4[[#This Row],[PNEUS]]-Tabela4[[#This Row],[BATERIA]]</f>
        <v>660</v>
      </c>
      <c r="AB300" s="27" t="s">
        <v>27</v>
      </c>
      <c r="AC300" s="30">
        <v>0</v>
      </c>
      <c r="AD300" s="162">
        <v>0</v>
      </c>
      <c r="AE300" s="162">
        <v>0</v>
      </c>
      <c r="AF300" s="162">
        <v>0</v>
      </c>
      <c r="AG300" s="162">
        <v>0</v>
      </c>
      <c r="AH300" s="162">
        <v>0</v>
      </c>
      <c r="AI300" s="162">
        <v>0</v>
      </c>
      <c r="AJ300" s="162">
        <v>0</v>
      </c>
    </row>
    <row r="301" spans="1:36" x14ac:dyDescent="0.25">
      <c r="A301" s="25" t="s">
        <v>537</v>
      </c>
      <c r="B301" s="25"/>
      <c r="C301" s="142">
        <v>45321</v>
      </c>
      <c r="D301" s="142">
        <v>45345</v>
      </c>
      <c r="E301">
        <f>Tabela4[[#This Row],[DATA FATURAMENTO]]-Tabela4[[#This Row],[DATA ORÇAMENTO]]</f>
        <v>24</v>
      </c>
      <c r="F301" s="25">
        <v>10479</v>
      </c>
      <c r="G301" s="25" t="s">
        <v>25</v>
      </c>
      <c r="H301" s="25"/>
      <c r="I301" s="155">
        <v>2098.1999999999998</v>
      </c>
      <c r="J301" s="155">
        <v>3206</v>
      </c>
      <c r="K301" s="153">
        <f>Tabela4[[#This Row],[PECAS]]+Tabela4[[#This Row],[SERVICOS]]</f>
        <v>5304.2</v>
      </c>
      <c r="L301" s="155">
        <v>0</v>
      </c>
      <c r="M301" s="155">
        <f>31.4+94.2</f>
        <v>125.6</v>
      </c>
      <c r="N301" s="67"/>
      <c r="O301" s="155">
        <v>20.399999999999999</v>
      </c>
      <c r="P301" s="155">
        <v>0</v>
      </c>
      <c r="Q301" s="155">
        <v>0</v>
      </c>
      <c r="R301" s="155">
        <v>0</v>
      </c>
      <c r="S301" s="154">
        <v>0</v>
      </c>
      <c r="T301" s="155">
        <v>0</v>
      </c>
      <c r="U301" s="155">
        <v>483.9</v>
      </c>
      <c r="V301" s="25" t="s">
        <v>813</v>
      </c>
      <c r="W301" s="28">
        <v>4</v>
      </c>
      <c r="X301" s="149">
        <v>0</v>
      </c>
      <c r="Y301" s="25" t="s">
        <v>805</v>
      </c>
      <c r="Z301" s="155">
        <v>0</v>
      </c>
      <c r="AA301" s="149">
        <f>Tabela4[[#This Row],[VALOR]]-Tabela4[[#This Row],[PNEUS]]-Tabela4[[#This Row],[BATERIA]]</f>
        <v>4820.3</v>
      </c>
      <c r="AB301" s="27" t="s">
        <v>34</v>
      </c>
      <c r="AC301" s="30">
        <v>0</v>
      </c>
      <c r="AD301" s="162">
        <v>0</v>
      </c>
      <c r="AE301" s="162">
        <v>0</v>
      </c>
      <c r="AF301" s="162">
        <v>0</v>
      </c>
      <c r="AG301" s="162">
        <v>0</v>
      </c>
      <c r="AH301" s="162">
        <v>0</v>
      </c>
      <c r="AI301" s="162">
        <v>0</v>
      </c>
      <c r="AJ301" s="162">
        <v>0</v>
      </c>
    </row>
    <row r="302" spans="1:36" x14ac:dyDescent="0.25">
      <c r="A302" s="25" t="s">
        <v>538</v>
      </c>
      <c r="B302" s="25"/>
      <c r="C302" s="142">
        <v>45331</v>
      </c>
      <c r="D302" s="142">
        <v>45345</v>
      </c>
      <c r="E302">
        <f>Tabela4[[#This Row],[DATA FATURAMENTO]]-Tabela4[[#This Row],[DATA ORÇAMENTO]]</f>
        <v>14</v>
      </c>
      <c r="F302" s="25">
        <v>10587</v>
      </c>
      <c r="G302" s="25" t="s">
        <v>28</v>
      </c>
      <c r="H302" s="25"/>
      <c r="I302" s="155">
        <v>1826.61</v>
      </c>
      <c r="J302" s="155">
        <v>1240</v>
      </c>
      <c r="K302" s="153">
        <f>Tabela4[[#This Row],[PECAS]]+Tabela4[[#This Row],[SERVICOS]]</f>
        <v>3066.6099999999997</v>
      </c>
      <c r="L302" s="155">
        <v>0</v>
      </c>
      <c r="M302" s="155">
        <f>91.8+140</f>
        <v>231.8</v>
      </c>
      <c r="N302" s="67"/>
      <c r="O302" s="155">
        <f>20.4+140</f>
        <v>160.4</v>
      </c>
      <c r="P302" s="155">
        <v>0</v>
      </c>
      <c r="Q302" s="155">
        <v>100</v>
      </c>
      <c r="R302" s="155">
        <v>0</v>
      </c>
      <c r="S302" s="154">
        <v>79.900000000000006</v>
      </c>
      <c r="T302" s="155">
        <v>0</v>
      </c>
      <c r="U302" s="155">
        <v>0</v>
      </c>
      <c r="V302" s="25"/>
      <c r="W302" s="28">
        <v>3</v>
      </c>
      <c r="X302" s="149">
        <v>0</v>
      </c>
      <c r="Y302" s="25" t="s">
        <v>654</v>
      </c>
      <c r="Z302" s="155">
        <v>0</v>
      </c>
      <c r="AA302" s="149">
        <f>Tabela4[[#This Row],[VALOR]]-Tabela4[[#This Row],[PNEUS]]-Tabela4[[#This Row],[BATERIA]]</f>
        <v>3066.6099999999997</v>
      </c>
      <c r="AB302" s="27" t="s">
        <v>30</v>
      </c>
      <c r="AC302" s="30">
        <v>0</v>
      </c>
      <c r="AD302" s="162">
        <v>0</v>
      </c>
      <c r="AE302" s="162">
        <v>0</v>
      </c>
      <c r="AF302" s="162">
        <v>0</v>
      </c>
      <c r="AG302" s="162">
        <v>0</v>
      </c>
      <c r="AH302" s="162">
        <v>0</v>
      </c>
      <c r="AI302" s="162">
        <v>0</v>
      </c>
      <c r="AJ302" s="162">
        <v>0</v>
      </c>
    </row>
    <row r="303" spans="1:36" x14ac:dyDescent="0.25">
      <c r="A303" s="39" t="s">
        <v>539</v>
      </c>
      <c r="B303" s="39"/>
      <c r="C303" s="142">
        <v>45337</v>
      </c>
      <c r="D303" s="142">
        <v>45345</v>
      </c>
      <c r="E303">
        <f>Tabela4[[#This Row],[DATA FATURAMENTO]]-Tabela4[[#This Row],[DATA ORÇAMENTO]]</f>
        <v>8</v>
      </c>
      <c r="F303" s="25">
        <v>10609</v>
      </c>
      <c r="G303" s="25" t="s">
        <v>25</v>
      </c>
      <c r="H303" s="25"/>
      <c r="I303" s="155">
        <v>1957.62</v>
      </c>
      <c r="J303" s="155">
        <v>681.6</v>
      </c>
      <c r="K303" s="153">
        <f>Tabela4[[#This Row],[PECAS]]+Tabela4[[#This Row],[SERVICOS]]</f>
        <v>2639.22</v>
      </c>
      <c r="L303" s="155">
        <v>0</v>
      </c>
      <c r="M303" s="155">
        <f>125.6+160</f>
        <v>285.60000000000002</v>
      </c>
      <c r="N303" s="67"/>
      <c r="O303" s="155">
        <v>174</v>
      </c>
      <c r="P303" s="155">
        <v>0</v>
      </c>
      <c r="Q303" s="155">
        <v>0</v>
      </c>
      <c r="R303" s="155">
        <v>0</v>
      </c>
      <c r="S303" s="154">
        <v>24.33</v>
      </c>
      <c r="T303" s="155">
        <v>1575.9</v>
      </c>
      <c r="U303" s="155">
        <v>0</v>
      </c>
      <c r="V303" s="25"/>
      <c r="W303" s="28">
        <v>4</v>
      </c>
      <c r="X303" s="149">
        <v>0</v>
      </c>
      <c r="Y303" s="25" t="s">
        <v>654</v>
      </c>
      <c r="Z303" s="155">
        <v>0</v>
      </c>
      <c r="AA303" s="149">
        <f>Tabela4[[#This Row],[VALOR]]-Tabela4[[#This Row],[PNEUS]]-Tabela4[[#This Row],[BATERIA]]</f>
        <v>1063.3199999999997</v>
      </c>
      <c r="AB303" s="27" t="s">
        <v>27</v>
      </c>
      <c r="AC303" s="30">
        <v>0</v>
      </c>
      <c r="AD303" s="162">
        <v>0</v>
      </c>
      <c r="AE303" s="162">
        <v>0</v>
      </c>
      <c r="AF303" s="162">
        <v>0</v>
      </c>
      <c r="AG303" s="162">
        <v>0</v>
      </c>
      <c r="AH303" s="162">
        <v>0</v>
      </c>
      <c r="AI303" s="162">
        <v>0</v>
      </c>
      <c r="AJ303" s="162">
        <v>0</v>
      </c>
    </row>
    <row r="304" spans="1:36" x14ac:dyDescent="0.25">
      <c r="A304" s="25" t="s">
        <v>540</v>
      </c>
      <c r="B304" s="25"/>
      <c r="C304" s="142">
        <v>45337</v>
      </c>
      <c r="D304" s="142">
        <v>45345</v>
      </c>
      <c r="E304">
        <f>Tabela4[[#This Row],[DATA FATURAMENTO]]-Tabela4[[#This Row],[DATA ORÇAMENTO]]</f>
        <v>8</v>
      </c>
      <c r="F304" s="25">
        <v>10612</v>
      </c>
      <c r="G304" s="25" t="s">
        <v>598</v>
      </c>
      <c r="H304" s="25"/>
      <c r="I304" s="155">
        <v>1304.9000000000001</v>
      </c>
      <c r="J304" s="155">
        <v>827.3</v>
      </c>
      <c r="K304" s="153">
        <f>Tabela4[[#This Row],[PECAS]]+Tabela4[[#This Row],[SERVICOS]]</f>
        <v>2132.1999999999998</v>
      </c>
      <c r="L304" s="155">
        <v>160</v>
      </c>
      <c r="M304" s="155">
        <v>0</v>
      </c>
      <c r="N304" s="67"/>
      <c r="O304" s="155">
        <v>100</v>
      </c>
      <c r="P304" s="155">
        <v>0</v>
      </c>
      <c r="Q304" s="155">
        <v>100</v>
      </c>
      <c r="R304" s="155">
        <v>0</v>
      </c>
      <c r="S304" s="154">
        <v>69.900000000000006</v>
      </c>
      <c r="T304" s="155">
        <v>0</v>
      </c>
      <c r="U304" s="155">
        <v>0</v>
      </c>
      <c r="V304" s="25"/>
      <c r="W304" s="28">
        <v>5</v>
      </c>
      <c r="X304" s="149">
        <v>0</v>
      </c>
      <c r="Y304" s="25" t="s">
        <v>654</v>
      </c>
      <c r="Z304" s="155">
        <v>0</v>
      </c>
      <c r="AA304" s="149">
        <f>Tabela4[[#This Row],[VALOR]]-Tabela4[[#This Row],[PNEUS]]-Tabela4[[#This Row],[BATERIA]]</f>
        <v>2132.1999999999998</v>
      </c>
      <c r="AB304" s="27" t="s">
        <v>30</v>
      </c>
      <c r="AC304" s="30">
        <v>0</v>
      </c>
      <c r="AD304" s="162">
        <v>0</v>
      </c>
      <c r="AE304" s="162">
        <v>0</v>
      </c>
      <c r="AF304" s="162">
        <v>0</v>
      </c>
      <c r="AG304" s="162">
        <v>0</v>
      </c>
      <c r="AH304" s="162">
        <v>0</v>
      </c>
      <c r="AI304" s="162">
        <v>0</v>
      </c>
      <c r="AJ304" s="162">
        <v>0</v>
      </c>
    </row>
    <row r="305" spans="1:36" x14ac:dyDescent="0.25">
      <c r="A305" s="25" t="s">
        <v>541</v>
      </c>
      <c r="B305" s="25"/>
      <c r="C305" s="142">
        <v>45344</v>
      </c>
      <c r="D305" s="142">
        <v>45345</v>
      </c>
      <c r="E305">
        <f>Tabela4[[#This Row],[DATA FATURAMENTO]]-Tabela4[[#This Row],[DATA ORÇAMENTO]]</f>
        <v>1</v>
      </c>
      <c r="F305" s="25">
        <v>10678</v>
      </c>
      <c r="G305" s="25" t="s">
        <v>22</v>
      </c>
      <c r="H305" s="25"/>
      <c r="I305" s="155">
        <v>887.2</v>
      </c>
      <c r="J305" s="155">
        <v>1010</v>
      </c>
      <c r="K305" s="153">
        <f>Tabela4[[#This Row],[PECAS]]+Tabela4[[#This Row],[SERVICOS]]</f>
        <v>1897.2</v>
      </c>
      <c r="L305" s="155">
        <v>0</v>
      </c>
      <c r="M305" s="155">
        <v>0</v>
      </c>
      <c r="N305" s="67"/>
      <c r="O305" s="155">
        <v>270</v>
      </c>
      <c r="P305" s="155">
        <v>0</v>
      </c>
      <c r="Q305" s="155">
        <v>0</v>
      </c>
      <c r="R305" s="155">
        <v>0</v>
      </c>
      <c r="S305" s="154">
        <v>0</v>
      </c>
      <c r="T305" s="155">
        <v>0</v>
      </c>
      <c r="U305" s="155">
        <v>0</v>
      </c>
      <c r="V305" s="25"/>
      <c r="W305" s="22">
        <v>0</v>
      </c>
      <c r="X305" s="149">
        <v>0</v>
      </c>
      <c r="Y305" s="25"/>
      <c r="Z305" s="155">
        <v>0</v>
      </c>
      <c r="AA305" s="149">
        <f>Tabela4[[#This Row],[VALOR]]-Tabela4[[#This Row],[PNEUS]]-Tabela4[[#This Row],[BATERIA]]</f>
        <v>1897.2</v>
      </c>
      <c r="AB305" s="27" t="s">
        <v>34</v>
      </c>
      <c r="AC305" s="30">
        <v>0</v>
      </c>
      <c r="AD305" s="162">
        <v>0</v>
      </c>
      <c r="AE305" s="162">
        <v>0</v>
      </c>
      <c r="AF305" s="162">
        <v>0</v>
      </c>
      <c r="AG305" s="162">
        <v>0</v>
      </c>
      <c r="AH305" s="162">
        <v>0</v>
      </c>
      <c r="AI305" s="162">
        <v>0</v>
      </c>
      <c r="AJ305" s="162">
        <v>0</v>
      </c>
    </row>
    <row r="306" spans="1:36" x14ac:dyDescent="0.25">
      <c r="A306" s="25" t="s">
        <v>542</v>
      </c>
      <c r="B306" s="25"/>
      <c r="C306" s="142">
        <v>45343</v>
      </c>
      <c r="D306" s="142">
        <v>45345</v>
      </c>
      <c r="E306">
        <f>Tabela4[[#This Row],[DATA FATURAMENTO]]-Tabela4[[#This Row],[DATA ORÇAMENTO]]</f>
        <v>2</v>
      </c>
      <c r="F306" s="25">
        <v>10666</v>
      </c>
      <c r="G306" s="25" t="s">
        <v>22</v>
      </c>
      <c r="H306" s="25"/>
      <c r="I306" s="155">
        <v>1890</v>
      </c>
      <c r="J306" s="155">
        <v>610</v>
      </c>
      <c r="K306" s="153">
        <f>Tabela4[[#This Row],[PECAS]]+Tabela4[[#This Row],[SERVICOS]]</f>
        <v>2500</v>
      </c>
      <c r="L306" s="155">
        <v>85</v>
      </c>
      <c r="M306" s="155">
        <f>202.6+27.4</f>
        <v>230</v>
      </c>
      <c r="N306" s="67"/>
      <c r="O306" s="155">
        <v>0</v>
      </c>
      <c r="P306" s="155">
        <v>0</v>
      </c>
      <c r="Q306" s="155">
        <v>0</v>
      </c>
      <c r="R306" s="155">
        <v>0</v>
      </c>
      <c r="S306" s="154">
        <v>0</v>
      </c>
      <c r="T306" s="155">
        <v>0</v>
      </c>
      <c r="U306" s="155">
        <v>0</v>
      </c>
      <c r="V306" s="25"/>
      <c r="W306" s="22">
        <v>0</v>
      </c>
      <c r="X306" s="149">
        <v>0</v>
      </c>
      <c r="Y306" s="25"/>
      <c r="Z306" s="155">
        <v>0</v>
      </c>
      <c r="AA306" s="149">
        <f>Tabela4[[#This Row],[VALOR]]-Tabela4[[#This Row],[PNEUS]]-Tabela4[[#This Row],[BATERIA]]</f>
        <v>2500</v>
      </c>
      <c r="AB306" s="27" t="s">
        <v>30</v>
      </c>
      <c r="AC306" s="30">
        <v>0</v>
      </c>
      <c r="AD306" s="162">
        <v>0</v>
      </c>
      <c r="AE306" s="162">
        <v>0</v>
      </c>
      <c r="AF306" s="162">
        <v>0</v>
      </c>
      <c r="AG306" s="162">
        <v>0</v>
      </c>
      <c r="AH306" s="162">
        <v>0</v>
      </c>
      <c r="AI306" s="162">
        <v>0</v>
      </c>
      <c r="AJ306" s="162">
        <v>0</v>
      </c>
    </row>
    <row r="307" spans="1:36" x14ac:dyDescent="0.25">
      <c r="A307" s="25" t="s">
        <v>543</v>
      </c>
      <c r="B307" s="25"/>
      <c r="C307" s="142">
        <v>45344</v>
      </c>
      <c r="D307" s="142">
        <v>45345</v>
      </c>
      <c r="E307">
        <f>Tabela4[[#This Row],[DATA FATURAMENTO]]-Tabela4[[#This Row],[DATA ORÇAMENTO]]</f>
        <v>1</v>
      </c>
      <c r="F307" s="25">
        <v>10679</v>
      </c>
      <c r="G307" s="25" t="s">
        <v>22</v>
      </c>
      <c r="H307" s="25"/>
      <c r="I307" s="155">
        <v>1854.6</v>
      </c>
      <c r="J307" s="155">
        <v>640</v>
      </c>
      <c r="K307" s="153">
        <f>Tabela4[[#This Row],[PECAS]]+Tabela4[[#This Row],[SERVICOS]]</f>
        <v>2494.6</v>
      </c>
      <c r="L307" s="155">
        <v>0</v>
      </c>
      <c r="M307" s="155">
        <v>0</v>
      </c>
      <c r="N307" s="67"/>
      <c r="O307" s="155">
        <v>260</v>
      </c>
      <c r="P307" s="155">
        <v>0</v>
      </c>
      <c r="Q307" s="155">
        <v>0</v>
      </c>
      <c r="R307" s="155">
        <v>0</v>
      </c>
      <c r="S307" s="154">
        <v>0</v>
      </c>
      <c r="T307" s="155">
        <v>0</v>
      </c>
      <c r="U307" s="155">
        <v>0</v>
      </c>
      <c r="V307" s="25"/>
      <c r="W307" s="22">
        <v>0</v>
      </c>
      <c r="X307" s="149">
        <v>0</v>
      </c>
      <c r="Y307" s="25"/>
      <c r="Z307" s="155">
        <v>0</v>
      </c>
      <c r="AA307" s="149">
        <f>Tabela4[[#This Row],[VALOR]]-Tabela4[[#This Row],[PNEUS]]-Tabela4[[#This Row],[BATERIA]]</f>
        <v>2494.6</v>
      </c>
      <c r="AB307" s="27" t="s">
        <v>32</v>
      </c>
      <c r="AC307" s="30">
        <v>0</v>
      </c>
      <c r="AD307" s="162">
        <v>0</v>
      </c>
      <c r="AE307" s="162">
        <v>0</v>
      </c>
      <c r="AF307" s="162">
        <v>0</v>
      </c>
      <c r="AG307" s="162">
        <v>0</v>
      </c>
      <c r="AH307" s="162">
        <v>0</v>
      </c>
      <c r="AI307" s="162">
        <v>0</v>
      </c>
      <c r="AJ307" s="162">
        <v>0</v>
      </c>
    </row>
    <row r="308" spans="1:36" x14ac:dyDescent="0.25">
      <c r="A308" s="25" t="s">
        <v>103</v>
      </c>
      <c r="B308" s="25"/>
      <c r="C308" s="142">
        <v>45345</v>
      </c>
      <c r="D308" s="142">
        <v>45345</v>
      </c>
      <c r="E308">
        <f>Tabela4[[#This Row],[DATA FATURAMENTO]]-Tabela4[[#This Row],[DATA ORÇAMENTO]]</f>
        <v>0</v>
      </c>
      <c r="F308" s="25">
        <v>10688</v>
      </c>
      <c r="G308" s="25" t="s">
        <v>22</v>
      </c>
      <c r="H308" s="25"/>
      <c r="I308" s="155">
        <v>390</v>
      </c>
      <c r="J308" s="155">
        <v>510</v>
      </c>
      <c r="K308" s="153">
        <f>Tabela4[[#This Row],[PECAS]]+Tabela4[[#This Row],[SERVICOS]]</f>
        <v>900</v>
      </c>
      <c r="L308" s="155">
        <v>0</v>
      </c>
      <c r="M308" s="155">
        <v>0</v>
      </c>
      <c r="N308" s="67"/>
      <c r="O308" s="155">
        <v>0</v>
      </c>
      <c r="P308" s="155">
        <v>0</v>
      </c>
      <c r="Q308" s="155">
        <v>0</v>
      </c>
      <c r="R308" s="155">
        <v>0</v>
      </c>
      <c r="S308" s="154">
        <v>0</v>
      </c>
      <c r="T308" s="155">
        <v>0</v>
      </c>
      <c r="U308" s="155">
        <v>0</v>
      </c>
      <c r="V308" s="25"/>
      <c r="W308" s="22">
        <v>0</v>
      </c>
      <c r="X308" s="149">
        <v>0</v>
      </c>
      <c r="Y308" s="25"/>
      <c r="Z308" s="155">
        <v>0</v>
      </c>
      <c r="AA308" s="149">
        <f>Tabela4[[#This Row],[VALOR]]-Tabela4[[#This Row],[PNEUS]]-Tabela4[[#This Row],[BATERIA]]</f>
        <v>900</v>
      </c>
      <c r="AB308" s="27" t="s">
        <v>38</v>
      </c>
      <c r="AC308" s="30">
        <v>0</v>
      </c>
      <c r="AD308" s="162">
        <v>0</v>
      </c>
      <c r="AE308" s="162">
        <v>0</v>
      </c>
      <c r="AF308" s="162">
        <v>0</v>
      </c>
      <c r="AG308" s="162">
        <v>0</v>
      </c>
      <c r="AH308" s="162">
        <v>0</v>
      </c>
      <c r="AI308" s="162">
        <v>0</v>
      </c>
      <c r="AJ308" s="162">
        <v>0</v>
      </c>
    </row>
    <row r="309" spans="1:36" x14ac:dyDescent="0.25">
      <c r="A309" s="25" t="s">
        <v>544</v>
      </c>
      <c r="B309" s="25"/>
      <c r="C309" s="142">
        <v>45345</v>
      </c>
      <c r="D309" s="142">
        <v>45345</v>
      </c>
      <c r="E309">
        <f>Tabela4[[#This Row],[DATA FATURAMENTO]]-Tabela4[[#This Row],[DATA ORÇAMENTO]]</f>
        <v>0</v>
      </c>
      <c r="F309" s="25">
        <v>10689</v>
      </c>
      <c r="G309" s="25" t="s">
        <v>39</v>
      </c>
      <c r="H309" s="25" t="s">
        <v>44</v>
      </c>
      <c r="I309" s="155">
        <v>20</v>
      </c>
      <c r="J309" s="155">
        <v>120.01</v>
      </c>
      <c r="K309" s="153">
        <f>Tabela4[[#This Row],[PECAS]]+Tabela4[[#This Row],[SERVICOS]]</f>
        <v>140.01</v>
      </c>
      <c r="L309" s="155">
        <v>0</v>
      </c>
      <c r="M309" s="155">
        <v>0</v>
      </c>
      <c r="N309" s="67"/>
      <c r="O309" s="155">
        <v>0</v>
      </c>
      <c r="P309" s="155">
        <v>0</v>
      </c>
      <c r="Q309" s="155">
        <v>0</v>
      </c>
      <c r="R309" s="155">
        <v>0</v>
      </c>
      <c r="S309" s="154">
        <v>0</v>
      </c>
      <c r="T309" s="155">
        <v>0</v>
      </c>
      <c r="U309" s="155">
        <v>0</v>
      </c>
      <c r="V309" s="25"/>
      <c r="W309" s="22">
        <v>0</v>
      </c>
      <c r="X309" s="149">
        <v>0</v>
      </c>
      <c r="Y309" s="25"/>
      <c r="Z309" s="155">
        <v>0</v>
      </c>
      <c r="AA309" s="149">
        <f>Tabela4[[#This Row],[VALOR]]-Tabela4[[#This Row],[PNEUS]]-Tabela4[[#This Row],[BATERIA]]</f>
        <v>140.01</v>
      </c>
      <c r="AB309" s="27" t="s">
        <v>30</v>
      </c>
      <c r="AC309" s="30">
        <v>0</v>
      </c>
      <c r="AD309" s="162">
        <v>0</v>
      </c>
      <c r="AE309" s="162">
        <v>0</v>
      </c>
      <c r="AF309" s="162">
        <v>0</v>
      </c>
      <c r="AG309" s="162">
        <v>0</v>
      </c>
      <c r="AH309" s="162">
        <v>0</v>
      </c>
      <c r="AI309" s="162">
        <v>0</v>
      </c>
      <c r="AJ309" s="162">
        <v>0</v>
      </c>
    </row>
    <row r="310" spans="1:36" x14ac:dyDescent="0.25">
      <c r="A310" s="25" t="s">
        <v>74</v>
      </c>
      <c r="B310" s="25"/>
      <c r="C310" s="142">
        <v>45345</v>
      </c>
      <c r="D310" s="142">
        <v>45345</v>
      </c>
      <c r="E310">
        <f>Tabela4[[#This Row],[DATA FATURAMENTO]]-Tabela4[[#This Row],[DATA ORÇAMENTO]]</f>
        <v>0</v>
      </c>
      <c r="F310" s="25">
        <v>10695</v>
      </c>
      <c r="G310" s="25" t="s">
        <v>22</v>
      </c>
      <c r="H310" s="25"/>
      <c r="I310" s="155">
        <v>770.2</v>
      </c>
      <c r="J310" s="155">
        <v>159.80000000000001</v>
      </c>
      <c r="K310" s="153">
        <f>Tabela4[[#This Row],[PECAS]]+Tabela4[[#This Row],[SERVICOS]]</f>
        <v>930</v>
      </c>
      <c r="L310" s="155">
        <v>0</v>
      </c>
      <c r="M310" s="155">
        <v>0</v>
      </c>
      <c r="N310" s="67"/>
      <c r="O310" s="155">
        <v>0</v>
      </c>
      <c r="P310" s="155">
        <v>0</v>
      </c>
      <c r="Q310" s="155">
        <v>0</v>
      </c>
      <c r="R310" s="155">
        <v>0</v>
      </c>
      <c r="S310" s="154">
        <v>0</v>
      </c>
      <c r="T310" s="155">
        <v>0</v>
      </c>
      <c r="U310" s="155">
        <v>0</v>
      </c>
      <c r="V310" s="25"/>
      <c r="W310" s="22">
        <v>0</v>
      </c>
      <c r="X310" s="149">
        <v>0</v>
      </c>
      <c r="Y310" s="25"/>
      <c r="Z310" s="155">
        <v>0</v>
      </c>
      <c r="AA310" s="149">
        <f>Tabela4[[#This Row],[VALOR]]-Tabela4[[#This Row],[PNEUS]]-Tabela4[[#This Row],[BATERIA]]</f>
        <v>930</v>
      </c>
      <c r="AB310" s="27" t="s">
        <v>27</v>
      </c>
      <c r="AC310" s="30">
        <v>0</v>
      </c>
      <c r="AD310" s="162">
        <v>0</v>
      </c>
      <c r="AE310" s="162">
        <v>0</v>
      </c>
      <c r="AF310" s="162">
        <v>0</v>
      </c>
      <c r="AG310" s="162">
        <v>0</v>
      </c>
      <c r="AH310" s="162">
        <v>0</v>
      </c>
      <c r="AI310" s="162">
        <v>0</v>
      </c>
      <c r="AJ310" s="162">
        <v>0</v>
      </c>
    </row>
    <row r="311" spans="1:36" x14ac:dyDescent="0.25">
      <c r="A311" s="25" t="s">
        <v>545</v>
      </c>
      <c r="B311" s="25"/>
      <c r="C311" s="142">
        <v>45343</v>
      </c>
      <c r="D311" s="142">
        <v>45346</v>
      </c>
      <c r="E311">
        <f>Tabela4[[#This Row],[DATA FATURAMENTO]]-Tabela4[[#This Row],[DATA ORÇAMENTO]]</f>
        <v>3</v>
      </c>
      <c r="F311" s="25">
        <v>10660</v>
      </c>
      <c r="G311" s="25" t="s">
        <v>35</v>
      </c>
      <c r="H311" s="25"/>
      <c r="I311" s="155">
        <v>3066.5</v>
      </c>
      <c r="J311" s="155">
        <v>2683.51</v>
      </c>
      <c r="K311" s="153">
        <f>Tabela4[[#This Row],[PECAS]]+Tabela4[[#This Row],[SERVICOS]]</f>
        <v>5750.01</v>
      </c>
      <c r="L311" s="155">
        <v>0</v>
      </c>
      <c r="M311" s="155">
        <f>115.2+21.6</f>
        <v>136.80000000000001</v>
      </c>
      <c r="N311" s="67"/>
      <c r="O311" s="155">
        <v>0</v>
      </c>
      <c r="P311" s="155">
        <v>0</v>
      </c>
      <c r="Q311" s="155">
        <v>0</v>
      </c>
      <c r="R311" s="155">
        <v>0</v>
      </c>
      <c r="S311" s="154">
        <v>0</v>
      </c>
      <c r="T311" s="155">
        <v>0</v>
      </c>
      <c r="U311" s="155">
        <v>0</v>
      </c>
      <c r="V311" s="25"/>
      <c r="W311" s="28">
        <v>4</v>
      </c>
      <c r="X311" s="149">
        <v>0</v>
      </c>
      <c r="Y311" s="25" t="s">
        <v>645</v>
      </c>
      <c r="Z311" s="155">
        <v>0</v>
      </c>
      <c r="AA311" s="149">
        <f>Tabela4[[#This Row],[VALOR]]-Tabela4[[#This Row],[PNEUS]]-Tabela4[[#This Row],[BATERIA]]</f>
        <v>5750.01</v>
      </c>
      <c r="AB311" s="27" t="s">
        <v>32</v>
      </c>
      <c r="AC311" s="30">
        <v>0</v>
      </c>
      <c r="AD311" s="162">
        <v>0</v>
      </c>
      <c r="AE311" s="162">
        <v>0</v>
      </c>
      <c r="AF311" s="162">
        <v>0</v>
      </c>
      <c r="AG311" s="162">
        <v>0</v>
      </c>
      <c r="AH311" s="162">
        <v>0</v>
      </c>
      <c r="AI311" s="162">
        <v>0</v>
      </c>
      <c r="AJ311" s="162">
        <v>0</v>
      </c>
    </row>
    <row r="312" spans="1:36" x14ac:dyDescent="0.25">
      <c r="A312" s="25" t="s">
        <v>546</v>
      </c>
      <c r="B312" s="25"/>
      <c r="C312" s="142">
        <v>45345</v>
      </c>
      <c r="D312" s="142">
        <v>45346</v>
      </c>
      <c r="E312">
        <f>Tabela4[[#This Row],[DATA FATURAMENTO]]-Tabela4[[#This Row],[DATA ORÇAMENTO]]</f>
        <v>1</v>
      </c>
      <c r="F312" s="25">
        <v>10691</v>
      </c>
      <c r="G312" s="25" t="s">
        <v>35</v>
      </c>
      <c r="H312" s="25"/>
      <c r="I312" s="155">
        <v>25</v>
      </c>
      <c r="J312" s="155">
        <v>290</v>
      </c>
      <c r="K312" s="153">
        <f>Tabela4[[#This Row],[PECAS]]+Tabela4[[#This Row],[SERVICOS]]</f>
        <v>315</v>
      </c>
      <c r="L312" s="155">
        <v>0</v>
      </c>
      <c r="M312" s="155">
        <v>0</v>
      </c>
      <c r="N312" s="67"/>
      <c r="O312" s="155">
        <v>0</v>
      </c>
      <c r="P312" s="155">
        <v>0</v>
      </c>
      <c r="Q312" s="155">
        <v>0</v>
      </c>
      <c r="R312" s="155">
        <v>0</v>
      </c>
      <c r="S312" s="154">
        <v>0</v>
      </c>
      <c r="T312" s="155">
        <v>0</v>
      </c>
      <c r="U312" s="155">
        <v>0</v>
      </c>
      <c r="V312" s="25"/>
      <c r="W312" s="22">
        <v>0</v>
      </c>
      <c r="X312" s="149">
        <v>0</v>
      </c>
      <c r="Y312" s="25"/>
      <c r="Z312" s="155">
        <v>0</v>
      </c>
      <c r="AA312" s="149">
        <f>Tabela4[[#This Row],[VALOR]]-Tabela4[[#This Row],[PNEUS]]-Tabela4[[#This Row],[BATERIA]]</f>
        <v>315</v>
      </c>
      <c r="AB312" s="27" t="s">
        <v>34</v>
      </c>
      <c r="AC312" s="30">
        <v>0</v>
      </c>
      <c r="AD312" s="162">
        <v>0</v>
      </c>
      <c r="AE312" s="162">
        <v>0</v>
      </c>
      <c r="AF312" s="162">
        <v>0</v>
      </c>
      <c r="AG312" s="162">
        <v>0</v>
      </c>
      <c r="AH312" s="162">
        <v>0</v>
      </c>
      <c r="AI312" s="162">
        <v>0</v>
      </c>
      <c r="AJ312" s="162">
        <v>0</v>
      </c>
    </row>
    <row r="313" spans="1:36" x14ac:dyDescent="0.25">
      <c r="A313" s="25" t="s">
        <v>547</v>
      </c>
      <c r="B313" s="25"/>
      <c r="C313" s="142">
        <v>45346</v>
      </c>
      <c r="D313" s="142">
        <v>45346</v>
      </c>
      <c r="E313">
        <f>Tabela4[[#This Row],[DATA FATURAMENTO]]-Tabela4[[#This Row],[DATA ORÇAMENTO]]</f>
        <v>0</v>
      </c>
      <c r="F313" s="25">
        <v>10697</v>
      </c>
      <c r="G313" s="25" t="s">
        <v>22</v>
      </c>
      <c r="H313" s="25"/>
      <c r="I313" s="155">
        <v>0</v>
      </c>
      <c r="J313" s="155">
        <v>160.52000000000001</v>
      </c>
      <c r="K313" s="153">
        <f>Tabela4[[#This Row],[PECAS]]+Tabela4[[#This Row],[SERVICOS]]</f>
        <v>160.52000000000001</v>
      </c>
      <c r="L313" s="155">
        <v>0</v>
      </c>
      <c r="M313" s="155">
        <v>0</v>
      </c>
      <c r="N313" s="67"/>
      <c r="O313" s="155">
        <v>0</v>
      </c>
      <c r="P313" s="155">
        <v>0</v>
      </c>
      <c r="Q313" s="155">
        <v>0</v>
      </c>
      <c r="R313" s="155">
        <v>0</v>
      </c>
      <c r="S313" s="154">
        <v>0</v>
      </c>
      <c r="T313" s="155">
        <v>0</v>
      </c>
      <c r="U313" s="155">
        <v>0</v>
      </c>
      <c r="V313" s="25"/>
      <c r="W313" s="22">
        <v>0</v>
      </c>
      <c r="X313" s="149">
        <v>0</v>
      </c>
      <c r="Y313" s="25"/>
      <c r="Z313" s="155">
        <v>0</v>
      </c>
      <c r="AA313" s="149">
        <f>Tabela4[[#This Row],[VALOR]]-Tabela4[[#This Row],[PNEUS]]-Tabela4[[#This Row],[BATERIA]]</f>
        <v>160.52000000000001</v>
      </c>
      <c r="AB313" s="27" t="s">
        <v>27</v>
      </c>
      <c r="AC313" s="30">
        <v>0</v>
      </c>
      <c r="AD313" s="162">
        <v>0</v>
      </c>
      <c r="AE313" s="162">
        <v>0</v>
      </c>
      <c r="AF313" s="162">
        <v>0</v>
      </c>
      <c r="AG313" s="162">
        <v>0</v>
      </c>
      <c r="AH313" s="162">
        <v>0</v>
      </c>
      <c r="AI313" s="162">
        <v>0</v>
      </c>
      <c r="AJ313" s="162">
        <v>0</v>
      </c>
    </row>
    <row r="314" spans="1:36" x14ac:dyDescent="0.25">
      <c r="A314" s="25" t="s">
        <v>548</v>
      </c>
      <c r="B314" s="25"/>
      <c r="C314" s="142">
        <v>45346</v>
      </c>
      <c r="D314" s="142">
        <v>45346</v>
      </c>
      <c r="E314">
        <f>Tabela4[[#This Row],[DATA FATURAMENTO]]-Tabela4[[#This Row],[DATA ORÇAMENTO]]</f>
        <v>0</v>
      </c>
      <c r="F314" s="25">
        <v>10698</v>
      </c>
      <c r="G314" s="25" t="s">
        <v>39</v>
      </c>
      <c r="H314" s="25" t="s">
        <v>44</v>
      </c>
      <c r="I314" s="155">
        <v>40</v>
      </c>
      <c r="J314" s="155">
        <v>220.01</v>
      </c>
      <c r="K314" s="153">
        <f>Tabela4[[#This Row],[PECAS]]+Tabela4[[#This Row],[SERVICOS]]</f>
        <v>260.01</v>
      </c>
      <c r="L314" s="155">
        <v>0</v>
      </c>
      <c r="M314" s="155">
        <v>0</v>
      </c>
      <c r="N314" s="67"/>
      <c r="O314" s="155">
        <v>0</v>
      </c>
      <c r="P314" s="155">
        <v>0</v>
      </c>
      <c r="Q314" s="155">
        <v>0</v>
      </c>
      <c r="R314" s="155">
        <v>0</v>
      </c>
      <c r="S314" s="154">
        <v>0</v>
      </c>
      <c r="T314" s="155">
        <v>0</v>
      </c>
      <c r="U314" s="155">
        <v>0</v>
      </c>
      <c r="V314" s="25"/>
      <c r="W314" s="22">
        <v>0</v>
      </c>
      <c r="X314" s="149">
        <v>0</v>
      </c>
      <c r="Y314" s="25"/>
      <c r="Z314" s="155">
        <v>0</v>
      </c>
      <c r="AA314" s="149">
        <f>Tabela4[[#This Row],[VALOR]]-Tabela4[[#This Row],[PNEUS]]-Tabela4[[#This Row],[BATERIA]]</f>
        <v>260.01</v>
      </c>
      <c r="AB314" s="27" t="s">
        <v>27</v>
      </c>
      <c r="AC314" s="30">
        <v>0</v>
      </c>
      <c r="AD314" s="162">
        <v>0</v>
      </c>
      <c r="AE314" s="162">
        <v>0</v>
      </c>
      <c r="AF314" s="162">
        <v>0</v>
      </c>
      <c r="AG314" s="162">
        <v>0</v>
      </c>
      <c r="AH314" s="162">
        <v>0</v>
      </c>
      <c r="AI314" s="162">
        <v>0</v>
      </c>
      <c r="AJ314" s="162">
        <v>0</v>
      </c>
    </row>
    <row r="315" spans="1:36" x14ac:dyDescent="0.25">
      <c r="A315" s="25" t="s">
        <v>549</v>
      </c>
      <c r="B315" s="25"/>
      <c r="C315" s="142">
        <v>45346</v>
      </c>
      <c r="D315" s="142">
        <v>45346</v>
      </c>
      <c r="E315">
        <f>Tabela4[[#This Row],[DATA FATURAMENTO]]-Tabela4[[#This Row],[DATA ORÇAMENTO]]</f>
        <v>0</v>
      </c>
      <c r="F315" s="25">
        <v>10705</v>
      </c>
      <c r="G315" s="25" t="s">
        <v>22</v>
      </c>
      <c r="H315" s="25"/>
      <c r="I315" s="155">
        <v>472</v>
      </c>
      <c r="J315" s="155">
        <v>0</v>
      </c>
      <c r="K315" s="153">
        <f>Tabela4[[#This Row],[PECAS]]+Tabela4[[#This Row],[SERVICOS]]</f>
        <v>472</v>
      </c>
      <c r="L315" s="155">
        <v>0</v>
      </c>
      <c r="M315" s="155">
        <v>0</v>
      </c>
      <c r="N315" s="67"/>
      <c r="O315" s="155">
        <v>0</v>
      </c>
      <c r="P315" s="155">
        <v>0</v>
      </c>
      <c r="Q315" s="155">
        <v>0</v>
      </c>
      <c r="R315" s="155">
        <v>0</v>
      </c>
      <c r="S315" s="154">
        <v>65</v>
      </c>
      <c r="T315" s="155">
        <v>0</v>
      </c>
      <c r="U315" s="155">
        <v>0</v>
      </c>
      <c r="V315" s="25"/>
      <c r="W315" s="28">
        <v>4</v>
      </c>
      <c r="X315" s="149">
        <v>0</v>
      </c>
      <c r="Y315" s="25" t="s">
        <v>645</v>
      </c>
      <c r="Z315" s="155">
        <v>65</v>
      </c>
      <c r="AA315" s="149">
        <f>Tabela4[[#This Row],[VALOR]]-Tabela4[[#This Row],[PNEUS]]-Tabela4[[#This Row],[BATERIA]]</f>
        <v>472</v>
      </c>
      <c r="AB315" s="27" t="s">
        <v>27</v>
      </c>
      <c r="AC315" s="30">
        <v>0</v>
      </c>
      <c r="AD315" s="162">
        <v>0</v>
      </c>
      <c r="AE315" s="162">
        <v>0</v>
      </c>
      <c r="AF315" s="162">
        <v>0</v>
      </c>
      <c r="AG315" s="162">
        <v>0</v>
      </c>
      <c r="AH315" s="162">
        <v>0</v>
      </c>
      <c r="AI315" s="162">
        <v>0</v>
      </c>
      <c r="AJ315" s="162">
        <v>0</v>
      </c>
    </row>
    <row r="316" spans="1:36" x14ac:dyDescent="0.25">
      <c r="A316" s="25" t="s">
        <v>371</v>
      </c>
      <c r="B316" s="25"/>
      <c r="C316" s="142">
        <v>45346</v>
      </c>
      <c r="D316" s="142">
        <v>45346</v>
      </c>
      <c r="E316">
        <f>Tabela4[[#This Row],[DATA FATURAMENTO]]-Tabela4[[#This Row],[DATA ORÇAMENTO]]</f>
        <v>0</v>
      </c>
      <c r="F316" s="25">
        <v>10707</v>
      </c>
      <c r="G316" s="25" t="s">
        <v>22</v>
      </c>
      <c r="H316" s="25"/>
      <c r="I316" s="155">
        <v>107.5</v>
      </c>
      <c r="J316" s="155">
        <v>0</v>
      </c>
      <c r="K316" s="153">
        <f>Tabela4[[#This Row],[PECAS]]+Tabela4[[#This Row],[SERVICOS]]</f>
        <v>107.5</v>
      </c>
      <c r="L316" s="155">
        <v>0</v>
      </c>
      <c r="M316" s="155">
        <v>0</v>
      </c>
      <c r="N316" s="67"/>
      <c r="O316" s="155">
        <v>0</v>
      </c>
      <c r="P316" s="155">
        <v>0</v>
      </c>
      <c r="Q316" s="155">
        <v>0</v>
      </c>
      <c r="R316" s="155">
        <v>0</v>
      </c>
      <c r="S316" s="154">
        <v>0</v>
      </c>
      <c r="T316" s="155">
        <v>0</v>
      </c>
      <c r="U316" s="155">
        <v>0</v>
      </c>
      <c r="V316" s="25"/>
      <c r="W316" s="22">
        <v>0</v>
      </c>
      <c r="X316" s="149">
        <v>0</v>
      </c>
      <c r="Y316" s="25"/>
      <c r="Z316" s="155">
        <v>0</v>
      </c>
      <c r="AA316" s="149">
        <f>Tabela4[[#This Row],[VALOR]]-Tabela4[[#This Row],[PNEUS]]-Tabela4[[#This Row],[BATERIA]]</f>
        <v>107.5</v>
      </c>
      <c r="AB316" s="27" t="s">
        <v>27</v>
      </c>
      <c r="AC316" s="30">
        <v>0</v>
      </c>
      <c r="AD316" s="162">
        <v>0</v>
      </c>
      <c r="AE316" s="162">
        <v>0</v>
      </c>
      <c r="AF316" s="162">
        <v>0</v>
      </c>
      <c r="AG316" s="162">
        <v>0</v>
      </c>
      <c r="AH316" s="162">
        <v>0</v>
      </c>
      <c r="AI316" s="162">
        <v>0</v>
      </c>
      <c r="AJ316" s="162">
        <v>0</v>
      </c>
    </row>
    <row r="317" spans="1:36" x14ac:dyDescent="0.25">
      <c r="A317" s="25" t="s">
        <v>550</v>
      </c>
      <c r="B317" s="25"/>
      <c r="C317" s="142">
        <v>45345</v>
      </c>
      <c r="D317" s="142">
        <v>45348</v>
      </c>
      <c r="E317">
        <f>Tabela4[[#This Row],[DATA FATURAMENTO]]-Tabela4[[#This Row],[DATA ORÇAMENTO]]</f>
        <v>3</v>
      </c>
      <c r="F317" s="25">
        <v>10696</v>
      </c>
      <c r="G317" s="25" t="s">
        <v>6</v>
      </c>
      <c r="H317" s="25"/>
      <c r="I317" s="155">
        <v>522.5</v>
      </c>
      <c r="J317" s="155">
        <v>0</v>
      </c>
      <c r="K317" s="153">
        <f>Tabela4[[#This Row],[PECAS]]+Tabela4[[#This Row],[SERVICOS]]</f>
        <v>522.5</v>
      </c>
      <c r="L317" s="155">
        <v>0</v>
      </c>
      <c r="M317" s="155">
        <v>0</v>
      </c>
      <c r="N317" s="67"/>
      <c r="O317" s="155">
        <v>0</v>
      </c>
      <c r="P317" s="155">
        <v>0</v>
      </c>
      <c r="Q317" s="155">
        <v>0</v>
      </c>
      <c r="R317" s="155">
        <v>0</v>
      </c>
      <c r="S317" s="154">
        <v>0</v>
      </c>
      <c r="T317" s="155">
        <v>0</v>
      </c>
      <c r="U317" s="155">
        <v>522.5</v>
      </c>
      <c r="V317" s="25" t="s">
        <v>640</v>
      </c>
      <c r="W317" s="22">
        <v>0</v>
      </c>
      <c r="X317" s="149">
        <v>0</v>
      </c>
      <c r="Y317" s="25"/>
      <c r="Z317" s="155">
        <v>0</v>
      </c>
      <c r="AA317" s="149">
        <f>Tabela4[[#This Row],[VALOR]]-Tabela4[[#This Row],[PNEUS]]-Tabela4[[#This Row],[BATERIA]]</f>
        <v>0</v>
      </c>
      <c r="AB317" s="27" t="s">
        <v>6</v>
      </c>
      <c r="AC317" s="30">
        <v>0</v>
      </c>
      <c r="AD317" s="162">
        <v>0</v>
      </c>
      <c r="AE317" s="162">
        <v>0</v>
      </c>
      <c r="AF317" s="162">
        <v>0</v>
      </c>
      <c r="AG317" s="162">
        <v>0</v>
      </c>
      <c r="AH317" s="162">
        <v>0</v>
      </c>
      <c r="AI317" s="162">
        <v>0</v>
      </c>
      <c r="AJ317" s="162">
        <v>0</v>
      </c>
    </row>
    <row r="318" spans="1:36" x14ac:dyDescent="0.25">
      <c r="A318" s="25" t="s">
        <v>551</v>
      </c>
      <c r="B318" s="25"/>
      <c r="C318" s="142">
        <v>45348</v>
      </c>
      <c r="D318" s="142">
        <v>45348</v>
      </c>
      <c r="E318">
        <f>Tabela4[[#This Row],[DATA FATURAMENTO]]-Tabela4[[#This Row],[DATA ORÇAMENTO]]</f>
        <v>0</v>
      </c>
      <c r="F318" s="25">
        <v>10710</v>
      </c>
      <c r="G318" s="25" t="s">
        <v>22</v>
      </c>
      <c r="H318" s="25"/>
      <c r="I318" s="155">
        <v>2237</v>
      </c>
      <c r="J318" s="155">
        <v>610</v>
      </c>
      <c r="K318" s="153">
        <f>Tabela4[[#This Row],[PECAS]]+Tabela4[[#This Row],[SERVICOS]]</f>
        <v>2847</v>
      </c>
      <c r="L318" s="155">
        <v>0</v>
      </c>
      <c r="M318" s="155">
        <v>0</v>
      </c>
      <c r="N318" s="67"/>
      <c r="O318" s="155">
        <v>0</v>
      </c>
      <c r="P318" s="155">
        <v>0</v>
      </c>
      <c r="Q318" s="155">
        <v>0</v>
      </c>
      <c r="R318" s="155">
        <v>0</v>
      </c>
      <c r="S318" s="154">
        <v>0</v>
      </c>
      <c r="T318" s="155">
        <v>0</v>
      </c>
      <c r="U318" s="155">
        <v>0</v>
      </c>
      <c r="V318" s="25"/>
      <c r="W318" s="28">
        <v>4</v>
      </c>
      <c r="X318" s="149">
        <v>0</v>
      </c>
      <c r="Y318" s="25" t="s">
        <v>638</v>
      </c>
      <c r="Z318" s="155">
        <v>0</v>
      </c>
      <c r="AA318" s="149">
        <f>Tabela4[[#This Row],[VALOR]]-Tabela4[[#This Row],[PNEUS]]-Tabela4[[#This Row],[BATERIA]]</f>
        <v>2847</v>
      </c>
      <c r="AB318" s="27" t="s">
        <v>32</v>
      </c>
      <c r="AC318" s="30">
        <v>0</v>
      </c>
      <c r="AD318" s="162">
        <v>0</v>
      </c>
      <c r="AE318" s="162">
        <v>0</v>
      </c>
      <c r="AF318" s="162">
        <v>0</v>
      </c>
      <c r="AG318" s="162">
        <v>0</v>
      </c>
      <c r="AH318" s="162">
        <v>0</v>
      </c>
      <c r="AI318" s="162">
        <v>0</v>
      </c>
      <c r="AJ318" s="162">
        <v>0</v>
      </c>
    </row>
    <row r="319" spans="1:36" x14ac:dyDescent="0.25">
      <c r="A319" s="25" t="s">
        <v>552</v>
      </c>
      <c r="B319" s="25"/>
      <c r="C319" s="142">
        <v>45348</v>
      </c>
      <c r="D319" s="142">
        <v>45348</v>
      </c>
      <c r="E319">
        <f>Tabela4[[#This Row],[DATA FATURAMENTO]]-Tabela4[[#This Row],[DATA ORÇAMENTO]]</f>
        <v>0</v>
      </c>
      <c r="F319" s="25">
        <v>10708</v>
      </c>
      <c r="G319" s="25" t="s">
        <v>39</v>
      </c>
      <c r="H319" s="25" t="s">
        <v>44</v>
      </c>
      <c r="I319" s="155">
        <v>20</v>
      </c>
      <c r="J319" s="155">
        <v>120.01</v>
      </c>
      <c r="K319" s="153">
        <f>Tabela4[[#This Row],[PECAS]]+Tabela4[[#This Row],[SERVICOS]]</f>
        <v>140.01</v>
      </c>
      <c r="L319" s="155">
        <v>0</v>
      </c>
      <c r="M319" s="155">
        <v>0</v>
      </c>
      <c r="N319" s="67"/>
      <c r="O319" s="155">
        <v>0</v>
      </c>
      <c r="P319" s="155">
        <v>0</v>
      </c>
      <c r="Q319" s="155">
        <v>0</v>
      </c>
      <c r="R319" s="155">
        <v>0</v>
      </c>
      <c r="S319" s="154">
        <v>0</v>
      </c>
      <c r="T319" s="155">
        <v>0</v>
      </c>
      <c r="U319" s="155">
        <v>0</v>
      </c>
      <c r="V319" s="25"/>
      <c r="W319" s="22">
        <v>0</v>
      </c>
      <c r="X319" s="149">
        <v>0</v>
      </c>
      <c r="Y319" s="25"/>
      <c r="Z319" s="155">
        <v>0</v>
      </c>
      <c r="AA319" s="149">
        <f>Tabela4[[#This Row],[VALOR]]-Tabela4[[#This Row],[PNEUS]]-Tabela4[[#This Row],[BATERIA]]</f>
        <v>140.01</v>
      </c>
      <c r="AB319" s="27" t="s">
        <v>27</v>
      </c>
      <c r="AC319" s="30">
        <v>0</v>
      </c>
      <c r="AD319" s="162">
        <v>0</v>
      </c>
      <c r="AE319" s="162">
        <v>0</v>
      </c>
      <c r="AF319" s="162">
        <v>0</v>
      </c>
      <c r="AG319" s="162">
        <v>0</v>
      </c>
      <c r="AH319" s="162">
        <v>0</v>
      </c>
      <c r="AI319" s="162">
        <v>0</v>
      </c>
      <c r="AJ319" s="162">
        <v>0</v>
      </c>
    </row>
    <row r="320" spans="1:36" x14ac:dyDescent="0.25">
      <c r="A320" s="25" t="s">
        <v>74</v>
      </c>
      <c r="B320" s="25"/>
      <c r="C320" s="142">
        <v>45348</v>
      </c>
      <c r="D320" s="142">
        <v>45348</v>
      </c>
      <c r="E320">
        <f>Tabela4[[#This Row],[DATA FATURAMENTO]]-Tabela4[[#This Row],[DATA ORÇAMENTO]]</f>
        <v>0</v>
      </c>
      <c r="F320" s="25">
        <v>10716</v>
      </c>
      <c r="G320" s="25" t="s">
        <v>22</v>
      </c>
      <c r="H320" s="25"/>
      <c r="I320" s="155">
        <v>0</v>
      </c>
      <c r="J320" s="155">
        <v>320</v>
      </c>
      <c r="K320" s="153">
        <f>Tabela4[[#This Row],[PECAS]]+Tabela4[[#This Row],[SERVICOS]]</f>
        <v>320</v>
      </c>
      <c r="L320" s="155">
        <v>0</v>
      </c>
      <c r="M320" s="155">
        <v>0</v>
      </c>
      <c r="N320" s="67"/>
      <c r="O320" s="155">
        <v>0</v>
      </c>
      <c r="P320" s="155">
        <v>0</v>
      </c>
      <c r="Q320" s="155">
        <v>0</v>
      </c>
      <c r="R320" s="155">
        <v>0</v>
      </c>
      <c r="S320" s="154">
        <v>0</v>
      </c>
      <c r="T320" s="155">
        <v>0</v>
      </c>
      <c r="U320" s="155">
        <v>0</v>
      </c>
      <c r="V320" s="25"/>
      <c r="W320" s="22">
        <v>0</v>
      </c>
      <c r="X320" s="149">
        <v>0</v>
      </c>
      <c r="Y320" s="25"/>
      <c r="Z320" s="155">
        <v>0</v>
      </c>
      <c r="AA320" s="149">
        <f>Tabela4[[#This Row],[VALOR]]-Tabela4[[#This Row],[PNEUS]]-Tabela4[[#This Row],[BATERIA]]</f>
        <v>320</v>
      </c>
      <c r="AB320" s="27" t="s">
        <v>30</v>
      </c>
      <c r="AC320" s="30">
        <v>0</v>
      </c>
      <c r="AD320" s="162">
        <v>0</v>
      </c>
      <c r="AE320" s="162">
        <v>0</v>
      </c>
      <c r="AF320" s="162">
        <v>0</v>
      </c>
      <c r="AG320" s="162">
        <v>0</v>
      </c>
      <c r="AH320" s="162">
        <v>0</v>
      </c>
      <c r="AI320" s="162">
        <v>0</v>
      </c>
      <c r="AJ320" s="162">
        <v>0</v>
      </c>
    </row>
    <row r="321" spans="1:36" x14ac:dyDescent="0.25">
      <c r="A321" s="25" t="s">
        <v>533</v>
      </c>
      <c r="B321" s="25"/>
      <c r="C321" s="142">
        <v>45348</v>
      </c>
      <c r="D321" s="142">
        <v>45348</v>
      </c>
      <c r="E321">
        <f>Tabela4[[#This Row],[DATA FATURAMENTO]]-Tabela4[[#This Row],[DATA ORÇAMENTO]]</f>
        <v>0</v>
      </c>
      <c r="F321" s="25">
        <v>10721</v>
      </c>
      <c r="G321" s="25" t="s">
        <v>22</v>
      </c>
      <c r="H321" s="25"/>
      <c r="I321" s="155">
        <v>20</v>
      </c>
      <c r="J321" s="155">
        <v>120</v>
      </c>
      <c r="K321" s="153">
        <f>Tabela4[[#This Row],[PECAS]]+Tabela4[[#This Row],[SERVICOS]]</f>
        <v>140</v>
      </c>
      <c r="L321" s="155">
        <v>0</v>
      </c>
      <c r="M321" s="155">
        <v>0</v>
      </c>
      <c r="N321" s="67"/>
      <c r="O321" s="155">
        <v>0</v>
      </c>
      <c r="P321" s="155">
        <v>0</v>
      </c>
      <c r="Q321" s="155">
        <v>0</v>
      </c>
      <c r="R321" s="155">
        <v>0</v>
      </c>
      <c r="S321" s="154">
        <v>0</v>
      </c>
      <c r="T321" s="155">
        <v>0</v>
      </c>
      <c r="U321" s="155">
        <v>0</v>
      </c>
      <c r="V321" s="25"/>
      <c r="W321" s="22">
        <v>0</v>
      </c>
      <c r="X321" s="149">
        <v>0</v>
      </c>
      <c r="Y321" s="25"/>
      <c r="Z321" s="155">
        <v>0</v>
      </c>
      <c r="AA321" s="149">
        <f>Tabela4[[#This Row],[VALOR]]-Tabela4[[#This Row],[PNEUS]]-Tabela4[[#This Row],[BATERIA]]</f>
        <v>140</v>
      </c>
      <c r="AB321" s="27" t="s">
        <v>27</v>
      </c>
      <c r="AC321" s="30">
        <v>0</v>
      </c>
      <c r="AD321" s="162">
        <v>0</v>
      </c>
      <c r="AE321" s="162">
        <v>0</v>
      </c>
      <c r="AF321" s="162">
        <v>0</v>
      </c>
      <c r="AG321" s="162">
        <v>0</v>
      </c>
      <c r="AH321" s="162">
        <v>0</v>
      </c>
      <c r="AI321" s="162">
        <v>0</v>
      </c>
      <c r="AJ321" s="162">
        <v>0</v>
      </c>
    </row>
    <row r="322" spans="1:36" x14ac:dyDescent="0.25">
      <c r="A322" s="25" t="s">
        <v>553</v>
      </c>
      <c r="B322" s="25"/>
      <c r="C322" s="142">
        <v>45348</v>
      </c>
      <c r="D322" s="142">
        <v>45348</v>
      </c>
      <c r="E322">
        <f>Tabela4[[#This Row],[DATA FATURAMENTO]]-Tabela4[[#This Row],[DATA ORÇAMENTO]]</f>
        <v>0</v>
      </c>
      <c r="F322" s="25">
        <v>10722</v>
      </c>
      <c r="G322" s="25" t="s">
        <v>22</v>
      </c>
      <c r="H322" s="25"/>
      <c r="I322" s="155">
        <v>255</v>
      </c>
      <c r="J322" s="155">
        <v>0</v>
      </c>
      <c r="K322" s="153">
        <f>Tabela4[[#This Row],[PECAS]]+Tabela4[[#This Row],[SERVICOS]]</f>
        <v>255</v>
      </c>
      <c r="L322" s="155">
        <v>0</v>
      </c>
      <c r="M322" s="155">
        <v>0</v>
      </c>
      <c r="N322" s="67"/>
      <c r="O322" s="155">
        <v>0</v>
      </c>
      <c r="P322" s="155">
        <v>0</v>
      </c>
      <c r="Q322" s="155">
        <v>0</v>
      </c>
      <c r="R322" s="155">
        <v>0</v>
      </c>
      <c r="S322" s="154">
        <v>0</v>
      </c>
      <c r="T322" s="155">
        <v>0</v>
      </c>
      <c r="U322" s="155">
        <v>0</v>
      </c>
      <c r="V322" s="25"/>
      <c r="W322" s="28">
        <v>4</v>
      </c>
      <c r="X322" s="149">
        <v>0</v>
      </c>
      <c r="Y322" s="25" t="s">
        <v>805</v>
      </c>
      <c r="Z322" s="155">
        <v>0</v>
      </c>
      <c r="AA322" s="149">
        <f>Tabela4[[#This Row],[VALOR]]-Tabela4[[#This Row],[PNEUS]]-Tabela4[[#This Row],[BATERIA]]</f>
        <v>255</v>
      </c>
      <c r="AB322" s="27" t="s">
        <v>27</v>
      </c>
      <c r="AC322" s="30">
        <v>0</v>
      </c>
      <c r="AD322" s="162">
        <v>0</v>
      </c>
      <c r="AE322" s="162">
        <v>0</v>
      </c>
      <c r="AF322" s="162">
        <v>0</v>
      </c>
      <c r="AG322" s="162">
        <v>0</v>
      </c>
      <c r="AH322" s="162">
        <v>0</v>
      </c>
      <c r="AI322" s="162">
        <v>0</v>
      </c>
      <c r="AJ322" s="162">
        <v>0</v>
      </c>
    </row>
    <row r="323" spans="1:36" x14ac:dyDescent="0.25">
      <c r="A323" s="25" t="s">
        <v>554</v>
      </c>
      <c r="B323" s="25"/>
      <c r="C323" s="142">
        <v>45342</v>
      </c>
      <c r="D323" s="142">
        <v>45349</v>
      </c>
      <c r="E323">
        <f>Tabela4[[#This Row],[DATA FATURAMENTO]]-Tabela4[[#This Row],[DATA ORÇAMENTO]]</f>
        <v>7</v>
      </c>
      <c r="F323" s="25">
        <v>10652</v>
      </c>
      <c r="G323" s="25" t="s">
        <v>31</v>
      </c>
      <c r="H323" s="25"/>
      <c r="I323" s="155">
        <v>1575.2</v>
      </c>
      <c r="J323" s="155">
        <v>1574.8</v>
      </c>
      <c r="K323" s="153">
        <f>Tabela4[[#This Row],[PECAS]]+Tabela4[[#This Row],[SERVICOS]]</f>
        <v>3150</v>
      </c>
      <c r="L323" s="155">
        <v>130</v>
      </c>
      <c r="M323" s="155">
        <v>0</v>
      </c>
      <c r="N323" s="67"/>
      <c r="O323" s="155">
        <v>0</v>
      </c>
      <c r="P323" s="155">
        <v>0</v>
      </c>
      <c r="Q323" s="155">
        <v>0</v>
      </c>
      <c r="R323" s="155">
        <v>0</v>
      </c>
      <c r="S323" s="154">
        <v>0</v>
      </c>
      <c r="T323" s="155">
        <v>0</v>
      </c>
      <c r="U323" s="155">
        <v>0</v>
      </c>
      <c r="V323" s="25"/>
      <c r="W323" s="28">
        <v>4</v>
      </c>
      <c r="X323" s="149">
        <v>0</v>
      </c>
      <c r="Y323" s="25" t="s">
        <v>805</v>
      </c>
      <c r="Z323" s="155">
        <v>0</v>
      </c>
      <c r="AA323" s="149">
        <f>Tabela4[[#This Row],[VALOR]]-Tabela4[[#This Row],[PNEUS]]-Tabela4[[#This Row],[BATERIA]]</f>
        <v>3150</v>
      </c>
      <c r="AB323" s="27" t="s">
        <v>34</v>
      </c>
      <c r="AC323" s="30">
        <v>0</v>
      </c>
      <c r="AD323" s="162">
        <v>0</v>
      </c>
      <c r="AE323" s="162">
        <v>0</v>
      </c>
      <c r="AF323" s="162">
        <v>0</v>
      </c>
      <c r="AG323" s="162">
        <v>0</v>
      </c>
      <c r="AH323" s="162">
        <v>0</v>
      </c>
      <c r="AI323" s="162">
        <v>0</v>
      </c>
      <c r="AJ323" s="162">
        <v>0</v>
      </c>
    </row>
    <row r="324" spans="1:36" x14ac:dyDescent="0.25">
      <c r="A324" s="25" t="s">
        <v>555</v>
      </c>
      <c r="B324" s="25"/>
      <c r="C324" s="142">
        <v>45348</v>
      </c>
      <c r="D324" s="142">
        <v>45349</v>
      </c>
      <c r="E324">
        <f>Tabela4[[#This Row],[DATA FATURAMENTO]]-Tabela4[[#This Row],[DATA ORÇAMENTO]]</f>
        <v>1</v>
      </c>
      <c r="F324" s="25">
        <v>10714</v>
      </c>
      <c r="G324" s="25" t="s">
        <v>35</v>
      </c>
      <c r="H324" s="25"/>
      <c r="I324" s="155">
        <v>2672.4</v>
      </c>
      <c r="J324" s="155">
        <v>680</v>
      </c>
      <c r="K324" s="153">
        <f>Tabela4[[#This Row],[PECAS]]+Tabela4[[#This Row],[SERVICOS]]</f>
        <v>3352.4</v>
      </c>
      <c r="L324" s="155">
        <v>0</v>
      </c>
      <c r="M324" s="155">
        <v>0</v>
      </c>
      <c r="N324" s="67"/>
      <c r="O324" s="155">
        <v>0</v>
      </c>
      <c r="P324" s="155">
        <v>0</v>
      </c>
      <c r="Q324" s="155">
        <v>0</v>
      </c>
      <c r="R324" s="155">
        <v>0</v>
      </c>
      <c r="S324" s="154">
        <v>0</v>
      </c>
      <c r="T324" s="155">
        <v>0</v>
      </c>
      <c r="U324" s="155">
        <v>0</v>
      </c>
      <c r="V324" s="25"/>
      <c r="W324" s="22">
        <v>0</v>
      </c>
      <c r="X324" s="149">
        <v>0</v>
      </c>
      <c r="Y324" s="25"/>
      <c r="Z324" s="155">
        <v>0</v>
      </c>
      <c r="AA324" s="149">
        <f>Tabela4[[#This Row],[VALOR]]-Tabela4[[#This Row],[PNEUS]]-Tabela4[[#This Row],[BATERIA]]</f>
        <v>3352.4</v>
      </c>
      <c r="AB324" s="27" t="s">
        <v>32</v>
      </c>
      <c r="AC324" s="30">
        <v>0</v>
      </c>
      <c r="AD324" s="162">
        <v>0</v>
      </c>
      <c r="AE324" s="162">
        <v>0</v>
      </c>
      <c r="AF324" s="162">
        <v>0</v>
      </c>
      <c r="AG324" s="162">
        <v>0</v>
      </c>
      <c r="AH324" s="162">
        <v>0</v>
      </c>
      <c r="AI324" s="162">
        <v>0</v>
      </c>
      <c r="AJ324" s="162">
        <v>0</v>
      </c>
    </row>
    <row r="325" spans="1:36" x14ac:dyDescent="0.25">
      <c r="A325" s="25" t="s">
        <v>556</v>
      </c>
      <c r="B325" s="25"/>
      <c r="C325" s="142">
        <v>45348</v>
      </c>
      <c r="D325" s="142">
        <v>45349</v>
      </c>
      <c r="E325">
        <f>Tabela4[[#This Row],[DATA FATURAMENTO]]-Tabela4[[#This Row],[DATA ORÇAMENTO]]</f>
        <v>1</v>
      </c>
      <c r="F325" s="25">
        <v>10723</v>
      </c>
      <c r="G325" s="25" t="s">
        <v>22</v>
      </c>
      <c r="H325" s="25"/>
      <c r="I325" s="155">
        <v>130</v>
      </c>
      <c r="J325" s="155">
        <v>170</v>
      </c>
      <c r="K325" s="153">
        <f>Tabela4[[#This Row],[PECAS]]+Tabela4[[#This Row],[SERVICOS]]</f>
        <v>300</v>
      </c>
      <c r="L325" s="155">
        <v>0</v>
      </c>
      <c r="M325" s="155">
        <v>0</v>
      </c>
      <c r="N325" s="67"/>
      <c r="O325" s="155">
        <v>0</v>
      </c>
      <c r="P325" s="155">
        <v>0</v>
      </c>
      <c r="Q325" s="155">
        <v>0</v>
      </c>
      <c r="R325" s="155">
        <v>0</v>
      </c>
      <c r="S325" s="154">
        <v>0</v>
      </c>
      <c r="T325" s="155">
        <v>0</v>
      </c>
      <c r="U325" s="155">
        <v>0</v>
      </c>
      <c r="V325" s="25"/>
      <c r="W325" s="22">
        <v>0</v>
      </c>
      <c r="X325" s="149">
        <v>0</v>
      </c>
      <c r="Y325" s="25"/>
      <c r="Z325" s="155">
        <v>0</v>
      </c>
      <c r="AA325" s="149">
        <f>Tabela4[[#This Row],[VALOR]]-Tabela4[[#This Row],[PNEUS]]-Tabela4[[#This Row],[BATERIA]]</f>
        <v>300</v>
      </c>
      <c r="AB325" s="27" t="s">
        <v>32</v>
      </c>
      <c r="AC325" s="30">
        <v>0</v>
      </c>
      <c r="AD325" s="162">
        <v>0</v>
      </c>
      <c r="AE325" s="162">
        <v>0</v>
      </c>
      <c r="AF325" s="162">
        <v>0</v>
      </c>
      <c r="AG325" s="162">
        <v>0</v>
      </c>
      <c r="AH325" s="162">
        <v>0</v>
      </c>
      <c r="AI325" s="162">
        <v>0</v>
      </c>
      <c r="AJ325" s="162">
        <v>0</v>
      </c>
    </row>
    <row r="326" spans="1:36" x14ac:dyDescent="0.25">
      <c r="A326" s="25" t="s">
        <v>557</v>
      </c>
      <c r="B326" s="25"/>
      <c r="C326" s="142">
        <v>45349</v>
      </c>
      <c r="D326" s="142">
        <v>45349</v>
      </c>
      <c r="E326">
        <f>Tabela4[[#This Row],[DATA FATURAMENTO]]-Tabela4[[#This Row],[DATA ORÇAMENTO]]</f>
        <v>0</v>
      </c>
      <c r="F326" s="25">
        <v>10725</v>
      </c>
      <c r="G326" s="25" t="s">
        <v>22</v>
      </c>
      <c r="H326" s="25"/>
      <c r="I326" s="155">
        <v>498</v>
      </c>
      <c r="J326" s="155">
        <v>0</v>
      </c>
      <c r="K326" s="153">
        <f>Tabela4[[#This Row],[PECAS]]+Tabela4[[#This Row],[SERVICOS]]</f>
        <v>498</v>
      </c>
      <c r="L326" s="155">
        <v>0</v>
      </c>
      <c r="M326" s="155">
        <v>0</v>
      </c>
      <c r="N326" s="67"/>
      <c r="O326" s="155">
        <v>0</v>
      </c>
      <c r="P326" s="155">
        <v>0</v>
      </c>
      <c r="Q326" s="155">
        <v>0</v>
      </c>
      <c r="R326" s="155">
        <v>0</v>
      </c>
      <c r="S326" s="154">
        <v>90</v>
      </c>
      <c r="T326" s="155">
        <v>0</v>
      </c>
      <c r="U326" s="155">
        <v>0</v>
      </c>
      <c r="V326" s="25"/>
      <c r="W326" s="28">
        <v>4</v>
      </c>
      <c r="X326" s="149">
        <v>0</v>
      </c>
      <c r="Y326" s="25" t="s">
        <v>804</v>
      </c>
      <c r="Z326" s="155">
        <v>0</v>
      </c>
      <c r="AA326" s="149">
        <f>Tabela4[[#This Row],[VALOR]]-Tabela4[[#This Row],[PNEUS]]-Tabela4[[#This Row],[BATERIA]]</f>
        <v>498</v>
      </c>
      <c r="AB326" s="27" t="s">
        <v>32</v>
      </c>
      <c r="AC326" s="30">
        <v>0</v>
      </c>
      <c r="AD326" s="162">
        <v>0</v>
      </c>
      <c r="AE326" s="162">
        <v>0</v>
      </c>
      <c r="AF326" s="162">
        <v>0</v>
      </c>
      <c r="AG326" s="162">
        <v>0</v>
      </c>
      <c r="AH326" s="162">
        <v>0</v>
      </c>
      <c r="AI326" s="162">
        <v>0</v>
      </c>
      <c r="AJ326" s="162">
        <v>0</v>
      </c>
    </row>
    <row r="327" spans="1:36" x14ac:dyDescent="0.25">
      <c r="A327" s="25" t="s">
        <v>558</v>
      </c>
      <c r="B327" s="25"/>
      <c r="C327" s="142">
        <v>45349</v>
      </c>
      <c r="D327" s="142">
        <v>45349</v>
      </c>
      <c r="E327">
        <f>Tabela4[[#This Row],[DATA FATURAMENTO]]-Tabela4[[#This Row],[DATA ORÇAMENTO]]</f>
        <v>0</v>
      </c>
      <c r="F327" s="25">
        <v>10726</v>
      </c>
      <c r="G327" s="25" t="s">
        <v>22</v>
      </c>
      <c r="H327" s="25"/>
      <c r="I327" s="155">
        <v>90</v>
      </c>
      <c r="J327" s="155">
        <v>680</v>
      </c>
      <c r="K327" s="153">
        <f>Tabela4[[#This Row],[PECAS]]+Tabela4[[#This Row],[SERVICOS]]</f>
        <v>770</v>
      </c>
      <c r="L327" s="155">
        <v>0</v>
      </c>
      <c r="M327" s="155">
        <v>0</v>
      </c>
      <c r="N327" s="67"/>
      <c r="O327" s="155">
        <v>0</v>
      </c>
      <c r="P327" s="155">
        <v>0</v>
      </c>
      <c r="Q327" s="155">
        <v>0</v>
      </c>
      <c r="R327" s="155">
        <v>0</v>
      </c>
      <c r="S327" s="154">
        <v>220</v>
      </c>
      <c r="T327" s="155">
        <v>0</v>
      </c>
      <c r="U327" s="155">
        <v>0</v>
      </c>
      <c r="V327" s="25"/>
      <c r="W327" s="22">
        <v>0</v>
      </c>
      <c r="X327" s="149">
        <v>0</v>
      </c>
      <c r="Y327" s="25"/>
      <c r="Z327" s="155">
        <v>0</v>
      </c>
      <c r="AA327" s="149">
        <f>Tabela4[[#This Row],[VALOR]]-Tabela4[[#This Row],[PNEUS]]-Tabela4[[#This Row],[BATERIA]]</f>
        <v>770</v>
      </c>
      <c r="AB327" s="27" t="s">
        <v>38</v>
      </c>
      <c r="AC327" s="30">
        <v>0</v>
      </c>
      <c r="AD327" s="162">
        <v>0</v>
      </c>
      <c r="AE327" s="162">
        <v>0</v>
      </c>
      <c r="AF327" s="162">
        <v>0</v>
      </c>
      <c r="AG327" s="162">
        <v>0</v>
      </c>
      <c r="AH327" s="162">
        <v>0</v>
      </c>
      <c r="AI327" s="162">
        <v>0</v>
      </c>
      <c r="AJ327" s="162">
        <v>0</v>
      </c>
    </row>
    <row r="328" spans="1:36" x14ac:dyDescent="0.25">
      <c r="A328" s="25" t="s">
        <v>559</v>
      </c>
      <c r="B328" s="25"/>
      <c r="C328" s="142">
        <v>45349</v>
      </c>
      <c r="D328" s="142">
        <v>45349</v>
      </c>
      <c r="E328">
        <f>Tabela4[[#This Row],[DATA FATURAMENTO]]-Tabela4[[#This Row],[DATA ORÇAMENTO]]</f>
        <v>0</v>
      </c>
      <c r="F328" s="25">
        <v>10727</v>
      </c>
      <c r="G328" s="25" t="s">
        <v>37</v>
      </c>
      <c r="H328" s="25"/>
      <c r="I328" s="155">
        <v>242.04</v>
      </c>
      <c r="J328" s="155">
        <v>466</v>
      </c>
      <c r="K328" s="153">
        <f>Tabela4[[#This Row],[PECAS]]+Tabela4[[#This Row],[SERVICOS]]</f>
        <v>708.04</v>
      </c>
      <c r="L328" s="155">
        <v>0</v>
      </c>
      <c r="M328" s="155">
        <f>22.95+40</f>
        <v>62.95</v>
      </c>
      <c r="N328" s="67"/>
      <c r="O328" s="155">
        <v>0</v>
      </c>
      <c r="P328" s="155">
        <v>0</v>
      </c>
      <c r="Q328" s="155">
        <v>0</v>
      </c>
      <c r="R328" s="155">
        <v>10</v>
      </c>
      <c r="S328" s="154">
        <v>173.36</v>
      </c>
      <c r="T328" s="155">
        <v>0</v>
      </c>
      <c r="U328" s="155">
        <v>0</v>
      </c>
      <c r="V328" s="25"/>
      <c r="W328" s="28">
        <v>4</v>
      </c>
      <c r="X328" s="149">
        <v>0</v>
      </c>
      <c r="Y328" s="25" t="s">
        <v>654</v>
      </c>
      <c r="Z328" s="155">
        <v>0</v>
      </c>
      <c r="AA328" s="149">
        <f>Tabela4[[#This Row],[VALOR]]-Tabela4[[#This Row],[PNEUS]]-Tabela4[[#This Row],[BATERIA]]</f>
        <v>708.04</v>
      </c>
      <c r="AB328" s="27" t="s">
        <v>34</v>
      </c>
      <c r="AC328" s="30">
        <v>0</v>
      </c>
      <c r="AD328" s="162">
        <v>0</v>
      </c>
      <c r="AE328" s="162">
        <v>0</v>
      </c>
      <c r="AF328" s="162">
        <v>0</v>
      </c>
      <c r="AG328" s="162">
        <v>0</v>
      </c>
      <c r="AH328" s="162">
        <v>0</v>
      </c>
      <c r="AI328" s="162">
        <v>0</v>
      </c>
      <c r="AJ328" s="162">
        <v>0</v>
      </c>
    </row>
    <row r="329" spans="1:36" x14ac:dyDescent="0.25">
      <c r="A329" s="25" t="s">
        <v>560</v>
      </c>
      <c r="B329" s="25"/>
      <c r="C329" s="142">
        <v>45349</v>
      </c>
      <c r="D329" s="142">
        <v>45349</v>
      </c>
      <c r="E329">
        <f>Tabela4[[#This Row],[DATA FATURAMENTO]]-Tabela4[[#This Row],[DATA ORÇAMENTO]]</f>
        <v>0</v>
      </c>
      <c r="F329" s="25">
        <v>10740</v>
      </c>
      <c r="G329" s="25" t="s">
        <v>22</v>
      </c>
      <c r="H329" s="25"/>
      <c r="I329" s="155">
        <v>98.6</v>
      </c>
      <c r="J329" s="155">
        <v>240.02</v>
      </c>
      <c r="K329" s="153">
        <f>Tabela4[[#This Row],[PECAS]]+Tabela4[[#This Row],[SERVICOS]]</f>
        <v>338.62</v>
      </c>
      <c r="L329" s="155">
        <v>0</v>
      </c>
      <c r="M329" s="155">
        <v>98.6</v>
      </c>
      <c r="N329" s="67"/>
      <c r="O329" s="155">
        <v>0</v>
      </c>
      <c r="P329" s="155">
        <v>0</v>
      </c>
      <c r="Q329" s="155">
        <v>0</v>
      </c>
      <c r="R329" s="155">
        <v>0</v>
      </c>
      <c r="S329" s="154">
        <v>0</v>
      </c>
      <c r="T329" s="155">
        <v>0</v>
      </c>
      <c r="U329" s="155">
        <v>0</v>
      </c>
      <c r="V329" s="25"/>
      <c r="W329" s="22">
        <v>0</v>
      </c>
      <c r="X329" s="149">
        <v>0</v>
      </c>
      <c r="Y329" s="25"/>
      <c r="Z329" s="155">
        <v>0</v>
      </c>
      <c r="AA329" s="149">
        <f>Tabela4[[#This Row],[VALOR]]-Tabela4[[#This Row],[PNEUS]]-Tabela4[[#This Row],[BATERIA]]</f>
        <v>338.62</v>
      </c>
      <c r="AB329" s="27" t="s">
        <v>30</v>
      </c>
      <c r="AC329" s="30">
        <v>0</v>
      </c>
      <c r="AD329" s="162">
        <v>0</v>
      </c>
      <c r="AE329" s="162">
        <v>0</v>
      </c>
      <c r="AF329" s="162">
        <v>0</v>
      </c>
      <c r="AG329" s="162">
        <v>0</v>
      </c>
      <c r="AH329" s="162">
        <v>0</v>
      </c>
      <c r="AI329" s="162">
        <v>0</v>
      </c>
      <c r="AJ329" s="162">
        <v>0</v>
      </c>
    </row>
    <row r="330" spans="1:36" x14ac:dyDescent="0.25">
      <c r="A330" s="25" t="s">
        <v>814</v>
      </c>
      <c r="B330" s="25"/>
      <c r="C330" s="142">
        <v>45349</v>
      </c>
      <c r="D330" s="142">
        <v>45349</v>
      </c>
      <c r="E330">
        <f>Tabela4[[#This Row],[DATA FATURAMENTO]]-Tabela4[[#This Row],[DATA ORÇAMENTO]]</f>
        <v>0</v>
      </c>
      <c r="F330" s="25">
        <v>10738</v>
      </c>
      <c r="G330" s="25" t="s">
        <v>6</v>
      </c>
      <c r="H330" s="25"/>
      <c r="I330" s="155">
        <v>522.5</v>
      </c>
      <c r="J330" s="155">
        <v>0</v>
      </c>
      <c r="K330" s="153">
        <f>Tabela4[[#This Row],[PECAS]]+Tabela4[[#This Row],[SERVICOS]]</f>
        <v>522.5</v>
      </c>
      <c r="L330" s="155">
        <v>0</v>
      </c>
      <c r="M330" s="155">
        <v>0</v>
      </c>
      <c r="N330" s="67"/>
      <c r="O330" s="155">
        <v>0</v>
      </c>
      <c r="P330" s="155">
        <v>0</v>
      </c>
      <c r="Q330" s="155">
        <v>0</v>
      </c>
      <c r="R330" s="155">
        <v>0</v>
      </c>
      <c r="S330" s="154">
        <v>0</v>
      </c>
      <c r="T330" s="155">
        <v>0</v>
      </c>
      <c r="U330" s="155">
        <v>522.5</v>
      </c>
      <c r="V330" s="25" t="s">
        <v>707</v>
      </c>
      <c r="W330" s="22">
        <v>0</v>
      </c>
      <c r="X330" s="149">
        <v>0</v>
      </c>
      <c r="Y330" s="25"/>
      <c r="Z330" s="155">
        <v>0</v>
      </c>
      <c r="AA330" s="149">
        <f>Tabela4[[#This Row],[VALOR]]-Tabela4[[#This Row],[PNEUS]]-Tabela4[[#This Row],[BATERIA]]</f>
        <v>0</v>
      </c>
      <c r="AB330" s="27" t="s">
        <v>6</v>
      </c>
      <c r="AC330" s="30">
        <v>0</v>
      </c>
      <c r="AD330" s="162">
        <v>0</v>
      </c>
      <c r="AE330" s="162">
        <v>0</v>
      </c>
      <c r="AF330" s="162">
        <v>0</v>
      </c>
      <c r="AG330" s="162">
        <v>0</v>
      </c>
      <c r="AH330" s="162">
        <v>0</v>
      </c>
      <c r="AI330" s="162">
        <v>0</v>
      </c>
      <c r="AJ330" s="162">
        <v>0</v>
      </c>
    </row>
    <row r="331" spans="1:36" x14ac:dyDescent="0.25">
      <c r="A331" s="25" t="s">
        <v>561</v>
      </c>
      <c r="B331" s="25"/>
      <c r="C331" s="142">
        <v>45349</v>
      </c>
      <c r="D331" s="142">
        <v>45350</v>
      </c>
      <c r="E331">
        <f>Tabela4[[#This Row],[DATA FATURAMENTO]]-Tabela4[[#This Row],[DATA ORÇAMENTO]]</f>
        <v>1</v>
      </c>
      <c r="F331" s="25">
        <v>10730</v>
      </c>
      <c r="G331" s="25" t="s">
        <v>22</v>
      </c>
      <c r="H331" s="25"/>
      <c r="I331" s="155">
        <v>0</v>
      </c>
      <c r="J331" s="155">
        <v>180</v>
      </c>
      <c r="K331" s="153">
        <f>Tabela4[[#This Row],[PECAS]]+Tabela4[[#This Row],[SERVICOS]]</f>
        <v>180</v>
      </c>
      <c r="L331" s="155">
        <v>0</v>
      </c>
      <c r="M331" s="155">
        <v>0</v>
      </c>
      <c r="N331" s="67"/>
      <c r="O331" s="155">
        <v>0</v>
      </c>
      <c r="P331" s="155">
        <v>0</v>
      </c>
      <c r="Q331" s="155">
        <v>0</v>
      </c>
      <c r="R331" s="155">
        <v>0</v>
      </c>
      <c r="S331" s="154">
        <v>0</v>
      </c>
      <c r="T331" s="155">
        <v>0</v>
      </c>
      <c r="U331" s="155">
        <v>0</v>
      </c>
      <c r="V331" s="25"/>
      <c r="W331" s="22">
        <v>0</v>
      </c>
      <c r="X331" s="149">
        <v>0</v>
      </c>
      <c r="Y331" s="25"/>
      <c r="Z331" s="155">
        <v>0</v>
      </c>
      <c r="AA331" s="149">
        <f>Tabela4[[#This Row],[VALOR]]-Tabela4[[#This Row],[PNEUS]]-Tabela4[[#This Row],[BATERIA]]</f>
        <v>180</v>
      </c>
      <c r="AB331" s="27" t="s">
        <v>30</v>
      </c>
      <c r="AC331" s="30">
        <v>0</v>
      </c>
      <c r="AD331" s="162">
        <v>0</v>
      </c>
      <c r="AE331" s="162">
        <v>0</v>
      </c>
      <c r="AF331" s="162">
        <v>0</v>
      </c>
      <c r="AG331" s="162">
        <v>0</v>
      </c>
      <c r="AH331" s="162">
        <v>0</v>
      </c>
      <c r="AI331" s="162">
        <v>0</v>
      </c>
      <c r="AJ331" s="162">
        <v>0</v>
      </c>
    </row>
    <row r="332" spans="1:36" x14ac:dyDescent="0.25">
      <c r="A332" s="25" t="s">
        <v>562</v>
      </c>
      <c r="B332" s="25"/>
      <c r="C332" s="142">
        <v>45350</v>
      </c>
      <c r="D332" s="142">
        <v>45350</v>
      </c>
      <c r="E332">
        <f>Tabela4[[#This Row],[DATA FATURAMENTO]]-Tabela4[[#This Row],[DATA ORÇAMENTO]]</f>
        <v>0</v>
      </c>
      <c r="F332" s="25">
        <v>10741</v>
      </c>
      <c r="G332" s="25" t="s">
        <v>6</v>
      </c>
      <c r="H332" s="25"/>
      <c r="I332" s="155">
        <v>535</v>
      </c>
      <c r="J332" s="155">
        <v>0</v>
      </c>
      <c r="K332" s="153">
        <f>Tabela4[[#This Row],[PECAS]]+Tabela4[[#This Row],[SERVICOS]]</f>
        <v>535</v>
      </c>
      <c r="L332" s="155">
        <v>0</v>
      </c>
      <c r="M332" s="155">
        <v>0</v>
      </c>
      <c r="N332" s="67"/>
      <c r="O332" s="155">
        <v>0</v>
      </c>
      <c r="P332" s="155">
        <v>0</v>
      </c>
      <c r="Q332" s="155">
        <v>0</v>
      </c>
      <c r="R332" s="155">
        <v>0</v>
      </c>
      <c r="S332" s="154">
        <v>0</v>
      </c>
      <c r="T332" s="155">
        <v>0</v>
      </c>
      <c r="U332" s="155">
        <v>535</v>
      </c>
      <c r="V332" s="25" t="s">
        <v>806</v>
      </c>
      <c r="W332" s="22">
        <v>0</v>
      </c>
      <c r="X332" s="149">
        <v>0</v>
      </c>
      <c r="Y332" s="25"/>
      <c r="Z332" s="155">
        <v>0</v>
      </c>
      <c r="AA332" s="149">
        <f>Tabela4[[#This Row],[VALOR]]-Tabela4[[#This Row],[PNEUS]]-Tabela4[[#This Row],[BATERIA]]</f>
        <v>0</v>
      </c>
      <c r="AB332" s="27" t="s">
        <v>6</v>
      </c>
      <c r="AC332" s="30">
        <v>0</v>
      </c>
      <c r="AD332" s="162">
        <v>0</v>
      </c>
      <c r="AE332" s="162">
        <v>0</v>
      </c>
      <c r="AF332" s="162">
        <v>0</v>
      </c>
      <c r="AG332" s="162">
        <v>0</v>
      </c>
      <c r="AH332" s="162">
        <v>0</v>
      </c>
      <c r="AI332" s="162">
        <v>0</v>
      </c>
      <c r="AJ332" s="162">
        <v>0</v>
      </c>
    </row>
    <row r="333" spans="1:36" x14ac:dyDescent="0.25">
      <c r="A333" s="25" t="s">
        <v>563</v>
      </c>
      <c r="B333" s="25"/>
      <c r="C333" s="142">
        <v>45350</v>
      </c>
      <c r="D333" s="142">
        <v>45350</v>
      </c>
      <c r="E333">
        <f>Tabela4[[#This Row],[DATA FATURAMENTO]]-Tabela4[[#This Row],[DATA ORÇAMENTO]]</f>
        <v>0</v>
      </c>
      <c r="F333" s="25">
        <v>10743</v>
      </c>
      <c r="G333" s="25" t="s">
        <v>31</v>
      </c>
      <c r="H333" s="25"/>
      <c r="I333" s="155">
        <v>607</v>
      </c>
      <c r="J333" s="155">
        <v>80</v>
      </c>
      <c r="K333" s="153">
        <f>Tabela4[[#This Row],[PECAS]]+Tabela4[[#This Row],[SERVICOS]]</f>
        <v>687</v>
      </c>
      <c r="L333" s="155">
        <v>0</v>
      </c>
      <c r="M333" s="155">
        <v>0</v>
      </c>
      <c r="N333" s="67"/>
      <c r="O333" s="155">
        <v>0</v>
      </c>
      <c r="P333" s="155">
        <v>0</v>
      </c>
      <c r="Q333" s="155">
        <v>0</v>
      </c>
      <c r="R333" s="155">
        <v>0</v>
      </c>
      <c r="S333" s="154">
        <v>0</v>
      </c>
      <c r="T333" s="155">
        <v>0</v>
      </c>
      <c r="U333" s="155">
        <v>0</v>
      </c>
      <c r="V333" s="25"/>
      <c r="W333" s="28">
        <v>5</v>
      </c>
      <c r="X333" s="149">
        <v>0</v>
      </c>
      <c r="Y333" s="25" t="s">
        <v>807</v>
      </c>
      <c r="Z333" s="155">
        <v>0</v>
      </c>
      <c r="AA333" s="149">
        <f>Tabela4[[#This Row],[VALOR]]-Tabela4[[#This Row],[PNEUS]]-Tabela4[[#This Row],[BATERIA]]</f>
        <v>687</v>
      </c>
      <c r="AB333" s="27" t="s">
        <v>30</v>
      </c>
      <c r="AC333" s="30">
        <v>0</v>
      </c>
      <c r="AD333" s="162">
        <v>0</v>
      </c>
      <c r="AE333" s="162">
        <v>0</v>
      </c>
      <c r="AF333" s="162">
        <v>0</v>
      </c>
      <c r="AG333" s="162">
        <v>0</v>
      </c>
      <c r="AH333" s="162">
        <v>0</v>
      </c>
      <c r="AI333" s="162">
        <v>0</v>
      </c>
      <c r="AJ333" s="162">
        <v>0</v>
      </c>
    </row>
    <row r="334" spans="1:36" x14ac:dyDescent="0.25">
      <c r="A334" s="25" t="s">
        <v>564</v>
      </c>
      <c r="B334" s="25"/>
      <c r="C334" s="142">
        <v>45350</v>
      </c>
      <c r="D334" s="142">
        <v>45350</v>
      </c>
      <c r="E334">
        <f>Tabela4[[#This Row],[DATA FATURAMENTO]]-Tabela4[[#This Row],[DATA ORÇAMENTO]]</f>
        <v>0</v>
      </c>
      <c r="F334" s="25">
        <v>10744</v>
      </c>
      <c r="G334" s="25" t="s">
        <v>31</v>
      </c>
      <c r="H334" s="25"/>
      <c r="I334" s="155">
        <v>1304.7</v>
      </c>
      <c r="J334" s="155">
        <v>195.3</v>
      </c>
      <c r="K334" s="153">
        <f>Tabela4[[#This Row],[PECAS]]+Tabela4[[#This Row],[SERVICOS]]</f>
        <v>1500</v>
      </c>
      <c r="L334" s="155">
        <v>0</v>
      </c>
      <c r="M334" s="155">
        <v>0</v>
      </c>
      <c r="N334" s="67"/>
      <c r="O334" s="155">
        <v>0</v>
      </c>
      <c r="P334" s="155">
        <v>0</v>
      </c>
      <c r="Q334" s="155">
        <v>0</v>
      </c>
      <c r="R334" s="155">
        <v>0</v>
      </c>
      <c r="S334" s="154">
        <v>90</v>
      </c>
      <c r="T334" s="155">
        <v>0</v>
      </c>
      <c r="U334" s="155">
        <v>0</v>
      </c>
      <c r="V334" s="25"/>
      <c r="W334" s="28">
        <v>4</v>
      </c>
      <c r="X334" s="149">
        <v>0</v>
      </c>
      <c r="Y334" s="25" t="s">
        <v>807</v>
      </c>
      <c r="Z334" s="155">
        <v>0</v>
      </c>
      <c r="AA334" s="149">
        <f>Tabela4[[#This Row],[VALOR]]-Tabela4[[#This Row],[PNEUS]]-Tabela4[[#This Row],[BATERIA]]</f>
        <v>1500</v>
      </c>
      <c r="AB334" s="27" t="s">
        <v>32</v>
      </c>
      <c r="AC334" s="30">
        <v>0</v>
      </c>
      <c r="AD334" s="162">
        <v>0</v>
      </c>
      <c r="AE334" s="162">
        <v>0</v>
      </c>
      <c r="AF334" s="162">
        <v>0</v>
      </c>
      <c r="AG334" s="162">
        <v>0</v>
      </c>
      <c r="AH334" s="162">
        <v>0</v>
      </c>
      <c r="AI334" s="162">
        <v>0</v>
      </c>
      <c r="AJ334" s="162">
        <v>0</v>
      </c>
    </row>
    <row r="335" spans="1:36" x14ac:dyDescent="0.25">
      <c r="A335" s="25" t="s">
        <v>565</v>
      </c>
      <c r="B335" s="25"/>
      <c r="C335" s="142">
        <v>45350</v>
      </c>
      <c r="D335" s="142">
        <v>45350</v>
      </c>
      <c r="E335">
        <f>Tabela4[[#This Row],[DATA FATURAMENTO]]-Tabela4[[#This Row],[DATA ORÇAMENTO]]</f>
        <v>0</v>
      </c>
      <c r="F335" s="25">
        <v>10747</v>
      </c>
      <c r="G335" s="25" t="s">
        <v>22</v>
      </c>
      <c r="H335" s="25"/>
      <c r="I335" s="155">
        <v>0</v>
      </c>
      <c r="J335" s="155">
        <v>490</v>
      </c>
      <c r="K335" s="153">
        <f>Tabela4[[#This Row],[PECAS]]+Tabela4[[#This Row],[SERVICOS]]</f>
        <v>490</v>
      </c>
      <c r="L335" s="155">
        <v>0</v>
      </c>
      <c r="M335" s="155">
        <v>0</v>
      </c>
      <c r="N335" s="67"/>
      <c r="O335" s="155">
        <v>0</v>
      </c>
      <c r="P335" s="155">
        <v>0</v>
      </c>
      <c r="Q335" s="155">
        <v>0</v>
      </c>
      <c r="R335" s="155">
        <v>0</v>
      </c>
      <c r="S335" s="154">
        <v>0</v>
      </c>
      <c r="T335" s="155">
        <v>0</v>
      </c>
      <c r="U335" s="155">
        <v>0</v>
      </c>
      <c r="V335" s="25"/>
      <c r="W335" s="22">
        <v>0</v>
      </c>
      <c r="X335" s="149">
        <v>0</v>
      </c>
      <c r="Y335" s="25"/>
      <c r="Z335" s="155">
        <v>0</v>
      </c>
      <c r="AA335" s="149">
        <f>Tabela4[[#This Row],[VALOR]]-Tabela4[[#This Row],[PNEUS]]-Tabela4[[#This Row],[BATERIA]]</f>
        <v>490</v>
      </c>
      <c r="AB335" s="27" t="s">
        <v>38</v>
      </c>
      <c r="AC335" s="30">
        <v>0</v>
      </c>
      <c r="AD335" s="162">
        <v>0</v>
      </c>
      <c r="AE335" s="162">
        <v>0</v>
      </c>
      <c r="AF335" s="162">
        <v>0</v>
      </c>
      <c r="AG335" s="162">
        <v>0</v>
      </c>
      <c r="AH335" s="162">
        <v>0</v>
      </c>
      <c r="AI335" s="162">
        <v>0</v>
      </c>
      <c r="AJ335" s="162">
        <v>0</v>
      </c>
    </row>
    <row r="336" spans="1:36" x14ac:dyDescent="0.25">
      <c r="A336" s="25" t="s">
        <v>563</v>
      </c>
      <c r="B336" s="25"/>
      <c r="C336" s="142">
        <v>45350</v>
      </c>
      <c r="D336" s="142">
        <v>45350</v>
      </c>
      <c r="E336">
        <f>Tabela4[[#This Row],[DATA FATURAMENTO]]-Tabela4[[#This Row],[DATA ORÇAMENTO]]</f>
        <v>0</v>
      </c>
      <c r="F336" s="25">
        <v>10749</v>
      </c>
      <c r="G336" s="25" t="s">
        <v>31</v>
      </c>
      <c r="H336" s="25"/>
      <c r="I336" s="155">
        <v>0</v>
      </c>
      <c r="J336" s="155">
        <v>240</v>
      </c>
      <c r="K336" s="153">
        <f>Tabela4[[#This Row],[PECAS]]+Tabela4[[#This Row],[SERVICOS]]</f>
        <v>240</v>
      </c>
      <c r="L336" s="155">
        <v>0</v>
      </c>
      <c r="M336" s="155">
        <v>0</v>
      </c>
      <c r="N336" s="67"/>
      <c r="O336" s="155">
        <v>0</v>
      </c>
      <c r="P336" s="155">
        <v>0</v>
      </c>
      <c r="Q336" s="155">
        <v>0</v>
      </c>
      <c r="R336" s="155">
        <v>0</v>
      </c>
      <c r="S336" s="154">
        <v>240</v>
      </c>
      <c r="T336" s="155">
        <v>0</v>
      </c>
      <c r="U336" s="155">
        <v>0</v>
      </c>
      <c r="V336" s="25"/>
      <c r="W336" s="22">
        <v>0</v>
      </c>
      <c r="X336" s="149">
        <v>0</v>
      </c>
      <c r="Y336" s="25"/>
      <c r="Z336" s="155">
        <v>0</v>
      </c>
      <c r="AA336" s="149">
        <f>Tabela4[[#This Row],[VALOR]]-Tabela4[[#This Row],[PNEUS]]-Tabela4[[#This Row],[BATERIA]]</f>
        <v>240</v>
      </c>
      <c r="AB336" s="27" t="s">
        <v>38</v>
      </c>
      <c r="AC336" s="30">
        <v>0</v>
      </c>
      <c r="AD336" s="162">
        <v>0</v>
      </c>
      <c r="AE336" s="162">
        <v>0</v>
      </c>
      <c r="AF336" s="162">
        <v>0</v>
      </c>
      <c r="AG336" s="162">
        <v>0</v>
      </c>
      <c r="AH336" s="162">
        <v>0</v>
      </c>
      <c r="AI336" s="162">
        <v>0</v>
      </c>
      <c r="AJ336" s="162">
        <v>0</v>
      </c>
    </row>
    <row r="337" spans="1:36" x14ac:dyDescent="0.25">
      <c r="A337" s="25" t="s">
        <v>235</v>
      </c>
      <c r="B337" s="25"/>
      <c r="C337" s="142">
        <v>45350</v>
      </c>
      <c r="D337" s="142">
        <v>45350</v>
      </c>
      <c r="E337">
        <f>Tabela4[[#This Row],[DATA FATURAMENTO]]-Tabela4[[#This Row],[DATA ORÇAMENTO]]</f>
        <v>0</v>
      </c>
      <c r="F337" s="25">
        <v>10751</v>
      </c>
      <c r="G337" s="25" t="s">
        <v>35</v>
      </c>
      <c r="H337" s="25"/>
      <c r="I337" s="155">
        <v>50</v>
      </c>
      <c r="J337" s="155">
        <v>0</v>
      </c>
      <c r="K337" s="153">
        <f>Tabela4[[#This Row],[PECAS]]+Tabela4[[#This Row],[SERVICOS]]</f>
        <v>50</v>
      </c>
      <c r="L337" s="155">
        <v>0</v>
      </c>
      <c r="M337" s="155">
        <v>0</v>
      </c>
      <c r="N337" s="67"/>
      <c r="O337" s="155">
        <v>0</v>
      </c>
      <c r="P337" s="155">
        <v>0</v>
      </c>
      <c r="Q337" s="155">
        <v>0</v>
      </c>
      <c r="R337" s="155">
        <v>0</v>
      </c>
      <c r="S337" s="154">
        <v>0</v>
      </c>
      <c r="T337" s="155">
        <v>0</v>
      </c>
      <c r="U337" s="155">
        <v>0</v>
      </c>
      <c r="V337" s="25"/>
      <c r="W337" s="22">
        <v>0</v>
      </c>
      <c r="X337" s="149">
        <v>0</v>
      </c>
      <c r="Y337" s="25"/>
      <c r="Z337" s="155">
        <v>0</v>
      </c>
      <c r="AA337" s="149">
        <f>Tabela4[[#This Row],[VALOR]]-Tabela4[[#This Row],[PNEUS]]-Tabela4[[#This Row],[BATERIA]]</f>
        <v>50</v>
      </c>
      <c r="AB337" s="27" t="s">
        <v>27</v>
      </c>
      <c r="AC337" s="30">
        <v>0</v>
      </c>
      <c r="AD337" s="162">
        <v>0</v>
      </c>
      <c r="AE337" s="162">
        <v>0</v>
      </c>
      <c r="AF337" s="162">
        <v>0</v>
      </c>
      <c r="AG337" s="162">
        <v>0</v>
      </c>
      <c r="AH337" s="162">
        <v>0</v>
      </c>
      <c r="AI337" s="162">
        <v>0</v>
      </c>
      <c r="AJ337" s="162">
        <v>0</v>
      </c>
    </row>
    <row r="338" spans="1:36" x14ac:dyDescent="0.25">
      <c r="A338" s="25" t="s">
        <v>566</v>
      </c>
      <c r="B338" s="25"/>
      <c r="C338" s="142">
        <v>45323</v>
      </c>
      <c r="D338" s="142">
        <v>45351</v>
      </c>
      <c r="E338">
        <f>Tabela4[[#This Row],[DATA FATURAMENTO]]-Tabela4[[#This Row],[DATA ORÇAMENTO]]</f>
        <v>28</v>
      </c>
      <c r="F338" s="25">
        <v>10503</v>
      </c>
      <c r="G338" s="25" t="s">
        <v>316</v>
      </c>
      <c r="H338" s="25"/>
      <c r="I338" s="155">
        <v>0</v>
      </c>
      <c r="J338" s="155">
        <v>70</v>
      </c>
      <c r="K338" s="153">
        <f>Tabela4[[#This Row],[PECAS]]+Tabela4[[#This Row],[SERVICOS]]</f>
        <v>70</v>
      </c>
      <c r="L338" s="155">
        <v>0</v>
      </c>
      <c r="M338" s="155">
        <v>0</v>
      </c>
      <c r="N338" s="67"/>
      <c r="O338" s="155">
        <v>0</v>
      </c>
      <c r="P338" s="155">
        <v>0</v>
      </c>
      <c r="Q338" s="155">
        <v>0</v>
      </c>
      <c r="R338" s="155">
        <v>0</v>
      </c>
      <c r="S338" s="154">
        <v>0</v>
      </c>
      <c r="T338" s="155">
        <v>0</v>
      </c>
      <c r="U338" s="155">
        <v>0</v>
      </c>
      <c r="V338" s="25"/>
      <c r="W338" s="22">
        <v>0</v>
      </c>
      <c r="X338" s="149">
        <v>0</v>
      </c>
      <c r="Y338" s="25"/>
      <c r="Z338" s="155">
        <v>0</v>
      </c>
      <c r="AA338" s="149">
        <f>Tabela4[[#This Row],[VALOR]]-Tabela4[[#This Row],[PNEUS]]-Tabela4[[#This Row],[BATERIA]]</f>
        <v>70</v>
      </c>
      <c r="AB338" s="27" t="s">
        <v>27</v>
      </c>
      <c r="AC338" s="30">
        <v>0</v>
      </c>
      <c r="AD338" s="162">
        <v>0</v>
      </c>
      <c r="AE338" s="162">
        <v>0</v>
      </c>
      <c r="AF338" s="162">
        <v>0</v>
      </c>
      <c r="AG338" s="162">
        <v>0</v>
      </c>
      <c r="AH338" s="162">
        <v>0</v>
      </c>
      <c r="AI338" s="162">
        <v>0</v>
      </c>
      <c r="AJ338" s="162">
        <v>0</v>
      </c>
    </row>
    <row r="339" spans="1:36" x14ac:dyDescent="0.25">
      <c r="A339" s="25" t="s">
        <v>567</v>
      </c>
      <c r="B339" s="25"/>
      <c r="C339" s="142">
        <v>45328</v>
      </c>
      <c r="D339" s="142">
        <v>45351</v>
      </c>
      <c r="E339">
        <f>Tabela4[[#This Row],[DATA FATURAMENTO]]-Tabela4[[#This Row],[DATA ORÇAMENTO]]</f>
        <v>23</v>
      </c>
      <c r="F339" s="25">
        <v>10551</v>
      </c>
      <c r="G339" s="25" t="s">
        <v>316</v>
      </c>
      <c r="H339" s="25"/>
      <c r="I339" s="155">
        <v>0</v>
      </c>
      <c r="J339" s="155">
        <v>70</v>
      </c>
      <c r="K339" s="153">
        <f>Tabela4[[#This Row],[PECAS]]+Tabela4[[#This Row],[SERVICOS]]</f>
        <v>70</v>
      </c>
      <c r="L339" s="155">
        <v>0</v>
      </c>
      <c r="M339" s="155">
        <v>0</v>
      </c>
      <c r="N339" s="67"/>
      <c r="O339" s="155">
        <v>0</v>
      </c>
      <c r="P339" s="155">
        <v>0</v>
      </c>
      <c r="Q339" s="155">
        <v>0</v>
      </c>
      <c r="R339" s="155">
        <v>0</v>
      </c>
      <c r="S339" s="154">
        <v>0</v>
      </c>
      <c r="T339" s="155">
        <v>0</v>
      </c>
      <c r="U339" s="155">
        <v>0</v>
      </c>
      <c r="V339" s="25"/>
      <c r="W339" s="22">
        <v>0</v>
      </c>
      <c r="X339" s="149">
        <v>0</v>
      </c>
      <c r="Y339" s="25"/>
      <c r="Z339" s="155">
        <v>0</v>
      </c>
      <c r="AA339" s="149">
        <f>Tabela4[[#This Row],[VALOR]]-Tabela4[[#This Row],[PNEUS]]-Tabela4[[#This Row],[BATERIA]]</f>
        <v>70</v>
      </c>
      <c r="AB339" s="27" t="s">
        <v>30</v>
      </c>
      <c r="AC339" s="30">
        <v>0</v>
      </c>
      <c r="AD339" s="162">
        <v>0</v>
      </c>
      <c r="AE339" s="162">
        <v>0</v>
      </c>
      <c r="AF339" s="162">
        <v>0</v>
      </c>
      <c r="AG339" s="162">
        <v>0</v>
      </c>
      <c r="AH339" s="162">
        <v>0</v>
      </c>
      <c r="AI339" s="162">
        <v>0</v>
      </c>
      <c r="AJ339" s="162">
        <v>0</v>
      </c>
    </row>
    <row r="340" spans="1:36" x14ac:dyDescent="0.25">
      <c r="A340" s="25" t="s">
        <v>568</v>
      </c>
      <c r="B340" s="25"/>
      <c r="C340" s="142">
        <v>45331</v>
      </c>
      <c r="D340" s="142">
        <v>45351</v>
      </c>
      <c r="E340">
        <f>Tabela4[[#This Row],[DATA FATURAMENTO]]-Tabela4[[#This Row],[DATA ORÇAMENTO]]</f>
        <v>20</v>
      </c>
      <c r="F340" s="25">
        <v>10582</v>
      </c>
      <c r="G340" s="25" t="s">
        <v>33</v>
      </c>
      <c r="H340" s="25"/>
      <c r="I340" s="155">
        <v>1895.1</v>
      </c>
      <c r="J340" s="155">
        <v>1234.9000000000001</v>
      </c>
      <c r="K340" s="153">
        <f>Tabela4[[#This Row],[PECAS]]+Tabela4[[#This Row],[SERVICOS]]</f>
        <v>3130</v>
      </c>
      <c r="L340" s="155">
        <v>0</v>
      </c>
      <c r="M340" s="155">
        <f>115.5</f>
        <v>115.5</v>
      </c>
      <c r="N340" s="67"/>
      <c r="O340" s="155">
        <v>0</v>
      </c>
      <c r="P340" s="155">
        <v>0</v>
      </c>
      <c r="Q340" s="155">
        <v>0</v>
      </c>
      <c r="R340" s="155">
        <v>0</v>
      </c>
      <c r="S340" s="154">
        <v>0</v>
      </c>
      <c r="T340" s="155">
        <v>0</v>
      </c>
      <c r="U340" s="155">
        <v>0</v>
      </c>
      <c r="V340" s="25"/>
      <c r="W340" s="22">
        <v>0</v>
      </c>
      <c r="X340" s="149">
        <v>0</v>
      </c>
      <c r="Y340" s="25"/>
      <c r="Z340" s="155">
        <v>0</v>
      </c>
      <c r="AA340" s="149">
        <f>Tabela4[[#This Row],[VALOR]]-Tabela4[[#This Row],[PNEUS]]-Tabela4[[#This Row],[BATERIA]]</f>
        <v>3130</v>
      </c>
      <c r="AB340" s="27" t="s">
        <v>30</v>
      </c>
      <c r="AC340" s="30">
        <v>0</v>
      </c>
      <c r="AD340" s="162">
        <v>0</v>
      </c>
      <c r="AE340" s="162">
        <v>0</v>
      </c>
      <c r="AF340" s="162">
        <v>0</v>
      </c>
      <c r="AG340" s="162">
        <v>0</v>
      </c>
      <c r="AH340" s="162">
        <v>0</v>
      </c>
      <c r="AI340" s="162">
        <v>0</v>
      </c>
      <c r="AJ340" s="162">
        <v>0</v>
      </c>
    </row>
    <row r="341" spans="1:36" x14ac:dyDescent="0.25">
      <c r="A341" s="25" t="s">
        <v>569</v>
      </c>
      <c r="B341" s="25"/>
      <c r="C341" s="142">
        <v>45337</v>
      </c>
      <c r="D341" s="142">
        <v>45351</v>
      </c>
      <c r="E341">
        <f>Tabela4[[#This Row],[DATA FATURAMENTO]]-Tabela4[[#This Row],[DATA ORÇAMENTO]]</f>
        <v>14</v>
      </c>
      <c r="F341" s="25">
        <v>10607</v>
      </c>
      <c r="G341" s="25" t="s">
        <v>316</v>
      </c>
      <c r="H341" s="25"/>
      <c r="I341" s="155">
        <v>0</v>
      </c>
      <c r="J341" s="155">
        <v>70</v>
      </c>
      <c r="K341" s="153">
        <f>Tabela4[[#This Row],[PECAS]]+Tabela4[[#This Row],[SERVICOS]]</f>
        <v>70</v>
      </c>
      <c r="L341" s="155">
        <v>0</v>
      </c>
      <c r="M341" s="155">
        <v>0</v>
      </c>
      <c r="N341" s="67"/>
      <c r="O341" s="155">
        <v>0</v>
      </c>
      <c r="P341" s="155">
        <v>0</v>
      </c>
      <c r="Q341" s="155">
        <v>0</v>
      </c>
      <c r="R341" s="155">
        <v>0</v>
      </c>
      <c r="S341" s="154">
        <v>0</v>
      </c>
      <c r="T341" s="155">
        <v>0</v>
      </c>
      <c r="U341" s="155">
        <v>0</v>
      </c>
      <c r="V341" s="25"/>
      <c r="W341" s="22">
        <v>0</v>
      </c>
      <c r="X341" s="149">
        <v>0</v>
      </c>
      <c r="Y341" s="25"/>
      <c r="Z341" s="155">
        <v>0</v>
      </c>
      <c r="AA341" s="149">
        <f>Tabela4[[#This Row],[VALOR]]-Tabela4[[#This Row],[PNEUS]]-Tabela4[[#This Row],[BATERIA]]</f>
        <v>70</v>
      </c>
      <c r="AB341" s="27" t="s">
        <v>30</v>
      </c>
      <c r="AC341" s="30">
        <v>0</v>
      </c>
      <c r="AD341" s="162">
        <v>0</v>
      </c>
      <c r="AE341" s="162">
        <v>0</v>
      </c>
      <c r="AF341" s="162">
        <v>0</v>
      </c>
      <c r="AG341" s="162">
        <v>0</v>
      </c>
      <c r="AH341" s="162">
        <v>0</v>
      </c>
      <c r="AI341" s="162">
        <v>0</v>
      </c>
      <c r="AJ341" s="162">
        <v>0</v>
      </c>
    </row>
    <row r="342" spans="1:36" x14ac:dyDescent="0.25">
      <c r="A342" s="25" t="s">
        <v>216</v>
      </c>
      <c r="B342" s="25"/>
      <c r="C342" s="142">
        <v>45341</v>
      </c>
      <c r="D342" s="142">
        <v>45351</v>
      </c>
      <c r="E342">
        <f>Tabela4[[#This Row],[DATA FATURAMENTO]]-Tabela4[[#This Row],[DATA ORÇAMENTO]]</f>
        <v>10</v>
      </c>
      <c r="F342" s="25">
        <v>10638</v>
      </c>
      <c r="G342" s="25" t="s">
        <v>22</v>
      </c>
      <c r="H342" s="25"/>
      <c r="I342" s="155">
        <v>877.5</v>
      </c>
      <c r="J342" s="155">
        <v>221.5</v>
      </c>
      <c r="K342" s="153">
        <f>Tabela4[[#This Row],[PECAS]]+Tabela4[[#This Row],[SERVICOS]]</f>
        <v>1099</v>
      </c>
      <c r="L342" s="155">
        <v>0</v>
      </c>
      <c r="M342" s="155">
        <v>0</v>
      </c>
      <c r="N342" s="67"/>
      <c r="O342" s="155">
        <v>0</v>
      </c>
      <c r="P342" s="155">
        <v>0</v>
      </c>
      <c r="Q342" s="155">
        <v>0</v>
      </c>
      <c r="R342" s="155">
        <v>0</v>
      </c>
      <c r="S342" s="154">
        <v>0</v>
      </c>
      <c r="T342" s="155">
        <v>0</v>
      </c>
      <c r="U342" s="155">
        <v>0</v>
      </c>
      <c r="V342" s="25"/>
      <c r="W342" s="22">
        <v>0</v>
      </c>
      <c r="X342" s="149">
        <v>0</v>
      </c>
      <c r="Y342" s="25"/>
      <c r="Z342" s="155">
        <v>0</v>
      </c>
      <c r="AA342" s="149">
        <f>Tabela4[[#This Row],[VALOR]]-Tabela4[[#This Row],[PNEUS]]-Tabela4[[#This Row],[BATERIA]]</f>
        <v>1099</v>
      </c>
      <c r="AB342" s="27" t="s">
        <v>30</v>
      </c>
      <c r="AC342" s="30">
        <v>0</v>
      </c>
      <c r="AD342" s="162">
        <v>0</v>
      </c>
      <c r="AE342" s="162">
        <v>0</v>
      </c>
      <c r="AF342" s="162">
        <v>0</v>
      </c>
      <c r="AG342" s="162">
        <v>0</v>
      </c>
      <c r="AH342" s="162">
        <v>0</v>
      </c>
      <c r="AI342" s="162">
        <v>0</v>
      </c>
      <c r="AJ342" s="162">
        <v>0</v>
      </c>
    </row>
    <row r="343" spans="1:36" x14ac:dyDescent="0.25">
      <c r="A343" s="25" t="s">
        <v>570</v>
      </c>
      <c r="B343" s="25"/>
      <c r="C343" s="142">
        <v>45348</v>
      </c>
      <c r="D343" s="142">
        <v>45351</v>
      </c>
      <c r="E343">
        <f>Tabela4[[#This Row],[DATA FATURAMENTO]]-Tabela4[[#This Row],[DATA ORÇAMENTO]]</f>
        <v>3</v>
      </c>
      <c r="F343" s="25">
        <v>10712</v>
      </c>
      <c r="G343" s="25" t="s">
        <v>316</v>
      </c>
      <c r="H343" s="25"/>
      <c r="I343" s="155">
        <v>0</v>
      </c>
      <c r="J343" s="155">
        <v>70</v>
      </c>
      <c r="K343" s="153">
        <f>Tabela4[[#This Row],[PECAS]]+Tabela4[[#This Row],[SERVICOS]]</f>
        <v>70</v>
      </c>
      <c r="L343" s="155">
        <v>0</v>
      </c>
      <c r="M343" s="155">
        <v>0</v>
      </c>
      <c r="N343" s="67"/>
      <c r="O343" s="155">
        <v>0</v>
      </c>
      <c r="P343" s="155">
        <v>0</v>
      </c>
      <c r="Q343" s="155">
        <v>0</v>
      </c>
      <c r="R343" s="155">
        <v>0</v>
      </c>
      <c r="S343" s="154">
        <v>0</v>
      </c>
      <c r="T343" s="155">
        <v>0</v>
      </c>
      <c r="U343" s="155">
        <v>0</v>
      </c>
      <c r="V343" s="25"/>
      <c r="W343" s="22">
        <v>0</v>
      </c>
      <c r="X343" s="149">
        <v>0</v>
      </c>
      <c r="Y343" s="25"/>
      <c r="Z343" s="155">
        <v>0</v>
      </c>
      <c r="AA343" s="149">
        <f>Tabela4[[#This Row],[VALOR]]-Tabela4[[#This Row],[PNEUS]]-Tabela4[[#This Row],[BATERIA]]</f>
        <v>70</v>
      </c>
      <c r="AB343" s="27" t="s">
        <v>27</v>
      </c>
      <c r="AC343" s="30">
        <v>0</v>
      </c>
      <c r="AD343" s="162">
        <v>0</v>
      </c>
      <c r="AE343" s="162">
        <v>0</v>
      </c>
      <c r="AF343" s="162">
        <v>0</v>
      </c>
      <c r="AG343" s="162">
        <v>0</v>
      </c>
      <c r="AH343" s="162">
        <v>0</v>
      </c>
      <c r="AI343" s="162">
        <v>0</v>
      </c>
      <c r="AJ343" s="162">
        <v>0</v>
      </c>
    </row>
    <row r="344" spans="1:36" x14ac:dyDescent="0.25">
      <c r="A344" s="25" t="s">
        <v>571</v>
      </c>
      <c r="B344" s="25"/>
      <c r="C344" s="142">
        <v>45349</v>
      </c>
      <c r="D344" s="142">
        <v>45351</v>
      </c>
      <c r="E344">
        <f>Tabela4[[#This Row],[DATA FATURAMENTO]]-Tabela4[[#This Row],[DATA ORÇAMENTO]]</f>
        <v>2</v>
      </c>
      <c r="F344" s="25">
        <v>10728</v>
      </c>
      <c r="G344" s="25" t="s">
        <v>22</v>
      </c>
      <c r="H344" s="25"/>
      <c r="I344" s="155">
        <v>1438.8</v>
      </c>
      <c r="J344" s="155">
        <v>639.54999999999995</v>
      </c>
      <c r="K344" s="153">
        <f>Tabela4[[#This Row],[PECAS]]+Tabela4[[#This Row],[SERVICOS]]</f>
        <v>2078.35</v>
      </c>
      <c r="L344" s="155">
        <v>0</v>
      </c>
      <c r="M344" s="155">
        <v>0</v>
      </c>
      <c r="N344" s="67"/>
      <c r="O344" s="155">
        <v>0</v>
      </c>
      <c r="P344" s="155">
        <v>0</v>
      </c>
      <c r="Q344" s="155">
        <v>0</v>
      </c>
      <c r="R344" s="155">
        <v>0</v>
      </c>
      <c r="S344" s="154">
        <v>0</v>
      </c>
      <c r="T344" s="155">
        <v>0</v>
      </c>
      <c r="U344" s="155">
        <v>0</v>
      </c>
      <c r="V344" s="25"/>
      <c r="W344" s="22">
        <v>0</v>
      </c>
      <c r="X344" s="149">
        <v>0</v>
      </c>
      <c r="Y344" s="25"/>
      <c r="Z344" s="155">
        <v>0</v>
      </c>
      <c r="AA344" s="149">
        <f>Tabela4[[#This Row],[VALOR]]-Tabela4[[#This Row],[PNEUS]]-Tabela4[[#This Row],[BATERIA]]</f>
        <v>2078.35</v>
      </c>
      <c r="AB344" s="27" t="s">
        <v>27</v>
      </c>
      <c r="AC344" s="30">
        <v>0</v>
      </c>
      <c r="AD344" s="162">
        <v>0</v>
      </c>
      <c r="AE344" s="162">
        <v>0</v>
      </c>
      <c r="AF344" s="162">
        <v>0</v>
      </c>
      <c r="AG344" s="162">
        <v>0</v>
      </c>
      <c r="AH344" s="162">
        <v>0</v>
      </c>
      <c r="AI344" s="162">
        <v>0</v>
      </c>
      <c r="AJ344" s="162">
        <v>0</v>
      </c>
    </row>
    <row r="345" spans="1:36" x14ac:dyDescent="0.25">
      <c r="A345" s="25" t="s">
        <v>66</v>
      </c>
      <c r="B345" s="25"/>
      <c r="C345" s="142">
        <v>45351</v>
      </c>
      <c r="D345" s="142">
        <v>45351</v>
      </c>
      <c r="E345">
        <f>Tabela4[[#This Row],[DATA FATURAMENTO]]-Tabela4[[#This Row],[DATA ORÇAMENTO]]</f>
        <v>0</v>
      </c>
      <c r="F345" s="25">
        <v>10759</v>
      </c>
      <c r="G345" s="25" t="s">
        <v>22</v>
      </c>
      <c r="H345" s="25"/>
      <c r="I345" s="155">
        <v>0</v>
      </c>
      <c r="J345" s="155">
        <v>150</v>
      </c>
      <c r="K345" s="153">
        <f>Tabela4[[#This Row],[PECAS]]+Tabela4[[#This Row],[SERVICOS]]</f>
        <v>150</v>
      </c>
      <c r="L345" s="155">
        <v>0</v>
      </c>
      <c r="M345" s="155">
        <v>0</v>
      </c>
      <c r="N345" s="67"/>
      <c r="O345" s="155">
        <v>0</v>
      </c>
      <c r="P345" s="155">
        <v>0</v>
      </c>
      <c r="Q345" s="155">
        <v>0</v>
      </c>
      <c r="R345" s="155">
        <v>0</v>
      </c>
      <c r="S345" s="154">
        <v>0</v>
      </c>
      <c r="T345" s="155">
        <v>0</v>
      </c>
      <c r="U345" s="155">
        <v>0</v>
      </c>
      <c r="V345" s="25"/>
      <c r="W345" s="22">
        <v>0</v>
      </c>
      <c r="X345" s="149">
        <v>0</v>
      </c>
      <c r="Y345" s="25"/>
      <c r="Z345" s="155">
        <v>0</v>
      </c>
      <c r="AA345" s="149">
        <f>Tabela4[[#This Row],[VALOR]]-Tabela4[[#This Row],[PNEUS]]-Tabela4[[#This Row],[BATERIA]]</f>
        <v>150</v>
      </c>
      <c r="AB345" s="27" t="s">
        <v>30</v>
      </c>
      <c r="AC345" s="30">
        <v>0</v>
      </c>
      <c r="AD345" s="162">
        <v>0</v>
      </c>
      <c r="AE345" s="162">
        <v>0</v>
      </c>
      <c r="AF345" s="162">
        <v>0</v>
      </c>
      <c r="AG345" s="162">
        <v>0</v>
      </c>
      <c r="AH345" s="162">
        <v>0</v>
      </c>
      <c r="AI345" s="162">
        <v>0</v>
      </c>
      <c r="AJ345" s="162">
        <v>0</v>
      </c>
    </row>
    <row r="346" spans="1:36" x14ac:dyDescent="0.25">
      <c r="A346" s="25" t="s">
        <v>572</v>
      </c>
      <c r="B346" s="25"/>
      <c r="C346" s="142">
        <v>45350</v>
      </c>
      <c r="D346" s="142">
        <v>45351</v>
      </c>
      <c r="E346">
        <f>Tabela4[[#This Row],[DATA FATURAMENTO]]-Tabela4[[#This Row],[DATA ORÇAMENTO]]</f>
        <v>1</v>
      </c>
      <c r="F346" s="25">
        <v>10748</v>
      </c>
      <c r="G346" s="25" t="s">
        <v>31</v>
      </c>
      <c r="H346" s="25"/>
      <c r="I346" s="155">
        <v>0</v>
      </c>
      <c r="J346" s="155">
        <v>364.02</v>
      </c>
      <c r="K346" s="153">
        <f>Tabela4[[#This Row],[PECAS]]+Tabela4[[#This Row],[SERVICOS]]</f>
        <v>364.02</v>
      </c>
      <c r="L346" s="155">
        <v>150</v>
      </c>
      <c r="M346" s="155">
        <v>0</v>
      </c>
      <c r="N346" s="67"/>
      <c r="O346" s="155">
        <v>0</v>
      </c>
      <c r="P346" s="155">
        <v>0</v>
      </c>
      <c r="Q346" s="155">
        <v>0</v>
      </c>
      <c r="R346" s="155">
        <v>0</v>
      </c>
      <c r="S346" s="154">
        <v>0</v>
      </c>
      <c r="T346" s="155">
        <v>0</v>
      </c>
      <c r="U346" s="155">
        <v>0</v>
      </c>
      <c r="V346" s="25"/>
      <c r="W346" s="22">
        <v>0</v>
      </c>
      <c r="X346" s="149">
        <v>0</v>
      </c>
      <c r="Y346" s="25"/>
      <c r="Z346" s="155">
        <v>0</v>
      </c>
      <c r="AA346" s="149">
        <f>Tabela4[[#This Row],[VALOR]]-Tabela4[[#This Row],[PNEUS]]-Tabela4[[#This Row],[BATERIA]]</f>
        <v>364.02</v>
      </c>
      <c r="AB346" s="27" t="s">
        <v>27</v>
      </c>
      <c r="AC346" s="30">
        <v>0</v>
      </c>
      <c r="AD346" s="162">
        <v>0</v>
      </c>
      <c r="AE346" s="162">
        <v>0</v>
      </c>
      <c r="AF346" s="162">
        <v>0</v>
      </c>
      <c r="AG346" s="162">
        <v>0</v>
      </c>
      <c r="AH346" s="162">
        <v>0</v>
      </c>
      <c r="AI346" s="162">
        <v>0</v>
      </c>
      <c r="AJ346" s="162">
        <v>0</v>
      </c>
    </row>
    <row r="347" spans="1:36" x14ac:dyDescent="0.25">
      <c r="A347" s="25" t="s">
        <v>284</v>
      </c>
      <c r="B347" s="25"/>
      <c r="C347" s="142">
        <v>45350</v>
      </c>
      <c r="D347" s="142">
        <v>45351</v>
      </c>
      <c r="E347">
        <f>Tabela4[[#This Row],[DATA FATURAMENTO]]-Tabela4[[#This Row],[DATA ORÇAMENTO]]</f>
        <v>1</v>
      </c>
      <c r="F347" s="25">
        <v>10776</v>
      </c>
      <c r="G347" s="25" t="s">
        <v>22</v>
      </c>
      <c r="H347" s="25"/>
      <c r="I347" s="155">
        <v>2284</v>
      </c>
      <c r="J347" s="155">
        <v>1672</v>
      </c>
      <c r="K347" s="153">
        <f>Tabela4[[#This Row],[PECAS]]+Tabela4[[#This Row],[SERVICOS]]</f>
        <v>3956</v>
      </c>
      <c r="L347" s="155">
        <v>112</v>
      </c>
      <c r="M347" s="155">
        <f>77.6+25+70</f>
        <v>172.6</v>
      </c>
      <c r="N347" s="67"/>
      <c r="O347" s="155">
        <v>220</v>
      </c>
      <c r="P347" s="155">
        <v>72.2</v>
      </c>
      <c r="Q347" s="155">
        <v>160</v>
      </c>
      <c r="R347" s="155">
        <v>0</v>
      </c>
      <c r="S347" s="154">
        <v>170</v>
      </c>
      <c r="T347" s="155">
        <v>0</v>
      </c>
      <c r="U347" s="155">
        <v>0</v>
      </c>
      <c r="V347" s="25"/>
      <c r="W347" s="22">
        <v>0</v>
      </c>
      <c r="X347" s="149">
        <v>0</v>
      </c>
      <c r="Y347" s="25"/>
      <c r="Z347" s="155">
        <v>0</v>
      </c>
      <c r="AA347" s="149">
        <f>Tabela4[[#This Row],[VALOR]]-Tabela4[[#This Row],[PNEUS]]-Tabela4[[#This Row],[BATERIA]]</f>
        <v>3956</v>
      </c>
      <c r="AB347" s="27" t="s">
        <v>27</v>
      </c>
      <c r="AC347" s="30">
        <v>0</v>
      </c>
      <c r="AD347" s="162">
        <v>0</v>
      </c>
      <c r="AE347" s="162">
        <v>0</v>
      </c>
      <c r="AF347" s="162">
        <v>0</v>
      </c>
      <c r="AG347" s="162">
        <v>0</v>
      </c>
      <c r="AH347" s="162">
        <v>0</v>
      </c>
      <c r="AI347" s="162">
        <v>0</v>
      </c>
      <c r="AJ347" s="162">
        <v>0</v>
      </c>
    </row>
    <row r="348" spans="1:36" x14ac:dyDescent="0.25">
      <c r="A348" s="25" t="s">
        <v>68</v>
      </c>
      <c r="B348" s="25"/>
      <c r="C348" s="142">
        <v>45351</v>
      </c>
      <c r="D348" s="142">
        <v>45351</v>
      </c>
      <c r="E348">
        <f>Tabela4[[#This Row],[DATA FATURAMENTO]]-Tabela4[[#This Row],[DATA ORÇAMENTO]]</f>
        <v>0</v>
      </c>
      <c r="F348" s="25">
        <v>10772</v>
      </c>
      <c r="G348" s="25" t="s">
        <v>22</v>
      </c>
      <c r="H348" s="25"/>
      <c r="I348" s="155">
        <v>477.1</v>
      </c>
      <c r="J348" s="155">
        <v>0</v>
      </c>
      <c r="K348" s="153">
        <f>Tabela4[[#This Row],[PECAS]]+Tabela4[[#This Row],[SERVICOS]]</f>
        <v>477.1</v>
      </c>
      <c r="L348" s="155">
        <v>0</v>
      </c>
      <c r="M348" s="155">
        <v>0</v>
      </c>
      <c r="N348" s="67"/>
      <c r="O348" s="155">
        <v>0</v>
      </c>
      <c r="P348" s="155">
        <v>0</v>
      </c>
      <c r="Q348" s="155">
        <v>0</v>
      </c>
      <c r="R348" s="155">
        <v>0</v>
      </c>
      <c r="S348" s="154">
        <v>63.7</v>
      </c>
      <c r="T348" s="155">
        <v>0</v>
      </c>
      <c r="U348" s="155">
        <v>0</v>
      </c>
      <c r="V348" s="25"/>
      <c r="W348" s="22">
        <v>0</v>
      </c>
      <c r="X348" s="149">
        <v>0</v>
      </c>
      <c r="Y348" s="25"/>
      <c r="Z348" s="155">
        <v>0</v>
      </c>
      <c r="AA348" s="149">
        <f>Tabela4[[#This Row],[VALOR]]-Tabela4[[#This Row],[PNEUS]]-Tabela4[[#This Row],[BATERIA]]</f>
        <v>477.1</v>
      </c>
      <c r="AB348" s="27" t="s">
        <v>27</v>
      </c>
      <c r="AC348" s="30">
        <v>0</v>
      </c>
      <c r="AD348" s="162">
        <v>0</v>
      </c>
      <c r="AE348" s="162">
        <v>0</v>
      </c>
      <c r="AF348" s="162">
        <v>0</v>
      </c>
      <c r="AG348" s="162">
        <v>0</v>
      </c>
      <c r="AH348" s="162">
        <v>0</v>
      </c>
      <c r="AI348" s="162">
        <v>0</v>
      </c>
      <c r="AJ348" s="162">
        <v>0</v>
      </c>
    </row>
    <row r="349" spans="1:36" x14ac:dyDescent="0.25">
      <c r="A349" s="25" t="s">
        <v>573</v>
      </c>
      <c r="B349" s="25"/>
      <c r="C349" s="142">
        <v>45351</v>
      </c>
      <c r="D349" s="142">
        <v>45351</v>
      </c>
      <c r="E349">
        <f>Tabela4[[#This Row],[DATA FATURAMENTO]]-Tabela4[[#This Row],[DATA ORÇAMENTO]]</f>
        <v>0</v>
      </c>
      <c r="F349" s="25">
        <v>10773</v>
      </c>
      <c r="G349" s="25" t="s">
        <v>22</v>
      </c>
      <c r="H349" s="25"/>
      <c r="I349" s="155">
        <v>0</v>
      </c>
      <c r="J349" s="155">
        <v>53.5</v>
      </c>
      <c r="K349" s="153">
        <f>Tabela4[[#This Row],[PECAS]]+Tabela4[[#This Row],[SERVICOS]]</f>
        <v>53.5</v>
      </c>
      <c r="L349" s="155">
        <v>0</v>
      </c>
      <c r="M349" s="155">
        <v>0</v>
      </c>
      <c r="N349" s="67"/>
      <c r="O349" s="155">
        <v>0</v>
      </c>
      <c r="P349" s="155">
        <v>0</v>
      </c>
      <c r="Q349" s="155">
        <v>0</v>
      </c>
      <c r="R349" s="155">
        <v>0</v>
      </c>
      <c r="S349" s="154">
        <v>0</v>
      </c>
      <c r="T349" s="155">
        <v>0</v>
      </c>
      <c r="U349" s="155">
        <v>0</v>
      </c>
      <c r="V349" s="25"/>
      <c r="W349" s="22">
        <v>0</v>
      </c>
      <c r="X349" s="149">
        <v>0</v>
      </c>
      <c r="Y349" s="25"/>
      <c r="Z349" s="155">
        <v>0</v>
      </c>
      <c r="AA349" s="149">
        <f>Tabela4[[#This Row],[VALOR]]-Tabela4[[#This Row],[PNEUS]]-Tabela4[[#This Row],[BATERIA]]</f>
        <v>53.5</v>
      </c>
      <c r="AB349" s="27" t="s">
        <v>27</v>
      </c>
      <c r="AC349" s="30">
        <v>0</v>
      </c>
      <c r="AD349" s="162">
        <v>0</v>
      </c>
      <c r="AE349" s="162">
        <v>0</v>
      </c>
      <c r="AF349" s="162">
        <v>0</v>
      </c>
      <c r="AG349" s="162">
        <v>0</v>
      </c>
      <c r="AH349" s="162">
        <v>0</v>
      </c>
      <c r="AI349" s="162">
        <v>0</v>
      </c>
      <c r="AJ349" s="162">
        <v>0</v>
      </c>
    </row>
    <row r="350" spans="1:36" x14ac:dyDescent="0.25">
      <c r="A350" s="31" t="s">
        <v>815</v>
      </c>
      <c r="B350" s="31"/>
      <c r="C350" s="142">
        <v>45345</v>
      </c>
      <c r="D350" s="142">
        <v>45351</v>
      </c>
      <c r="E350">
        <f>Tabela4[[#This Row],[DATA FATURAMENTO]]-Tabela4[[#This Row],[DATA ORÇAMENTO]]</f>
        <v>6</v>
      </c>
      <c r="F350" s="25">
        <v>10687</v>
      </c>
      <c r="G350" s="25" t="s">
        <v>22</v>
      </c>
      <c r="H350" s="25"/>
      <c r="I350" s="155">
        <v>3365.54</v>
      </c>
      <c r="J350" s="155">
        <v>4934.46</v>
      </c>
      <c r="K350" s="153">
        <f>Tabela4[[#This Row],[PECAS]]+Tabela4[[#This Row],[SERVICOS]]</f>
        <v>8300</v>
      </c>
      <c r="L350" s="155">
        <v>0</v>
      </c>
      <c r="M350" s="155">
        <f>77.6+21+64.48</f>
        <v>163.07999999999998</v>
      </c>
      <c r="N350" s="67"/>
      <c r="O350" s="155">
        <v>190</v>
      </c>
      <c r="P350" s="155">
        <v>0</v>
      </c>
      <c r="Q350" s="155">
        <v>0</v>
      </c>
      <c r="R350" s="155">
        <v>0</v>
      </c>
      <c r="S350" s="154">
        <v>0</v>
      </c>
      <c r="T350" s="155">
        <v>0</v>
      </c>
      <c r="U350" s="155">
        <v>0</v>
      </c>
      <c r="V350" s="25"/>
      <c r="W350" s="22">
        <v>0</v>
      </c>
      <c r="X350" s="149">
        <v>0</v>
      </c>
      <c r="Y350" s="25"/>
      <c r="Z350" s="155">
        <v>0</v>
      </c>
      <c r="AA350" s="149">
        <f>Tabela4[[#This Row],[VALOR]]-Tabela4[[#This Row],[PNEUS]]-Tabela4[[#This Row],[BATERIA]]</f>
        <v>8300</v>
      </c>
      <c r="AB350" s="27" t="s">
        <v>34</v>
      </c>
      <c r="AC350" s="30">
        <v>0</v>
      </c>
      <c r="AD350" s="162">
        <v>0</v>
      </c>
      <c r="AE350" s="162">
        <v>0</v>
      </c>
      <c r="AF350" s="162">
        <v>0</v>
      </c>
      <c r="AG350" s="162">
        <v>0</v>
      </c>
      <c r="AH350" s="162">
        <v>0</v>
      </c>
      <c r="AI350" s="162">
        <v>0</v>
      </c>
      <c r="AJ350" s="162">
        <v>0</v>
      </c>
    </row>
    <row r="351" spans="1:36" x14ac:dyDescent="0.25">
      <c r="A351" s="25" t="s">
        <v>816</v>
      </c>
      <c r="B351" s="25"/>
      <c r="C351" s="142">
        <v>45351</v>
      </c>
      <c r="D351" s="142">
        <v>45351</v>
      </c>
      <c r="E351">
        <f>Tabela4[[#This Row],[DATA FATURAMENTO]]-Tabela4[[#This Row],[DATA ORÇAMENTO]]</f>
        <v>0</v>
      </c>
      <c r="F351" s="25">
        <v>10762</v>
      </c>
      <c r="G351" s="25" t="s">
        <v>6</v>
      </c>
      <c r="H351" s="25"/>
      <c r="I351" s="155">
        <v>522.5</v>
      </c>
      <c r="J351" s="155">
        <v>0</v>
      </c>
      <c r="K351" s="153">
        <f>Tabela4[[#This Row],[PECAS]]+Tabela4[[#This Row],[SERVICOS]]</f>
        <v>522.5</v>
      </c>
      <c r="L351" s="155">
        <v>0</v>
      </c>
      <c r="M351" s="155">
        <v>0</v>
      </c>
      <c r="N351" s="67"/>
      <c r="O351" s="155">
        <v>0</v>
      </c>
      <c r="P351" s="155">
        <v>0</v>
      </c>
      <c r="Q351" s="155">
        <v>0</v>
      </c>
      <c r="R351" s="155">
        <v>0</v>
      </c>
      <c r="S351" s="154">
        <v>0</v>
      </c>
      <c r="T351" s="155">
        <v>0</v>
      </c>
      <c r="U351" s="155">
        <v>522.5</v>
      </c>
      <c r="V351" s="25" t="s">
        <v>817</v>
      </c>
      <c r="W351" s="22">
        <v>0</v>
      </c>
      <c r="X351" s="149">
        <v>0</v>
      </c>
      <c r="Y351" s="25"/>
      <c r="Z351" s="155">
        <v>0</v>
      </c>
      <c r="AA351" s="149">
        <f>Tabela4[[#This Row],[VALOR]]-Tabela4[[#This Row],[PNEUS]]-Tabela4[[#This Row],[BATERIA]]</f>
        <v>0</v>
      </c>
      <c r="AB351" s="27" t="s">
        <v>6</v>
      </c>
      <c r="AC351" s="30">
        <v>0</v>
      </c>
      <c r="AD351" s="162">
        <v>0</v>
      </c>
      <c r="AE351" s="162">
        <v>0</v>
      </c>
      <c r="AF351" s="162">
        <v>0</v>
      </c>
      <c r="AG351" s="162">
        <v>0</v>
      </c>
      <c r="AH351" s="162">
        <v>0</v>
      </c>
      <c r="AI351" s="162">
        <v>0</v>
      </c>
      <c r="AJ351" s="162">
        <v>0</v>
      </c>
    </row>
    <row r="352" spans="1:36" x14ac:dyDescent="0.25">
      <c r="A352" s="25" t="s">
        <v>81</v>
      </c>
      <c r="B352" s="25"/>
      <c r="C352" s="142">
        <v>45350</v>
      </c>
      <c r="D352" s="142">
        <v>45352</v>
      </c>
      <c r="E352">
        <f>Tabela4[[#This Row],[DATA FATURAMENTO]]-Tabela4[[#This Row],[DATA ORÇAMENTO]]</f>
        <v>2</v>
      </c>
      <c r="F352" s="25">
        <v>10757</v>
      </c>
      <c r="G352" s="25" t="s">
        <v>35</v>
      </c>
      <c r="H352" s="25"/>
      <c r="I352" s="155">
        <v>575.6</v>
      </c>
      <c r="J352" s="155">
        <v>424.4</v>
      </c>
      <c r="K352" s="153">
        <f>Tabela4[[#This Row],[PECAS]]+Tabela4[[#This Row],[SERVICOS]]</f>
        <v>1000</v>
      </c>
      <c r="L352" s="155">
        <v>0</v>
      </c>
      <c r="M352" s="155">
        <f>116.4+24.8+76</f>
        <v>217.20000000000002</v>
      </c>
      <c r="N352" s="67"/>
      <c r="O352" s="155">
        <v>0</v>
      </c>
      <c r="P352" s="155">
        <v>0</v>
      </c>
      <c r="Q352" s="155">
        <v>0</v>
      </c>
      <c r="R352" s="155">
        <v>0</v>
      </c>
      <c r="S352" s="154">
        <v>0</v>
      </c>
      <c r="T352" s="155">
        <v>0</v>
      </c>
      <c r="U352" s="155">
        <v>0</v>
      </c>
      <c r="V352" s="25"/>
      <c r="W352" s="22">
        <v>0</v>
      </c>
      <c r="X352" s="149">
        <v>0</v>
      </c>
      <c r="Y352" s="25"/>
      <c r="Z352" s="155">
        <v>0</v>
      </c>
      <c r="AA352" s="149">
        <f>Tabela4[[#This Row],[VALOR]]-Tabela4[[#This Row],[PNEUS]]-Tabela4[[#This Row],[BATERIA]]</f>
        <v>1000</v>
      </c>
      <c r="AB352" s="27" t="s">
        <v>30</v>
      </c>
      <c r="AC352" s="30">
        <v>0</v>
      </c>
      <c r="AD352" s="162">
        <v>0</v>
      </c>
      <c r="AE352" s="162">
        <v>0</v>
      </c>
      <c r="AF352" s="162">
        <v>0</v>
      </c>
      <c r="AG352" s="162">
        <v>0</v>
      </c>
      <c r="AH352" s="162">
        <v>0</v>
      </c>
      <c r="AI352" s="162">
        <v>0</v>
      </c>
      <c r="AJ352" s="162">
        <v>0</v>
      </c>
    </row>
    <row r="353" spans="1:36" x14ac:dyDescent="0.25">
      <c r="A353" s="25" t="s">
        <v>64</v>
      </c>
      <c r="B353" s="25"/>
      <c r="C353" s="142">
        <v>45352</v>
      </c>
      <c r="D353" s="142">
        <v>45352</v>
      </c>
      <c r="E353">
        <f>Tabela4[[#This Row],[DATA FATURAMENTO]]-Tabela4[[#This Row],[DATA ORÇAMENTO]]</f>
        <v>0</v>
      </c>
      <c r="F353" s="25">
        <v>10784</v>
      </c>
      <c r="G353" s="25" t="s">
        <v>22</v>
      </c>
      <c r="H353" s="25"/>
      <c r="I353" s="155">
        <v>1190</v>
      </c>
      <c r="J353" s="155">
        <v>460</v>
      </c>
      <c r="K353" s="153">
        <f>Tabela4[[#This Row],[PECAS]]+Tabela4[[#This Row],[SERVICOS]]</f>
        <v>1650</v>
      </c>
      <c r="L353" s="155">
        <v>0</v>
      </c>
      <c r="M353" s="155">
        <v>0</v>
      </c>
      <c r="N353" s="67"/>
      <c r="O353" s="155">
        <v>0</v>
      </c>
      <c r="P353" s="155">
        <v>0</v>
      </c>
      <c r="Q353" s="155">
        <v>0</v>
      </c>
      <c r="R353" s="155">
        <v>0</v>
      </c>
      <c r="S353" s="154">
        <v>0</v>
      </c>
      <c r="T353" s="155">
        <v>0</v>
      </c>
      <c r="U353" s="155">
        <v>0</v>
      </c>
      <c r="V353" s="25"/>
      <c r="W353" s="22">
        <v>0</v>
      </c>
      <c r="X353" s="149">
        <v>0</v>
      </c>
      <c r="Y353" s="25"/>
      <c r="Z353" s="155">
        <v>0</v>
      </c>
      <c r="AA353" s="149">
        <f>Tabela4[[#This Row],[VALOR]]-Tabela4[[#This Row],[PNEUS]]-Tabela4[[#This Row],[BATERIA]]</f>
        <v>1650</v>
      </c>
      <c r="AB353" s="27" t="s">
        <v>32</v>
      </c>
      <c r="AC353" s="30">
        <v>0</v>
      </c>
      <c r="AD353" s="162">
        <v>0</v>
      </c>
      <c r="AE353" s="162">
        <v>0</v>
      </c>
      <c r="AF353" s="162">
        <v>0</v>
      </c>
      <c r="AG353" s="162">
        <v>0</v>
      </c>
      <c r="AH353" s="162">
        <v>0</v>
      </c>
      <c r="AI353" s="162">
        <v>0</v>
      </c>
      <c r="AJ353" s="162">
        <v>0</v>
      </c>
    </row>
    <row r="354" spans="1:36" x14ac:dyDescent="0.25">
      <c r="A354" s="25" t="s">
        <v>74</v>
      </c>
      <c r="B354" s="25"/>
      <c r="C354" s="142">
        <v>45351</v>
      </c>
      <c r="D354" s="142">
        <v>45352</v>
      </c>
      <c r="E354">
        <f>Tabela4[[#This Row],[DATA FATURAMENTO]]-Tabela4[[#This Row],[DATA ORÇAMENTO]]</f>
        <v>1</v>
      </c>
      <c r="F354" s="25">
        <v>10770</v>
      </c>
      <c r="G354" s="25" t="s">
        <v>22</v>
      </c>
      <c r="H354" s="25"/>
      <c r="I354" s="155">
        <v>840</v>
      </c>
      <c r="J354" s="155">
        <v>490</v>
      </c>
      <c r="K354" s="153">
        <f>Tabela4[[#This Row],[PECAS]]+Tabela4[[#This Row],[SERVICOS]]</f>
        <v>1330</v>
      </c>
      <c r="L354" s="155">
        <v>0</v>
      </c>
      <c r="M354" s="155">
        <v>0</v>
      </c>
      <c r="N354" s="67"/>
      <c r="O354" s="155">
        <v>0</v>
      </c>
      <c r="P354" s="155">
        <v>0</v>
      </c>
      <c r="Q354" s="155">
        <v>0</v>
      </c>
      <c r="R354" s="155">
        <v>0</v>
      </c>
      <c r="S354" s="154">
        <v>0</v>
      </c>
      <c r="T354" s="155">
        <v>0</v>
      </c>
      <c r="U354" s="155">
        <v>0</v>
      </c>
      <c r="V354" s="25"/>
      <c r="W354" s="22">
        <v>0</v>
      </c>
      <c r="X354" s="149">
        <v>0</v>
      </c>
      <c r="Y354" s="25"/>
      <c r="Z354" s="155">
        <v>0</v>
      </c>
      <c r="AA354" s="149">
        <f>Tabela4[[#This Row],[VALOR]]-Tabela4[[#This Row],[PNEUS]]-Tabela4[[#This Row],[BATERIA]]</f>
        <v>1330</v>
      </c>
      <c r="AB354" s="27" t="s">
        <v>34</v>
      </c>
      <c r="AC354" s="30">
        <v>0</v>
      </c>
      <c r="AD354" s="162">
        <v>0</v>
      </c>
      <c r="AE354" s="162">
        <v>0</v>
      </c>
      <c r="AF354" s="162">
        <v>0</v>
      </c>
      <c r="AG354" s="162">
        <v>0</v>
      </c>
      <c r="AH354" s="162">
        <v>0</v>
      </c>
      <c r="AI354" s="162">
        <v>0</v>
      </c>
      <c r="AJ354" s="162">
        <v>0</v>
      </c>
    </row>
    <row r="355" spans="1:36" x14ac:dyDescent="0.25">
      <c r="A355" s="25" t="s">
        <v>79</v>
      </c>
      <c r="B355" s="25"/>
      <c r="C355" s="142">
        <v>45351</v>
      </c>
      <c r="D355" s="142">
        <v>45352</v>
      </c>
      <c r="E355">
        <f>Tabela4[[#This Row],[DATA FATURAMENTO]]-Tabela4[[#This Row],[DATA ORÇAMENTO]]</f>
        <v>1</v>
      </c>
      <c r="F355" s="25">
        <v>10771</v>
      </c>
      <c r="G355" s="25" t="s">
        <v>35</v>
      </c>
      <c r="H355" s="25"/>
      <c r="I355" s="155">
        <v>130</v>
      </c>
      <c r="J355" s="155">
        <v>204</v>
      </c>
      <c r="K355" s="153">
        <f>Tabela4[[#This Row],[PECAS]]+Tabela4[[#This Row],[SERVICOS]]</f>
        <v>334</v>
      </c>
      <c r="L355" s="155">
        <v>0</v>
      </c>
      <c r="M355" s="155">
        <v>0</v>
      </c>
      <c r="N355" s="67"/>
      <c r="O355" s="155">
        <v>0</v>
      </c>
      <c r="P355" s="155">
        <v>0</v>
      </c>
      <c r="Q355" s="155">
        <v>0</v>
      </c>
      <c r="R355" s="155">
        <v>0</v>
      </c>
      <c r="S355" s="154">
        <v>0</v>
      </c>
      <c r="T355" s="155">
        <v>0</v>
      </c>
      <c r="U355" s="155">
        <v>0</v>
      </c>
      <c r="V355" s="25"/>
      <c r="W355" s="22">
        <v>0</v>
      </c>
      <c r="X355" s="149">
        <v>0</v>
      </c>
      <c r="Y355" s="25"/>
      <c r="Z355" s="155">
        <v>0</v>
      </c>
      <c r="AA355" s="149">
        <f>Tabela4[[#This Row],[VALOR]]-Tabela4[[#This Row],[PNEUS]]-Tabela4[[#This Row],[BATERIA]]</f>
        <v>334</v>
      </c>
      <c r="AB355" s="27" t="s">
        <v>30</v>
      </c>
      <c r="AC355" s="30">
        <v>0</v>
      </c>
      <c r="AD355" s="162">
        <v>0</v>
      </c>
      <c r="AE355" s="162">
        <v>0</v>
      </c>
      <c r="AF355" s="162">
        <v>0</v>
      </c>
      <c r="AG355" s="162">
        <v>0</v>
      </c>
      <c r="AH355" s="162">
        <v>0</v>
      </c>
      <c r="AI355" s="162">
        <v>0</v>
      </c>
      <c r="AJ355" s="162">
        <v>0</v>
      </c>
    </row>
    <row r="356" spans="1:36" x14ac:dyDescent="0.25">
      <c r="A356" s="25" t="s">
        <v>78</v>
      </c>
      <c r="B356" s="25"/>
      <c r="C356" s="142">
        <v>45352</v>
      </c>
      <c r="D356" s="142">
        <v>45352</v>
      </c>
      <c r="E356">
        <f>Tabela4[[#This Row],[DATA FATURAMENTO]]-Tabela4[[#This Row],[DATA ORÇAMENTO]]</f>
        <v>0</v>
      </c>
      <c r="F356" s="25">
        <v>10782</v>
      </c>
      <c r="G356" s="25" t="s">
        <v>22</v>
      </c>
      <c r="H356" s="25"/>
      <c r="I356" s="155">
        <v>354</v>
      </c>
      <c r="J356" s="155">
        <v>280</v>
      </c>
      <c r="K356" s="153">
        <f>Tabela4[[#This Row],[PECAS]]+Tabela4[[#This Row],[SERVICOS]]</f>
        <v>634</v>
      </c>
      <c r="L356" s="155">
        <v>0</v>
      </c>
      <c r="M356" s="155">
        <v>0</v>
      </c>
      <c r="N356" s="67"/>
      <c r="O356" s="155">
        <v>0</v>
      </c>
      <c r="P356" s="155">
        <v>0</v>
      </c>
      <c r="Q356" s="155">
        <v>0</v>
      </c>
      <c r="R356" s="155">
        <v>0</v>
      </c>
      <c r="S356" s="154">
        <v>280</v>
      </c>
      <c r="T356" s="155">
        <v>0</v>
      </c>
      <c r="U356" s="155">
        <v>0</v>
      </c>
      <c r="V356" s="25"/>
      <c r="W356" s="22">
        <v>0</v>
      </c>
      <c r="X356" s="149">
        <v>0</v>
      </c>
      <c r="Y356" s="25"/>
      <c r="Z356" s="155">
        <v>280</v>
      </c>
      <c r="AA356" s="149">
        <f>Tabela4[[#This Row],[VALOR]]-Tabela4[[#This Row],[PNEUS]]-Tabela4[[#This Row],[BATERIA]]</f>
        <v>634</v>
      </c>
      <c r="AB356" s="27" t="s">
        <v>32</v>
      </c>
      <c r="AC356" s="30">
        <v>0</v>
      </c>
      <c r="AD356" s="162">
        <v>0</v>
      </c>
      <c r="AE356" s="162">
        <v>0</v>
      </c>
      <c r="AF356" s="162">
        <v>0</v>
      </c>
      <c r="AG356" s="162">
        <v>0</v>
      </c>
      <c r="AH356" s="162">
        <v>0</v>
      </c>
      <c r="AI356" s="162">
        <v>0</v>
      </c>
      <c r="AJ356" s="162">
        <v>0</v>
      </c>
    </row>
    <row r="357" spans="1:36" x14ac:dyDescent="0.25">
      <c r="A357" s="25" t="s">
        <v>818</v>
      </c>
      <c r="B357" s="25"/>
      <c r="C357" s="142">
        <v>45352</v>
      </c>
      <c r="D357" s="142">
        <v>45352</v>
      </c>
      <c r="E357">
        <f>Tabela4[[#This Row],[DATA FATURAMENTO]]-Tabela4[[#This Row],[DATA ORÇAMENTO]]</f>
        <v>0</v>
      </c>
      <c r="F357" s="25">
        <v>10786</v>
      </c>
      <c r="G357" s="25" t="s">
        <v>22</v>
      </c>
      <c r="H357" s="25"/>
      <c r="I357" s="155">
        <v>0</v>
      </c>
      <c r="J357" s="155">
        <v>216.48</v>
      </c>
      <c r="K357" s="153">
        <f>Tabela4[[#This Row],[PECAS]]+Tabela4[[#This Row],[SERVICOS]]</f>
        <v>216.48</v>
      </c>
      <c r="L357" s="155">
        <v>0</v>
      </c>
      <c r="M357" s="155">
        <v>0</v>
      </c>
      <c r="N357" s="67"/>
      <c r="O357" s="155">
        <v>0</v>
      </c>
      <c r="P357" s="155">
        <v>0</v>
      </c>
      <c r="Q357" s="155">
        <v>0</v>
      </c>
      <c r="R357" s="155">
        <v>0</v>
      </c>
      <c r="S357" s="154">
        <v>0</v>
      </c>
      <c r="T357" s="155">
        <v>0</v>
      </c>
      <c r="U357" s="155">
        <v>0</v>
      </c>
      <c r="V357" s="25"/>
      <c r="W357" s="22">
        <v>0</v>
      </c>
      <c r="X357" s="149">
        <v>0</v>
      </c>
      <c r="Y357" s="25"/>
      <c r="Z357" s="155">
        <v>0</v>
      </c>
      <c r="AA357" s="149">
        <f>Tabela4[[#This Row],[VALOR]]-Tabela4[[#This Row],[PNEUS]]-Tabela4[[#This Row],[BATERIA]]</f>
        <v>216.48</v>
      </c>
      <c r="AB357" s="27" t="s">
        <v>30</v>
      </c>
      <c r="AC357" s="30">
        <v>0</v>
      </c>
      <c r="AD357" s="162">
        <v>0</v>
      </c>
      <c r="AE357" s="162">
        <v>0</v>
      </c>
      <c r="AF357" s="162">
        <v>0</v>
      </c>
      <c r="AG357" s="162">
        <v>0</v>
      </c>
      <c r="AH357" s="162">
        <v>0</v>
      </c>
      <c r="AI357" s="162">
        <v>0</v>
      </c>
      <c r="AJ357" s="162">
        <v>0</v>
      </c>
    </row>
    <row r="358" spans="1:36" x14ac:dyDescent="0.25">
      <c r="A358" s="25" t="s">
        <v>819</v>
      </c>
      <c r="B358" s="25"/>
      <c r="C358" s="142">
        <v>45352</v>
      </c>
      <c r="D358" s="142">
        <v>45352</v>
      </c>
      <c r="E358">
        <f>Tabela4[[#This Row],[DATA FATURAMENTO]]-Tabela4[[#This Row],[DATA ORÇAMENTO]]</f>
        <v>0</v>
      </c>
      <c r="F358" s="25">
        <v>10783</v>
      </c>
      <c r="G358" s="25" t="s">
        <v>6</v>
      </c>
      <c r="H358" s="25"/>
      <c r="I358" s="155">
        <v>522.5</v>
      </c>
      <c r="J358" s="155">
        <v>0</v>
      </c>
      <c r="K358" s="153">
        <f>Tabela4[[#This Row],[PECAS]]+Tabela4[[#This Row],[SERVICOS]]</f>
        <v>522.5</v>
      </c>
      <c r="L358" s="155">
        <v>0</v>
      </c>
      <c r="M358" s="155">
        <v>0</v>
      </c>
      <c r="N358" s="67"/>
      <c r="O358" s="155">
        <v>0</v>
      </c>
      <c r="P358" s="155">
        <v>0</v>
      </c>
      <c r="Q358" s="155">
        <v>0</v>
      </c>
      <c r="R358" s="155">
        <v>0</v>
      </c>
      <c r="S358" s="154">
        <v>0</v>
      </c>
      <c r="T358" s="155">
        <v>0</v>
      </c>
      <c r="U358" s="155">
        <v>522.5</v>
      </c>
      <c r="V358" s="25" t="s">
        <v>640</v>
      </c>
      <c r="W358" s="22">
        <v>0</v>
      </c>
      <c r="X358" s="149">
        <v>0</v>
      </c>
      <c r="Y358" s="25"/>
      <c r="Z358" s="155">
        <v>0</v>
      </c>
      <c r="AA358" s="149">
        <f>Tabela4[[#This Row],[VALOR]]-Tabela4[[#This Row],[PNEUS]]-Tabela4[[#This Row],[BATERIA]]</f>
        <v>0</v>
      </c>
      <c r="AB358" s="27" t="s">
        <v>6</v>
      </c>
      <c r="AC358" s="30">
        <v>0</v>
      </c>
      <c r="AD358" s="162">
        <v>0</v>
      </c>
      <c r="AE358" s="162">
        <v>0</v>
      </c>
      <c r="AF358" s="162">
        <v>0</v>
      </c>
      <c r="AG358" s="162">
        <v>0</v>
      </c>
      <c r="AH358" s="162">
        <v>0</v>
      </c>
      <c r="AI358" s="162">
        <v>0</v>
      </c>
      <c r="AJ358" s="162">
        <v>0</v>
      </c>
    </row>
    <row r="359" spans="1:36" x14ac:dyDescent="0.25">
      <c r="A359" s="25" t="s">
        <v>820</v>
      </c>
      <c r="B359" s="25"/>
      <c r="C359" s="142">
        <v>45353</v>
      </c>
      <c r="D359" s="142">
        <v>45353</v>
      </c>
      <c r="E359">
        <f>Tabela4[[#This Row],[DATA FATURAMENTO]]-Tabela4[[#This Row],[DATA ORÇAMENTO]]</f>
        <v>0</v>
      </c>
      <c r="F359" s="25">
        <v>10793</v>
      </c>
      <c r="G359" s="25" t="s">
        <v>6</v>
      </c>
      <c r="H359" s="25"/>
      <c r="I359" s="155">
        <v>522.5</v>
      </c>
      <c r="J359" s="155">
        <v>0</v>
      </c>
      <c r="K359" s="153">
        <f>Tabela4[[#This Row],[PECAS]]+Tabela4[[#This Row],[SERVICOS]]</f>
        <v>522.5</v>
      </c>
      <c r="L359" s="155">
        <v>0</v>
      </c>
      <c r="M359" s="155">
        <v>0</v>
      </c>
      <c r="N359" s="67"/>
      <c r="O359" s="155">
        <v>0</v>
      </c>
      <c r="P359" s="155">
        <v>0</v>
      </c>
      <c r="Q359" s="155">
        <v>0</v>
      </c>
      <c r="R359" s="155">
        <v>0</v>
      </c>
      <c r="S359" s="154">
        <v>0</v>
      </c>
      <c r="T359" s="155">
        <v>0</v>
      </c>
      <c r="U359" s="155">
        <v>522.5</v>
      </c>
      <c r="V359" s="25" t="s">
        <v>707</v>
      </c>
      <c r="W359" s="22">
        <v>0</v>
      </c>
      <c r="X359" s="149">
        <v>0</v>
      </c>
      <c r="Y359" s="25"/>
      <c r="Z359" s="155">
        <v>0</v>
      </c>
      <c r="AA359" s="149">
        <f>Tabela4[[#This Row],[VALOR]]-Tabela4[[#This Row],[PNEUS]]-Tabela4[[#This Row],[BATERIA]]</f>
        <v>0</v>
      </c>
      <c r="AB359" s="27" t="s">
        <v>6</v>
      </c>
      <c r="AC359" s="30">
        <v>0</v>
      </c>
      <c r="AD359" s="162">
        <v>0</v>
      </c>
      <c r="AE359" s="162">
        <v>0</v>
      </c>
      <c r="AF359" s="162">
        <v>0</v>
      </c>
      <c r="AG359" s="162">
        <v>0</v>
      </c>
      <c r="AH359" s="162">
        <v>0</v>
      </c>
      <c r="AI359" s="162">
        <v>0</v>
      </c>
      <c r="AJ359" s="162">
        <v>0</v>
      </c>
    </row>
    <row r="360" spans="1:36" x14ac:dyDescent="0.25">
      <c r="A360" s="25" t="s">
        <v>85</v>
      </c>
      <c r="B360" s="25"/>
      <c r="C360" s="142">
        <v>45353</v>
      </c>
      <c r="D360" s="142">
        <v>45353</v>
      </c>
      <c r="E360">
        <f>Tabela4[[#This Row],[DATA FATURAMENTO]]-Tabela4[[#This Row],[DATA ORÇAMENTO]]</f>
        <v>0</v>
      </c>
      <c r="F360" s="25">
        <v>10795</v>
      </c>
      <c r="G360" s="25" t="s">
        <v>31</v>
      </c>
      <c r="H360" s="25"/>
      <c r="I360" s="155">
        <v>598</v>
      </c>
      <c r="J360" s="155">
        <v>0</v>
      </c>
      <c r="K360" s="153">
        <f>Tabela4[[#This Row],[PECAS]]+Tabela4[[#This Row],[SERVICOS]]</f>
        <v>598</v>
      </c>
      <c r="L360" s="155">
        <v>0</v>
      </c>
      <c r="M360" s="155">
        <v>0</v>
      </c>
      <c r="N360" s="67"/>
      <c r="O360" s="155">
        <v>0</v>
      </c>
      <c r="P360" s="155">
        <v>0</v>
      </c>
      <c r="Q360" s="155">
        <v>0</v>
      </c>
      <c r="R360" s="155">
        <v>0</v>
      </c>
      <c r="S360" s="154">
        <v>0</v>
      </c>
      <c r="T360" s="155">
        <v>0</v>
      </c>
      <c r="U360" s="155">
        <v>0</v>
      </c>
      <c r="V360" s="25"/>
      <c r="W360" s="28">
        <v>6</v>
      </c>
      <c r="X360" s="149">
        <v>0</v>
      </c>
      <c r="Y360" s="25" t="s">
        <v>804</v>
      </c>
      <c r="Z360" s="155">
        <v>0</v>
      </c>
      <c r="AA360" s="149">
        <f>Tabela4[[#This Row],[VALOR]]-Tabela4[[#This Row],[PNEUS]]-Tabela4[[#This Row],[BATERIA]]</f>
        <v>598</v>
      </c>
      <c r="AB360" s="27" t="s">
        <v>34</v>
      </c>
      <c r="AC360" s="30">
        <v>0</v>
      </c>
      <c r="AD360" s="162">
        <v>0</v>
      </c>
      <c r="AE360" s="162">
        <v>0</v>
      </c>
      <c r="AF360" s="162">
        <v>0</v>
      </c>
      <c r="AG360" s="162">
        <v>0</v>
      </c>
      <c r="AH360" s="162">
        <v>0</v>
      </c>
      <c r="AI360" s="162">
        <v>0</v>
      </c>
      <c r="AJ360" s="162">
        <v>0</v>
      </c>
    </row>
    <row r="361" spans="1:36" x14ac:dyDescent="0.25">
      <c r="A361" s="25" t="s">
        <v>87</v>
      </c>
      <c r="B361" s="25"/>
      <c r="C361" s="142">
        <v>45353</v>
      </c>
      <c r="D361" s="142">
        <v>45353</v>
      </c>
      <c r="E361">
        <f>Tabela4[[#This Row],[DATA FATURAMENTO]]-Tabela4[[#This Row],[DATA ORÇAMENTO]]</f>
        <v>0</v>
      </c>
      <c r="F361" s="25">
        <v>10796</v>
      </c>
      <c r="G361" s="25" t="s">
        <v>22</v>
      </c>
      <c r="H361" s="25"/>
      <c r="I361" s="155">
        <v>0</v>
      </c>
      <c r="J361" s="155">
        <v>77.760000000000005</v>
      </c>
      <c r="K361" s="153">
        <f>Tabela4[[#This Row],[PECAS]]+Tabela4[[#This Row],[SERVICOS]]</f>
        <v>77.760000000000005</v>
      </c>
      <c r="L361" s="155">
        <v>0</v>
      </c>
      <c r="M361" s="155">
        <v>0</v>
      </c>
      <c r="N361" s="67"/>
      <c r="O361" s="155">
        <v>0</v>
      </c>
      <c r="P361" s="155">
        <v>0</v>
      </c>
      <c r="Q361" s="155">
        <v>0</v>
      </c>
      <c r="R361" s="155">
        <v>0</v>
      </c>
      <c r="S361" s="154">
        <v>0</v>
      </c>
      <c r="T361" s="155">
        <v>0</v>
      </c>
      <c r="U361" s="155">
        <v>0</v>
      </c>
      <c r="V361" s="25"/>
      <c r="W361" s="22">
        <v>0</v>
      </c>
      <c r="X361" s="149">
        <v>0</v>
      </c>
      <c r="Y361" s="25"/>
      <c r="Z361" s="155">
        <v>0</v>
      </c>
      <c r="AA361" s="149">
        <f>Tabela4[[#This Row],[VALOR]]-Tabela4[[#This Row],[PNEUS]]-Tabela4[[#This Row],[BATERIA]]</f>
        <v>77.760000000000005</v>
      </c>
      <c r="AB361" s="27" t="s">
        <v>27</v>
      </c>
      <c r="AC361" s="30">
        <v>0</v>
      </c>
      <c r="AD361" s="162">
        <v>0</v>
      </c>
      <c r="AE361" s="162">
        <v>0</v>
      </c>
      <c r="AF361" s="162">
        <v>0</v>
      </c>
      <c r="AG361" s="162">
        <v>0</v>
      </c>
      <c r="AH361" s="162">
        <v>0</v>
      </c>
      <c r="AI361" s="162">
        <v>0</v>
      </c>
      <c r="AJ361" s="162">
        <v>0</v>
      </c>
    </row>
    <row r="362" spans="1:36" x14ac:dyDescent="0.25">
      <c r="A362" s="25" t="s">
        <v>821</v>
      </c>
      <c r="B362" s="25"/>
      <c r="C362" s="142">
        <v>45353</v>
      </c>
      <c r="D362" s="142">
        <v>45353</v>
      </c>
      <c r="E362">
        <f>Tabela4[[#This Row],[DATA FATURAMENTO]]-Tabela4[[#This Row],[DATA ORÇAMENTO]]</f>
        <v>0</v>
      </c>
      <c r="F362" s="25">
        <v>10794</v>
      </c>
      <c r="G362" s="25" t="s">
        <v>6</v>
      </c>
      <c r="H362" s="25"/>
      <c r="I362" s="155">
        <v>800</v>
      </c>
      <c r="J362" s="155">
        <v>0</v>
      </c>
      <c r="K362" s="153">
        <f>Tabela4[[#This Row],[PECAS]]+Tabela4[[#This Row],[SERVICOS]]</f>
        <v>800</v>
      </c>
      <c r="L362" s="155">
        <v>0</v>
      </c>
      <c r="M362" s="155">
        <v>0</v>
      </c>
      <c r="N362" s="67"/>
      <c r="O362" s="155">
        <v>0</v>
      </c>
      <c r="P362" s="155">
        <v>0</v>
      </c>
      <c r="Q362" s="155">
        <v>0</v>
      </c>
      <c r="R362" s="155">
        <v>0</v>
      </c>
      <c r="S362" s="154">
        <v>0</v>
      </c>
      <c r="T362" s="155">
        <v>0</v>
      </c>
      <c r="U362" s="155">
        <v>800</v>
      </c>
      <c r="V362" s="25" t="s">
        <v>808</v>
      </c>
      <c r="W362" s="22">
        <v>0</v>
      </c>
      <c r="X362" s="149">
        <v>0</v>
      </c>
      <c r="Y362" s="25"/>
      <c r="Z362" s="155">
        <v>0</v>
      </c>
      <c r="AA362" s="149">
        <f>Tabela4[[#This Row],[VALOR]]-Tabela4[[#This Row],[PNEUS]]-Tabela4[[#This Row],[BATERIA]]</f>
        <v>0</v>
      </c>
      <c r="AB362" s="27" t="s">
        <v>6</v>
      </c>
      <c r="AC362" s="30">
        <v>0</v>
      </c>
      <c r="AD362" s="162">
        <v>0</v>
      </c>
      <c r="AE362" s="162">
        <v>0</v>
      </c>
      <c r="AF362" s="162">
        <v>0</v>
      </c>
      <c r="AG362" s="162">
        <v>0</v>
      </c>
      <c r="AH362" s="162">
        <v>0</v>
      </c>
      <c r="AI362" s="162">
        <v>0</v>
      </c>
      <c r="AJ362" s="162">
        <v>0</v>
      </c>
    </row>
    <row r="363" spans="1:36" x14ac:dyDescent="0.25">
      <c r="A363" s="25" t="s">
        <v>73</v>
      </c>
      <c r="B363" s="25"/>
      <c r="C363" s="142">
        <v>45351</v>
      </c>
      <c r="D363" s="142">
        <v>45355</v>
      </c>
      <c r="E363">
        <f>Tabela4[[#This Row],[DATA FATURAMENTO]]-Tabela4[[#This Row],[DATA ORÇAMENTO]]</f>
        <v>4</v>
      </c>
      <c r="F363" s="25">
        <v>10779</v>
      </c>
      <c r="G363" s="25" t="s">
        <v>31</v>
      </c>
      <c r="H363" s="25"/>
      <c r="I363" s="155">
        <v>3541.6</v>
      </c>
      <c r="J363" s="155">
        <v>2258.4</v>
      </c>
      <c r="K363" s="153">
        <f>Tabela4[[#This Row],[PECAS]]+Tabela4[[#This Row],[SERVICOS]]</f>
        <v>5800</v>
      </c>
      <c r="L363" s="155">
        <v>0</v>
      </c>
      <c r="M363" s="155">
        <v>0</v>
      </c>
      <c r="N363" s="67"/>
      <c r="O363" s="155">
        <v>220</v>
      </c>
      <c r="P363" s="155">
        <v>0</v>
      </c>
      <c r="Q363" s="155">
        <v>0</v>
      </c>
      <c r="R363" s="155">
        <v>0</v>
      </c>
      <c r="S363" s="154">
        <v>0</v>
      </c>
      <c r="T363" s="155">
        <v>0</v>
      </c>
      <c r="U363" s="155">
        <v>0</v>
      </c>
      <c r="V363" s="25"/>
      <c r="W363" s="22">
        <v>0</v>
      </c>
      <c r="X363" s="149">
        <v>0</v>
      </c>
      <c r="Y363" s="25"/>
      <c r="Z363" s="155">
        <v>0</v>
      </c>
      <c r="AA363" s="149">
        <f>Tabela4[[#This Row],[VALOR]]-Tabela4[[#This Row],[PNEUS]]-Tabela4[[#This Row],[BATERIA]]</f>
        <v>5800</v>
      </c>
      <c r="AB363" s="27" t="s">
        <v>34</v>
      </c>
      <c r="AC363" s="30">
        <v>0</v>
      </c>
      <c r="AD363" s="162">
        <v>0</v>
      </c>
      <c r="AE363" s="162">
        <v>0</v>
      </c>
      <c r="AF363" s="162">
        <v>0</v>
      </c>
      <c r="AG363" s="162">
        <v>0</v>
      </c>
      <c r="AH363" s="162">
        <v>0</v>
      </c>
      <c r="AI363" s="162">
        <v>0</v>
      </c>
      <c r="AJ363" s="162">
        <v>0</v>
      </c>
    </row>
    <row r="364" spans="1:36" x14ac:dyDescent="0.25">
      <c r="A364" s="25" t="s">
        <v>70</v>
      </c>
      <c r="B364" s="25"/>
      <c r="C364" s="142">
        <v>45351</v>
      </c>
      <c r="D364" s="142">
        <v>45355</v>
      </c>
      <c r="E364">
        <f>Tabela4[[#This Row],[DATA FATURAMENTO]]-Tabela4[[#This Row],[DATA ORÇAMENTO]]</f>
        <v>4</v>
      </c>
      <c r="F364" s="51" t="s">
        <v>822</v>
      </c>
      <c r="G364" s="25" t="s">
        <v>39</v>
      </c>
      <c r="H364" s="25" t="s">
        <v>45</v>
      </c>
      <c r="I364" s="155">
        <f>1560</f>
        <v>1560</v>
      </c>
      <c r="J364" s="155">
        <f>220+324.73</f>
        <v>544.73</v>
      </c>
      <c r="K364" s="153">
        <f>Tabela4[[#This Row],[PECAS]]+Tabela4[[#This Row],[SERVICOS]]</f>
        <v>2104.73</v>
      </c>
      <c r="L364" s="155">
        <v>0</v>
      </c>
      <c r="M364" s="155">
        <v>0</v>
      </c>
      <c r="N364" s="67"/>
      <c r="O364" s="155">
        <v>0</v>
      </c>
      <c r="P364" s="155">
        <v>0</v>
      </c>
      <c r="Q364" s="155">
        <v>0</v>
      </c>
      <c r="R364" s="155">
        <v>0</v>
      </c>
      <c r="S364" s="154">
        <v>0</v>
      </c>
      <c r="T364" s="155">
        <v>0</v>
      </c>
      <c r="U364" s="155">
        <v>0</v>
      </c>
      <c r="V364" s="25"/>
      <c r="W364" s="22">
        <v>0</v>
      </c>
      <c r="X364" s="149">
        <v>0</v>
      </c>
      <c r="Y364" s="25"/>
      <c r="Z364" s="155">
        <v>0</v>
      </c>
      <c r="AA364" s="149">
        <f>Tabela4[[#This Row],[VALOR]]-Tabela4[[#This Row],[PNEUS]]-Tabela4[[#This Row],[BATERIA]]</f>
        <v>2104.73</v>
      </c>
      <c r="AB364" s="27" t="s">
        <v>34</v>
      </c>
      <c r="AC364" s="30">
        <v>0</v>
      </c>
      <c r="AD364" s="162">
        <v>0</v>
      </c>
      <c r="AE364" s="162">
        <v>0</v>
      </c>
      <c r="AF364" s="162">
        <v>0</v>
      </c>
      <c r="AG364" s="162">
        <v>0</v>
      </c>
      <c r="AH364" s="162">
        <v>0</v>
      </c>
      <c r="AI364" s="162">
        <v>0</v>
      </c>
      <c r="AJ364" s="162">
        <v>0</v>
      </c>
    </row>
    <row r="365" spans="1:36" x14ac:dyDescent="0.25">
      <c r="A365" s="25" t="s">
        <v>106</v>
      </c>
      <c r="B365" s="25"/>
      <c r="C365" s="142">
        <v>45355</v>
      </c>
      <c r="D365" s="142">
        <v>45355</v>
      </c>
      <c r="E365">
        <f>Tabela4[[#This Row],[DATA FATURAMENTO]]-Tabela4[[#This Row],[DATA ORÇAMENTO]]</f>
        <v>0</v>
      </c>
      <c r="F365" s="25">
        <v>10803</v>
      </c>
      <c r="G365" s="25" t="s">
        <v>39</v>
      </c>
      <c r="H365" s="25" t="s">
        <v>45</v>
      </c>
      <c r="I365" s="155">
        <v>483.5</v>
      </c>
      <c r="J365" s="155">
        <v>120</v>
      </c>
      <c r="K365" s="153">
        <f>Tabela4[[#This Row],[PECAS]]+Tabela4[[#This Row],[SERVICOS]]</f>
        <v>603.5</v>
      </c>
      <c r="L365" s="155">
        <v>0</v>
      </c>
      <c r="M365" s="155">
        <v>0</v>
      </c>
      <c r="N365" s="67"/>
      <c r="O365" s="155">
        <v>0</v>
      </c>
      <c r="P365" s="155">
        <v>0</v>
      </c>
      <c r="Q365" s="155">
        <v>0</v>
      </c>
      <c r="R365" s="155">
        <v>0</v>
      </c>
      <c r="S365" s="154">
        <v>70</v>
      </c>
      <c r="T365" s="155">
        <v>0</v>
      </c>
      <c r="U365" s="155">
        <v>0</v>
      </c>
      <c r="V365" s="25"/>
      <c r="W365" s="22">
        <v>0</v>
      </c>
      <c r="X365" s="149">
        <v>0</v>
      </c>
      <c r="Y365" s="25"/>
      <c r="Z365" s="155">
        <v>70</v>
      </c>
      <c r="AA365" s="149">
        <f>Tabela4[[#This Row],[VALOR]]-Tabela4[[#This Row],[PNEUS]]-Tabela4[[#This Row],[BATERIA]]</f>
        <v>603.5</v>
      </c>
      <c r="AB365" s="27" t="s">
        <v>24</v>
      </c>
      <c r="AC365" s="30">
        <v>0</v>
      </c>
      <c r="AD365" s="162">
        <v>0</v>
      </c>
      <c r="AE365" s="162">
        <v>0</v>
      </c>
      <c r="AF365" s="162">
        <v>0</v>
      </c>
      <c r="AG365" s="162">
        <v>0</v>
      </c>
      <c r="AH365" s="162">
        <v>0</v>
      </c>
      <c r="AI365" s="162">
        <v>0</v>
      </c>
      <c r="AJ365" s="162">
        <v>0</v>
      </c>
    </row>
    <row r="366" spans="1:36" x14ac:dyDescent="0.25">
      <c r="A366" s="25" t="s">
        <v>823</v>
      </c>
      <c r="B366" s="25"/>
      <c r="C366" s="142">
        <v>45355</v>
      </c>
      <c r="D366" s="142">
        <v>45355</v>
      </c>
      <c r="E366">
        <f>Tabela4[[#This Row],[DATA FATURAMENTO]]-Tabela4[[#This Row],[DATA ORÇAMENTO]]</f>
        <v>0</v>
      </c>
      <c r="F366" s="25">
        <v>10806</v>
      </c>
      <c r="G366" s="25" t="s">
        <v>6</v>
      </c>
      <c r="H366" s="25"/>
      <c r="I366" s="155">
        <v>522.5</v>
      </c>
      <c r="J366" s="155">
        <v>0</v>
      </c>
      <c r="K366" s="153">
        <f>Tabela4[[#This Row],[PECAS]]+Tabela4[[#This Row],[SERVICOS]]</f>
        <v>522.5</v>
      </c>
      <c r="L366" s="155">
        <v>0</v>
      </c>
      <c r="M366" s="155">
        <v>0</v>
      </c>
      <c r="N366" s="67"/>
      <c r="O366" s="155">
        <v>0</v>
      </c>
      <c r="P366" s="155">
        <v>0</v>
      </c>
      <c r="Q366" s="155">
        <v>0</v>
      </c>
      <c r="R366" s="155">
        <v>0</v>
      </c>
      <c r="S366" s="154">
        <v>0</v>
      </c>
      <c r="T366" s="155">
        <v>0</v>
      </c>
      <c r="U366" s="155">
        <v>522.5</v>
      </c>
      <c r="V366" s="25" t="s">
        <v>664</v>
      </c>
      <c r="W366" s="22">
        <v>0</v>
      </c>
      <c r="X366" s="149">
        <v>0</v>
      </c>
      <c r="Y366" s="25"/>
      <c r="Z366" s="155">
        <v>0</v>
      </c>
      <c r="AA366" s="149">
        <f>Tabela4[[#This Row],[VALOR]]-Tabela4[[#This Row],[PNEUS]]-Tabela4[[#This Row],[BATERIA]]</f>
        <v>0</v>
      </c>
      <c r="AB366" s="27" t="s">
        <v>6</v>
      </c>
      <c r="AC366" s="30">
        <v>0</v>
      </c>
      <c r="AD366" s="162">
        <v>0</v>
      </c>
      <c r="AE366" s="162">
        <v>0</v>
      </c>
      <c r="AF366" s="162">
        <v>0</v>
      </c>
      <c r="AG366" s="162">
        <v>0</v>
      </c>
      <c r="AH366" s="162">
        <v>0</v>
      </c>
      <c r="AI366" s="162">
        <v>0</v>
      </c>
      <c r="AJ366" s="162">
        <v>0</v>
      </c>
    </row>
    <row r="367" spans="1:36" x14ac:dyDescent="0.25">
      <c r="A367" s="25" t="s">
        <v>824</v>
      </c>
      <c r="B367" s="25"/>
      <c r="C367" s="142">
        <v>45355</v>
      </c>
      <c r="D367" s="142">
        <v>45355</v>
      </c>
      <c r="E367">
        <f>Tabela4[[#This Row],[DATA FATURAMENTO]]-Tabela4[[#This Row],[DATA ORÇAMENTO]]</f>
        <v>0</v>
      </c>
      <c r="F367" s="25">
        <v>10808</v>
      </c>
      <c r="G367" s="25" t="s">
        <v>6</v>
      </c>
      <c r="H367" s="25"/>
      <c r="I367" s="155">
        <v>522.5</v>
      </c>
      <c r="J367" s="155">
        <v>0</v>
      </c>
      <c r="K367" s="153">
        <f>Tabela4[[#This Row],[PECAS]]+Tabela4[[#This Row],[SERVICOS]]</f>
        <v>522.5</v>
      </c>
      <c r="L367" s="155">
        <v>0</v>
      </c>
      <c r="M367" s="155">
        <v>0</v>
      </c>
      <c r="N367" s="67"/>
      <c r="O367" s="155">
        <v>0</v>
      </c>
      <c r="P367" s="155">
        <v>0</v>
      </c>
      <c r="Q367" s="155">
        <v>0</v>
      </c>
      <c r="R367" s="155">
        <v>0</v>
      </c>
      <c r="S367" s="154">
        <v>0</v>
      </c>
      <c r="T367" s="155">
        <v>0</v>
      </c>
      <c r="U367" s="155">
        <v>522.5</v>
      </c>
      <c r="V367" s="25" t="s">
        <v>640</v>
      </c>
      <c r="W367" s="22">
        <v>0</v>
      </c>
      <c r="X367" s="149">
        <v>0</v>
      </c>
      <c r="Y367" s="25"/>
      <c r="Z367" s="155">
        <v>0</v>
      </c>
      <c r="AA367" s="149">
        <f>Tabela4[[#This Row],[VALOR]]-Tabela4[[#This Row],[PNEUS]]-Tabela4[[#This Row],[BATERIA]]</f>
        <v>0</v>
      </c>
      <c r="AB367" s="27" t="s">
        <v>6</v>
      </c>
      <c r="AC367" s="30">
        <v>0</v>
      </c>
      <c r="AD367" s="162">
        <v>0</v>
      </c>
      <c r="AE367" s="162">
        <v>0</v>
      </c>
      <c r="AF367" s="162">
        <v>0</v>
      </c>
      <c r="AG367" s="162">
        <v>0</v>
      </c>
      <c r="AH367" s="162">
        <v>0</v>
      </c>
      <c r="AI367" s="162">
        <v>0</v>
      </c>
      <c r="AJ367" s="162">
        <v>0</v>
      </c>
    </row>
    <row r="368" spans="1:36" x14ac:dyDescent="0.25">
      <c r="A368" s="25" t="s">
        <v>825</v>
      </c>
      <c r="B368" s="25"/>
      <c r="C368" s="142">
        <v>45355</v>
      </c>
      <c r="D368" s="142">
        <v>45356</v>
      </c>
      <c r="E368">
        <f>Tabela4[[#This Row],[DATA FATURAMENTO]]-Tabela4[[#This Row],[DATA ORÇAMENTO]]</f>
        <v>1</v>
      </c>
      <c r="F368" s="25">
        <v>10804</v>
      </c>
      <c r="G368" s="25" t="s">
        <v>35</v>
      </c>
      <c r="H368" s="25"/>
      <c r="I368" s="155">
        <v>610.5</v>
      </c>
      <c r="J368" s="155">
        <v>820</v>
      </c>
      <c r="K368" s="153">
        <f>Tabela4[[#This Row],[PECAS]]+Tabela4[[#This Row],[SERVICOS]]</f>
        <v>1430.5</v>
      </c>
      <c r="L368" s="155">
        <v>0</v>
      </c>
      <c r="M368" s="155">
        <v>0</v>
      </c>
      <c r="N368" s="67"/>
      <c r="O368" s="155">
        <v>0</v>
      </c>
      <c r="P368" s="155">
        <v>0</v>
      </c>
      <c r="Q368" s="155">
        <v>0</v>
      </c>
      <c r="R368" s="155">
        <v>0</v>
      </c>
      <c r="S368" s="154">
        <v>0</v>
      </c>
      <c r="T368" s="155">
        <v>0</v>
      </c>
      <c r="U368" s="155">
        <v>0</v>
      </c>
      <c r="V368" s="25"/>
      <c r="W368" s="22">
        <v>0</v>
      </c>
      <c r="X368" s="149">
        <v>0</v>
      </c>
      <c r="Y368" s="25"/>
      <c r="Z368" s="155">
        <v>0</v>
      </c>
      <c r="AA368" s="149">
        <f>Tabela4[[#This Row],[VALOR]]-Tabela4[[#This Row],[PNEUS]]-Tabela4[[#This Row],[BATERIA]]</f>
        <v>1430.5</v>
      </c>
      <c r="AB368" s="27" t="s">
        <v>34</v>
      </c>
      <c r="AC368" s="30">
        <v>0</v>
      </c>
      <c r="AD368" s="162">
        <v>0</v>
      </c>
      <c r="AE368" s="162">
        <v>0</v>
      </c>
      <c r="AF368" s="162">
        <v>0</v>
      </c>
      <c r="AG368" s="162">
        <v>0</v>
      </c>
      <c r="AH368" s="162">
        <v>0</v>
      </c>
      <c r="AI368" s="162">
        <v>0</v>
      </c>
      <c r="AJ368" s="162">
        <v>0</v>
      </c>
    </row>
    <row r="369" spans="1:36" x14ac:dyDescent="0.25">
      <c r="A369" s="25" t="s">
        <v>826</v>
      </c>
      <c r="B369" s="25"/>
      <c r="C369" s="142">
        <v>45355</v>
      </c>
      <c r="D369" s="142">
        <v>45356</v>
      </c>
      <c r="E369">
        <f>Tabela4[[#This Row],[DATA FATURAMENTO]]-Tabela4[[#This Row],[DATA ORÇAMENTO]]</f>
        <v>1</v>
      </c>
      <c r="F369" s="25">
        <v>10811</v>
      </c>
      <c r="G369" s="25" t="s">
        <v>31</v>
      </c>
      <c r="H369" s="25"/>
      <c r="I369" s="155">
        <v>120</v>
      </c>
      <c r="J369" s="155">
        <v>80.260000000000005</v>
      </c>
      <c r="K369" s="153">
        <f>Tabela4[[#This Row],[PECAS]]+Tabela4[[#This Row],[SERVICOS]]</f>
        <v>200.26</v>
      </c>
      <c r="L369" s="155">
        <v>0</v>
      </c>
      <c r="M369" s="155">
        <v>0</v>
      </c>
      <c r="N369" s="67"/>
      <c r="O369" s="155">
        <v>0</v>
      </c>
      <c r="P369" s="155">
        <v>120</v>
      </c>
      <c r="Q369" s="155">
        <v>0</v>
      </c>
      <c r="R369" s="155">
        <v>0</v>
      </c>
      <c r="S369" s="154">
        <v>0</v>
      </c>
      <c r="T369" s="155">
        <v>0</v>
      </c>
      <c r="U369" s="155">
        <v>0</v>
      </c>
      <c r="V369" s="25"/>
      <c r="W369" s="22">
        <v>0</v>
      </c>
      <c r="X369" s="149">
        <v>0</v>
      </c>
      <c r="Y369" s="25"/>
      <c r="Z369" s="155">
        <v>0</v>
      </c>
      <c r="AA369" s="149">
        <f>Tabela4[[#This Row],[VALOR]]-Tabela4[[#This Row],[PNEUS]]-Tabela4[[#This Row],[BATERIA]]</f>
        <v>200.26</v>
      </c>
      <c r="AB369" s="27" t="s">
        <v>34</v>
      </c>
      <c r="AC369" s="30">
        <v>0</v>
      </c>
      <c r="AD369" s="162">
        <v>0</v>
      </c>
      <c r="AE369" s="162">
        <v>0</v>
      </c>
      <c r="AF369" s="162">
        <v>0</v>
      </c>
      <c r="AG369" s="162">
        <v>0</v>
      </c>
      <c r="AH369" s="162">
        <v>0</v>
      </c>
      <c r="AI369" s="162">
        <v>0</v>
      </c>
      <c r="AJ369" s="162">
        <v>0</v>
      </c>
    </row>
    <row r="370" spans="1:36" x14ac:dyDescent="0.25">
      <c r="A370" s="25" t="s">
        <v>118</v>
      </c>
      <c r="B370" s="25"/>
      <c r="C370" s="142">
        <v>45356</v>
      </c>
      <c r="D370" s="142">
        <v>45356</v>
      </c>
      <c r="E370">
        <f>Tabela4[[#This Row],[DATA FATURAMENTO]]-Tabela4[[#This Row],[DATA ORÇAMENTO]]</f>
        <v>0</v>
      </c>
      <c r="F370" s="25">
        <v>10818</v>
      </c>
      <c r="G370" s="25" t="s">
        <v>6</v>
      </c>
      <c r="H370" s="25"/>
      <c r="I370" s="155">
        <v>530</v>
      </c>
      <c r="J370" s="155">
        <v>0</v>
      </c>
      <c r="K370" s="153">
        <f>Tabela4[[#This Row],[PECAS]]+Tabela4[[#This Row],[SERVICOS]]</f>
        <v>530</v>
      </c>
      <c r="L370" s="155">
        <v>0</v>
      </c>
      <c r="M370" s="155">
        <v>0</v>
      </c>
      <c r="N370" s="67"/>
      <c r="O370" s="155">
        <v>0</v>
      </c>
      <c r="P370" s="155">
        <v>0</v>
      </c>
      <c r="Q370" s="155">
        <v>0</v>
      </c>
      <c r="R370" s="155">
        <v>0</v>
      </c>
      <c r="S370" s="154">
        <v>0</v>
      </c>
      <c r="T370" s="155">
        <v>0</v>
      </c>
      <c r="U370" s="155">
        <v>530</v>
      </c>
      <c r="V370" s="25" t="s">
        <v>684</v>
      </c>
      <c r="W370" s="22">
        <v>0</v>
      </c>
      <c r="X370" s="149">
        <v>0</v>
      </c>
      <c r="Y370" s="25"/>
      <c r="Z370" s="155">
        <v>0</v>
      </c>
      <c r="AA370" s="149">
        <f>Tabela4[[#This Row],[VALOR]]-Tabela4[[#This Row],[PNEUS]]-Tabela4[[#This Row],[BATERIA]]</f>
        <v>0</v>
      </c>
      <c r="AB370" s="27" t="s">
        <v>6</v>
      </c>
      <c r="AC370" s="30">
        <v>0</v>
      </c>
      <c r="AD370" s="162">
        <v>0</v>
      </c>
      <c r="AE370" s="162">
        <v>0</v>
      </c>
      <c r="AF370" s="162">
        <v>0</v>
      </c>
      <c r="AG370" s="162">
        <v>0</v>
      </c>
      <c r="AH370" s="162">
        <v>0</v>
      </c>
      <c r="AI370" s="162">
        <v>0</v>
      </c>
      <c r="AJ370" s="162">
        <v>0</v>
      </c>
    </row>
    <row r="371" spans="1:36" x14ac:dyDescent="0.25">
      <c r="A371" s="25" t="s">
        <v>827</v>
      </c>
      <c r="B371" s="25"/>
      <c r="C371" s="142">
        <v>45356</v>
      </c>
      <c r="D371" s="142">
        <v>45356</v>
      </c>
      <c r="E371">
        <f>Tabela4[[#This Row],[DATA FATURAMENTO]]-Tabela4[[#This Row],[DATA ORÇAMENTO]]</f>
        <v>0</v>
      </c>
      <c r="F371" s="25">
        <v>10821</v>
      </c>
      <c r="G371" s="25" t="s">
        <v>22</v>
      </c>
      <c r="H371" s="25"/>
      <c r="I371" s="155">
        <v>80</v>
      </c>
      <c r="J371" s="155">
        <v>0</v>
      </c>
      <c r="K371" s="153">
        <f>Tabela4[[#This Row],[PECAS]]+Tabela4[[#This Row],[SERVICOS]]</f>
        <v>80</v>
      </c>
      <c r="L371" s="155">
        <v>0</v>
      </c>
      <c r="M371" s="155">
        <v>0</v>
      </c>
      <c r="N371" s="67"/>
      <c r="O371" s="155">
        <v>0</v>
      </c>
      <c r="P371" s="155">
        <v>0</v>
      </c>
      <c r="Q371" s="155">
        <v>0</v>
      </c>
      <c r="R371" s="155">
        <v>0</v>
      </c>
      <c r="S371" s="154">
        <v>0</v>
      </c>
      <c r="T371" s="155">
        <v>0</v>
      </c>
      <c r="U371" s="155">
        <v>0</v>
      </c>
      <c r="V371" s="25"/>
      <c r="W371" s="22">
        <v>0</v>
      </c>
      <c r="X371" s="149">
        <v>0</v>
      </c>
      <c r="Y371" s="25"/>
      <c r="Z371" s="155">
        <v>0</v>
      </c>
      <c r="AA371" s="149">
        <f>Tabela4[[#This Row],[VALOR]]-Tabela4[[#This Row],[PNEUS]]-Tabela4[[#This Row],[BATERIA]]</f>
        <v>80</v>
      </c>
      <c r="AB371" s="27" t="s">
        <v>27</v>
      </c>
      <c r="AC371" s="30">
        <v>0</v>
      </c>
      <c r="AD371" s="162">
        <v>0</v>
      </c>
      <c r="AE371" s="162">
        <v>0</v>
      </c>
      <c r="AF371" s="162">
        <v>0</v>
      </c>
      <c r="AG371" s="162">
        <v>0</v>
      </c>
      <c r="AH371" s="162">
        <v>0</v>
      </c>
      <c r="AI371" s="162">
        <v>0</v>
      </c>
      <c r="AJ371" s="162">
        <v>0</v>
      </c>
    </row>
    <row r="372" spans="1:36" x14ac:dyDescent="0.25">
      <c r="A372" s="25" t="s">
        <v>828</v>
      </c>
      <c r="B372" s="25"/>
      <c r="C372" s="142">
        <v>45356</v>
      </c>
      <c r="D372" s="142">
        <v>45356</v>
      </c>
      <c r="E372">
        <f>Tabela4[[#This Row],[DATA FATURAMENTO]]-Tabela4[[#This Row],[DATA ORÇAMENTO]]</f>
        <v>0</v>
      </c>
      <c r="F372" s="25">
        <v>10814</v>
      </c>
      <c r="G372" s="25" t="s">
        <v>6</v>
      </c>
      <c r="H372" s="25"/>
      <c r="I372" s="155">
        <v>522.5</v>
      </c>
      <c r="J372" s="155">
        <v>0</v>
      </c>
      <c r="K372" s="153">
        <f>Tabela4[[#This Row],[PECAS]]+Tabela4[[#This Row],[SERVICOS]]</f>
        <v>522.5</v>
      </c>
      <c r="L372" s="155">
        <v>0</v>
      </c>
      <c r="M372" s="155">
        <v>0</v>
      </c>
      <c r="N372" s="67"/>
      <c r="O372" s="155">
        <v>0</v>
      </c>
      <c r="P372" s="155">
        <v>0</v>
      </c>
      <c r="Q372" s="155">
        <v>0</v>
      </c>
      <c r="R372" s="155">
        <v>0</v>
      </c>
      <c r="S372" s="154">
        <v>0</v>
      </c>
      <c r="T372" s="155">
        <v>0</v>
      </c>
      <c r="U372" s="155">
        <v>522.5</v>
      </c>
      <c r="V372" s="25" t="s">
        <v>640</v>
      </c>
      <c r="W372" s="22">
        <v>0</v>
      </c>
      <c r="X372" s="149">
        <v>0</v>
      </c>
      <c r="Y372" s="25"/>
      <c r="Z372" s="155">
        <v>0</v>
      </c>
      <c r="AA372" s="149">
        <f>Tabela4[[#This Row],[VALOR]]-Tabela4[[#This Row],[PNEUS]]-Tabela4[[#This Row],[BATERIA]]</f>
        <v>0</v>
      </c>
      <c r="AB372" s="27" t="s">
        <v>6</v>
      </c>
      <c r="AC372" s="30">
        <v>0</v>
      </c>
      <c r="AD372" s="162">
        <v>0</v>
      </c>
      <c r="AE372" s="162">
        <v>0</v>
      </c>
      <c r="AF372" s="162">
        <v>0</v>
      </c>
      <c r="AG372" s="162">
        <v>0</v>
      </c>
      <c r="AH372" s="162">
        <v>0</v>
      </c>
      <c r="AI372" s="162">
        <v>0</v>
      </c>
      <c r="AJ372" s="162">
        <v>0</v>
      </c>
    </row>
    <row r="373" spans="1:36" x14ac:dyDescent="0.25">
      <c r="A373" s="25" t="s">
        <v>114</v>
      </c>
      <c r="B373" s="25"/>
      <c r="C373" s="142">
        <v>45356</v>
      </c>
      <c r="D373" s="142">
        <v>45356</v>
      </c>
      <c r="E373">
        <f>Tabela4[[#This Row],[DATA FATURAMENTO]]-Tabela4[[#This Row],[DATA ORÇAMENTO]]</f>
        <v>0</v>
      </c>
      <c r="F373" s="25">
        <v>10816</v>
      </c>
      <c r="G373" s="25" t="s">
        <v>35</v>
      </c>
      <c r="H373" s="25"/>
      <c r="I373" s="155">
        <v>535.9</v>
      </c>
      <c r="J373" s="155">
        <v>629.20000000000005</v>
      </c>
      <c r="K373" s="153">
        <f>Tabela4[[#This Row],[PECAS]]+Tabela4[[#This Row],[SERVICOS]]</f>
        <v>1165.0999999999999</v>
      </c>
      <c r="L373" s="155">
        <v>0</v>
      </c>
      <c r="M373" s="155">
        <v>0</v>
      </c>
      <c r="N373" s="67"/>
      <c r="O373" s="155">
        <v>0</v>
      </c>
      <c r="P373" s="155">
        <v>0</v>
      </c>
      <c r="Q373" s="155">
        <v>0</v>
      </c>
      <c r="R373" s="155">
        <v>0</v>
      </c>
      <c r="S373" s="154">
        <v>166.94</v>
      </c>
      <c r="T373" s="155">
        <v>0</v>
      </c>
      <c r="U373" s="155">
        <v>0</v>
      </c>
      <c r="V373" s="25"/>
      <c r="W373" s="22">
        <v>0</v>
      </c>
      <c r="X373" s="149">
        <v>0</v>
      </c>
      <c r="Y373" s="25"/>
      <c r="Z373" s="155">
        <v>166.94</v>
      </c>
      <c r="AA373" s="149">
        <f>Tabela4[[#This Row],[VALOR]]-Tabela4[[#This Row],[PNEUS]]-Tabela4[[#This Row],[BATERIA]]</f>
        <v>1165.0999999999999</v>
      </c>
      <c r="AB373" s="27" t="s">
        <v>34</v>
      </c>
      <c r="AC373" s="30">
        <v>0</v>
      </c>
      <c r="AD373" s="162">
        <v>0</v>
      </c>
      <c r="AE373" s="162">
        <v>0</v>
      </c>
      <c r="AF373" s="162">
        <v>0</v>
      </c>
      <c r="AG373" s="162">
        <v>0</v>
      </c>
      <c r="AH373" s="162">
        <v>0</v>
      </c>
      <c r="AI373" s="162">
        <v>0</v>
      </c>
      <c r="AJ373" s="162">
        <v>0</v>
      </c>
    </row>
    <row r="374" spans="1:36" x14ac:dyDescent="0.25">
      <c r="A374" s="25" t="s">
        <v>829</v>
      </c>
      <c r="B374" s="25"/>
      <c r="C374" s="142">
        <v>45356</v>
      </c>
      <c r="D374" s="142">
        <v>45356</v>
      </c>
      <c r="E374">
        <f>Tabela4[[#This Row],[DATA FATURAMENTO]]-Tabela4[[#This Row],[DATA ORÇAMENTO]]</f>
        <v>0</v>
      </c>
      <c r="F374" s="25">
        <v>10817</v>
      </c>
      <c r="G374" s="25" t="s">
        <v>39</v>
      </c>
      <c r="H374" s="25" t="s">
        <v>44</v>
      </c>
      <c r="I374" s="155">
        <v>0</v>
      </c>
      <c r="J374" s="155">
        <v>120</v>
      </c>
      <c r="K374" s="153">
        <f>Tabela4[[#This Row],[PECAS]]+Tabela4[[#This Row],[SERVICOS]]</f>
        <v>120</v>
      </c>
      <c r="L374" s="155">
        <v>0</v>
      </c>
      <c r="M374" s="155">
        <v>0</v>
      </c>
      <c r="N374" s="67"/>
      <c r="O374" s="155">
        <v>0</v>
      </c>
      <c r="P374" s="155">
        <v>0</v>
      </c>
      <c r="Q374" s="155">
        <v>0</v>
      </c>
      <c r="R374" s="155">
        <v>0</v>
      </c>
      <c r="S374" s="154">
        <v>0</v>
      </c>
      <c r="T374" s="155">
        <v>0</v>
      </c>
      <c r="U374" s="155">
        <v>0</v>
      </c>
      <c r="V374" s="25"/>
      <c r="W374" s="22">
        <v>0</v>
      </c>
      <c r="X374" s="149">
        <v>0</v>
      </c>
      <c r="Y374" s="25"/>
      <c r="Z374" s="155">
        <v>0</v>
      </c>
      <c r="AA374" s="149">
        <f>Tabela4[[#This Row],[VALOR]]-Tabela4[[#This Row],[PNEUS]]-Tabela4[[#This Row],[BATERIA]]</f>
        <v>120</v>
      </c>
      <c r="AB374" s="27" t="s">
        <v>27</v>
      </c>
      <c r="AC374" s="30">
        <v>0</v>
      </c>
      <c r="AD374" s="162">
        <v>0</v>
      </c>
      <c r="AE374" s="162">
        <v>0</v>
      </c>
      <c r="AF374" s="162">
        <v>0</v>
      </c>
      <c r="AG374" s="162">
        <v>0</v>
      </c>
      <c r="AH374" s="162">
        <v>0</v>
      </c>
      <c r="AI374" s="162">
        <v>0</v>
      </c>
      <c r="AJ374" s="162">
        <v>0</v>
      </c>
    </row>
    <row r="375" spans="1:36" x14ac:dyDescent="0.25">
      <c r="A375" s="25" t="s">
        <v>83</v>
      </c>
      <c r="B375" s="25"/>
      <c r="C375" s="142">
        <v>45351</v>
      </c>
      <c r="D375" s="142">
        <v>45357</v>
      </c>
      <c r="E375">
        <f>Tabela4[[#This Row],[DATA FATURAMENTO]]-Tabela4[[#This Row],[DATA ORÇAMENTO]]</f>
        <v>6</v>
      </c>
      <c r="F375" s="25">
        <v>10768</v>
      </c>
      <c r="G375" s="25" t="s">
        <v>28</v>
      </c>
      <c r="H375" s="25"/>
      <c r="I375" s="155">
        <v>721.6</v>
      </c>
      <c r="J375" s="155">
        <v>204</v>
      </c>
      <c r="K375" s="153">
        <f>Tabela4[[#This Row],[PECAS]]+Tabela4[[#This Row],[SERVICOS]]</f>
        <v>925.6</v>
      </c>
      <c r="L375" s="155">
        <v>0</v>
      </c>
      <c r="M375" s="155">
        <v>0</v>
      </c>
      <c r="N375" s="67"/>
      <c r="O375" s="155">
        <v>0</v>
      </c>
      <c r="P375" s="155">
        <v>0</v>
      </c>
      <c r="Q375" s="155">
        <v>0</v>
      </c>
      <c r="R375" s="155">
        <v>0</v>
      </c>
      <c r="S375" s="154">
        <v>0</v>
      </c>
      <c r="T375" s="155">
        <v>0</v>
      </c>
      <c r="U375" s="155">
        <v>0</v>
      </c>
      <c r="V375" s="25"/>
      <c r="W375" s="22">
        <v>0</v>
      </c>
      <c r="X375" s="149">
        <v>0</v>
      </c>
      <c r="Y375" s="25"/>
      <c r="Z375" s="155">
        <v>0</v>
      </c>
      <c r="AA375" s="149">
        <f>Tabela4[[#This Row],[VALOR]]-Tabela4[[#This Row],[PNEUS]]-Tabela4[[#This Row],[BATERIA]]</f>
        <v>925.6</v>
      </c>
      <c r="AB375" s="52" t="s">
        <v>38</v>
      </c>
      <c r="AC375" s="30">
        <v>0</v>
      </c>
      <c r="AD375" s="162">
        <v>0</v>
      </c>
      <c r="AE375" s="162">
        <v>0</v>
      </c>
      <c r="AF375" s="162">
        <v>0</v>
      </c>
      <c r="AG375" s="162">
        <v>0</v>
      </c>
      <c r="AH375" s="162">
        <v>0</v>
      </c>
      <c r="AI375" s="162">
        <v>0</v>
      </c>
      <c r="AJ375" s="162">
        <v>0</v>
      </c>
    </row>
    <row r="376" spans="1:36" x14ac:dyDescent="0.25">
      <c r="A376" s="25" t="s">
        <v>94</v>
      </c>
      <c r="B376" s="25"/>
      <c r="C376" s="142">
        <v>45355</v>
      </c>
      <c r="D376" s="142">
        <v>45357</v>
      </c>
      <c r="E376">
        <f>Tabela4[[#This Row],[DATA FATURAMENTO]]-Tabela4[[#This Row],[DATA ORÇAMENTO]]</f>
        <v>2</v>
      </c>
      <c r="F376" s="25">
        <v>10799</v>
      </c>
      <c r="G376" s="25" t="s">
        <v>22</v>
      </c>
      <c r="H376" s="25"/>
      <c r="I376" s="155">
        <v>2863.7</v>
      </c>
      <c r="J376" s="155">
        <v>1794.3</v>
      </c>
      <c r="K376" s="153">
        <f>Tabela4[[#This Row],[PECAS]]+Tabela4[[#This Row],[SERVICOS]]</f>
        <v>4658</v>
      </c>
      <c r="L376" s="155">
        <v>110</v>
      </c>
      <c r="M376" s="155">
        <f>77.6+24.8+72</f>
        <v>174.39999999999998</v>
      </c>
      <c r="N376" s="67"/>
      <c r="O376" s="155">
        <v>220</v>
      </c>
      <c r="P376" s="155">
        <f>72.5+94</f>
        <v>166.5</v>
      </c>
      <c r="Q376" s="155">
        <v>170</v>
      </c>
      <c r="R376" s="155">
        <v>0</v>
      </c>
      <c r="S376" s="154">
        <v>176</v>
      </c>
      <c r="T376" s="155">
        <v>0</v>
      </c>
      <c r="U376" s="155">
        <v>0</v>
      </c>
      <c r="V376" s="25"/>
      <c r="W376" s="28">
        <v>3</v>
      </c>
      <c r="X376" s="149">
        <v>0</v>
      </c>
      <c r="Y376" s="25" t="s">
        <v>807</v>
      </c>
      <c r="Z376" s="155">
        <v>176</v>
      </c>
      <c r="AA376" s="149">
        <f>Tabela4[[#This Row],[VALOR]]-Tabela4[[#This Row],[PNEUS]]-Tabela4[[#This Row],[BATERIA]]</f>
        <v>4658</v>
      </c>
      <c r="AB376" s="27" t="s">
        <v>27</v>
      </c>
      <c r="AC376" s="30">
        <v>0</v>
      </c>
      <c r="AD376" s="162">
        <v>0</v>
      </c>
      <c r="AE376" s="162">
        <v>0</v>
      </c>
      <c r="AF376" s="162">
        <v>0</v>
      </c>
      <c r="AG376" s="162">
        <v>0</v>
      </c>
      <c r="AH376" s="162">
        <v>0</v>
      </c>
      <c r="AI376" s="162">
        <v>0</v>
      </c>
      <c r="AJ376" s="162">
        <v>0</v>
      </c>
    </row>
    <row r="377" spans="1:36" x14ac:dyDescent="0.25">
      <c r="A377" s="25" t="s">
        <v>830</v>
      </c>
      <c r="B377" s="25"/>
      <c r="C377" s="142">
        <v>45357</v>
      </c>
      <c r="D377" s="142">
        <v>45357</v>
      </c>
      <c r="E377">
        <f>Tabela4[[#This Row],[DATA FATURAMENTO]]-Tabela4[[#This Row],[DATA ORÇAMENTO]]</f>
        <v>0</v>
      </c>
      <c r="F377" s="25">
        <v>10824</v>
      </c>
      <c r="G377" s="25" t="s">
        <v>39</v>
      </c>
      <c r="H377" s="25" t="s">
        <v>44</v>
      </c>
      <c r="I377" s="155">
        <v>20</v>
      </c>
      <c r="J377" s="155">
        <v>120</v>
      </c>
      <c r="K377" s="153">
        <f>Tabela4[[#This Row],[PECAS]]+Tabela4[[#This Row],[SERVICOS]]</f>
        <v>140</v>
      </c>
      <c r="L377" s="155">
        <v>0</v>
      </c>
      <c r="M377" s="155">
        <v>0</v>
      </c>
      <c r="N377" s="67"/>
      <c r="O377" s="155">
        <v>0</v>
      </c>
      <c r="P377" s="155">
        <v>0</v>
      </c>
      <c r="Q377" s="155">
        <v>0</v>
      </c>
      <c r="R377" s="155">
        <v>0</v>
      </c>
      <c r="S377" s="154">
        <v>0</v>
      </c>
      <c r="T377" s="155">
        <v>0</v>
      </c>
      <c r="U377" s="155">
        <v>0</v>
      </c>
      <c r="V377" s="25"/>
      <c r="W377" s="22">
        <v>0</v>
      </c>
      <c r="X377" s="149">
        <v>0</v>
      </c>
      <c r="Y377" s="25"/>
      <c r="Z377" s="155">
        <v>0</v>
      </c>
      <c r="AA377" s="149">
        <f>Tabela4[[#This Row],[VALOR]]-Tabela4[[#This Row],[PNEUS]]-Tabela4[[#This Row],[BATERIA]]</f>
        <v>140</v>
      </c>
      <c r="AB377" s="27" t="s">
        <v>27</v>
      </c>
      <c r="AC377" s="30">
        <v>0</v>
      </c>
      <c r="AD377" s="162">
        <v>0</v>
      </c>
      <c r="AE377" s="162">
        <v>0</v>
      </c>
      <c r="AF377" s="162">
        <v>0</v>
      </c>
      <c r="AG377" s="162">
        <v>0</v>
      </c>
      <c r="AH377" s="162">
        <v>0</v>
      </c>
      <c r="AI377" s="162">
        <v>0</v>
      </c>
      <c r="AJ377" s="162">
        <v>0</v>
      </c>
    </row>
    <row r="378" spans="1:36" x14ac:dyDescent="0.25">
      <c r="A378" s="25" t="s">
        <v>127</v>
      </c>
      <c r="B378" s="25"/>
      <c r="C378" s="142">
        <v>45357</v>
      </c>
      <c r="D378" s="142">
        <v>45357</v>
      </c>
      <c r="E378">
        <f>Tabela4[[#This Row],[DATA FATURAMENTO]]-Tabela4[[#This Row],[DATA ORÇAMENTO]]</f>
        <v>0</v>
      </c>
      <c r="F378" s="25">
        <v>10832</v>
      </c>
      <c r="G378" s="25" t="s">
        <v>22</v>
      </c>
      <c r="H378" s="25"/>
      <c r="I378" s="155">
        <v>486.9</v>
      </c>
      <c r="J378" s="155">
        <v>450</v>
      </c>
      <c r="K378" s="153">
        <f>Tabela4[[#This Row],[PECAS]]+Tabela4[[#This Row],[SERVICOS]]</f>
        <v>936.9</v>
      </c>
      <c r="L378" s="155">
        <v>0</v>
      </c>
      <c r="M378" s="155">
        <v>0</v>
      </c>
      <c r="N378" s="67"/>
      <c r="O378" s="155">
        <v>0</v>
      </c>
      <c r="P378" s="155">
        <v>0</v>
      </c>
      <c r="Q378" s="155">
        <v>0</v>
      </c>
      <c r="R378" s="155">
        <v>0</v>
      </c>
      <c r="S378" s="154">
        <v>190</v>
      </c>
      <c r="T378" s="155">
        <v>0</v>
      </c>
      <c r="U378" s="155">
        <v>0</v>
      </c>
      <c r="V378" s="25"/>
      <c r="W378" s="28">
        <v>4</v>
      </c>
      <c r="X378" s="149">
        <v>0</v>
      </c>
      <c r="Y378" s="25" t="s">
        <v>635</v>
      </c>
      <c r="Z378" s="155">
        <v>0</v>
      </c>
      <c r="AA378" s="149">
        <f>Tabela4[[#This Row],[VALOR]]-Tabela4[[#This Row],[PNEUS]]-Tabela4[[#This Row],[BATERIA]]</f>
        <v>936.9</v>
      </c>
      <c r="AB378" s="27" t="s">
        <v>34</v>
      </c>
      <c r="AC378" s="30">
        <v>0</v>
      </c>
      <c r="AD378" s="162">
        <v>0</v>
      </c>
      <c r="AE378" s="162">
        <v>0</v>
      </c>
      <c r="AF378" s="162">
        <v>0</v>
      </c>
      <c r="AG378" s="162">
        <v>0</v>
      </c>
      <c r="AH378" s="162">
        <v>0</v>
      </c>
      <c r="AI378" s="162">
        <v>0</v>
      </c>
      <c r="AJ378" s="162">
        <v>0</v>
      </c>
    </row>
    <row r="379" spans="1:36" x14ac:dyDescent="0.25">
      <c r="A379" s="25" t="s">
        <v>831</v>
      </c>
      <c r="B379" s="25"/>
      <c r="C379" s="142">
        <v>45357</v>
      </c>
      <c r="D379" s="142">
        <v>45357</v>
      </c>
      <c r="E379">
        <f>Tabela4[[#This Row],[DATA FATURAMENTO]]-Tabela4[[#This Row],[DATA ORÇAMENTO]]</f>
        <v>0</v>
      </c>
      <c r="F379" s="25">
        <v>10830</v>
      </c>
      <c r="G379" s="25" t="s">
        <v>6</v>
      </c>
      <c r="H379" s="25"/>
      <c r="I379" s="155">
        <v>530</v>
      </c>
      <c r="J379" s="155">
        <v>0</v>
      </c>
      <c r="K379" s="153">
        <f>Tabela4[[#This Row],[PECAS]]+Tabela4[[#This Row],[SERVICOS]]</f>
        <v>530</v>
      </c>
      <c r="L379" s="155">
        <v>0</v>
      </c>
      <c r="M379" s="155">
        <v>0</v>
      </c>
      <c r="N379" s="67"/>
      <c r="O379" s="155">
        <v>0</v>
      </c>
      <c r="P379" s="155">
        <v>0</v>
      </c>
      <c r="Q379" s="155">
        <v>0</v>
      </c>
      <c r="R379" s="155">
        <v>0</v>
      </c>
      <c r="S379" s="154">
        <v>0</v>
      </c>
      <c r="T379" s="155">
        <v>0</v>
      </c>
      <c r="U379" s="155">
        <v>530</v>
      </c>
      <c r="V379" s="25" t="s">
        <v>684</v>
      </c>
      <c r="W379" s="22">
        <v>0</v>
      </c>
      <c r="X379" s="149">
        <v>0</v>
      </c>
      <c r="Y379" s="25"/>
      <c r="Z379" s="155">
        <v>0</v>
      </c>
      <c r="AA379" s="149">
        <f>Tabela4[[#This Row],[VALOR]]-Tabela4[[#This Row],[PNEUS]]-Tabela4[[#This Row],[BATERIA]]</f>
        <v>0</v>
      </c>
      <c r="AB379" s="27" t="s">
        <v>6</v>
      </c>
      <c r="AC379" s="30">
        <v>0</v>
      </c>
      <c r="AD379" s="162">
        <v>0</v>
      </c>
      <c r="AE379" s="162">
        <v>0</v>
      </c>
      <c r="AF379" s="162">
        <v>0</v>
      </c>
      <c r="AG379" s="162">
        <v>0</v>
      </c>
      <c r="AH379" s="162">
        <v>0</v>
      </c>
      <c r="AI379" s="162">
        <v>0</v>
      </c>
      <c r="AJ379" s="162">
        <v>0</v>
      </c>
    </row>
    <row r="380" spans="1:36" x14ac:dyDescent="0.25">
      <c r="A380" s="25" t="s">
        <v>832</v>
      </c>
      <c r="B380" s="25"/>
      <c r="C380" s="142">
        <v>45357</v>
      </c>
      <c r="D380" s="142">
        <v>45357</v>
      </c>
      <c r="E380">
        <f>Tabela4[[#This Row],[DATA FATURAMENTO]]-Tabela4[[#This Row],[DATA ORÇAMENTO]]</f>
        <v>0</v>
      </c>
      <c r="F380" s="25">
        <v>10831</v>
      </c>
      <c r="G380" s="25" t="s">
        <v>22</v>
      </c>
      <c r="H380" s="25"/>
      <c r="I380" s="155">
        <v>90</v>
      </c>
      <c r="J380" s="155">
        <v>0</v>
      </c>
      <c r="K380" s="153">
        <f>Tabela4[[#This Row],[PECAS]]+Tabela4[[#This Row],[SERVICOS]]</f>
        <v>90</v>
      </c>
      <c r="L380" s="155">
        <v>0</v>
      </c>
      <c r="M380" s="155">
        <v>0</v>
      </c>
      <c r="N380" s="67"/>
      <c r="O380" s="155">
        <v>0</v>
      </c>
      <c r="P380" s="155">
        <v>0</v>
      </c>
      <c r="Q380" s="155">
        <v>0</v>
      </c>
      <c r="R380" s="155">
        <v>0</v>
      </c>
      <c r="S380" s="154">
        <v>90</v>
      </c>
      <c r="T380" s="155">
        <v>0</v>
      </c>
      <c r="U380" s="155">
        <v>0</v>
      </c>
      <c r="V380" s="25"/>
      <c r="W380" s="22">
        <v>0</v>
      </c>
      <c r="X380" s="149">
        <v>0</v>
      </c>
      <c r="Y380" s="25"/>
      <c r="Z380" s="155">
        <v>0</v>
      </c>
      <c r="AA380" s="149">
        <f>Tabela4[[#This Row],[VALOR]]-Tabela4[[#This Row],[PNEUS]]-Tabela4[[#This Row],[BATERIA]]</f>
        <v>90</v>
      </c>
      <c r="AB380" s="27" t="s">
        <v>38</v>
      </c>
      <c r="AC380" s="30">
        <v>0</v>
      </c>
      <c r="AD380" s="162">
        <v>0</v>
      </c>
      <c r="AE380" s="162">
        <v>0</v>
      </c>
      <c r="AF380" s="162">
        <v>0</v>
      </c>
      <c r="AG380" s="162">
        <v>0</v>
      </c>
      <c r="AH380" s="162">
        <v>0</v>
      </c>
      <c r="AI380" s="162">
        <v>0</v>
      </c>
      <c r="AJ380" s="162">
        <v>0</v>
      </c>
    </row>
    <row r="381" spans="1:36" x14ac:dyDescent="0.25">
      <c r="A381" s="25" t="s">
        <v>833</v>
      </c>
      <c r="B381" s="25"/>
      <c r="C381" s="142">
        <v>45357</v>
      </c>
      <c r="D381" s="142">
        <v>45357</v>
      </c>
      <c r="E381">
        <f>Tabela4[[#This Row],[DATA FATURAMENTO]]-Tabela4[[#This Row],[DATA ORÇAMENTO]]</f>
        <v>0</v>
      </c>
      <c r="F381" s="25">
        <v>10834</v>
      </c>
      <c r="G381" s="25" t="s">
        <v>6</v>
      </c>
      <c r="H381" s="25"/>
      <c r="I381" s="155">
        <v>1152.8</v>
      </c>
      <c r="J381" s="155">
        <v>0</v>
      </c>
      <c r="K381" s="153">
        <f>Tabela4[[#This Row],[PECAS]]+Tabela4[[#This Row],[SERVICOS]]</f>
        <v>1152.8</v>
      </c>
      <c r="L381" s="155">
        <v>0</v>
      </c>
      <c r="M381" s="155">
        <v>0</v>
      </c>
      <c r="N381" s="67"/>
      <c r="O381" s="155">
        <v>0</v>
      </c>
      <c r="P381" s="155">
        <v>0</v>
      </c>
      <c r="Q381" s="155">
        <v>0</v>
      </c>
      <c r="R381" s="155">
        <v>0</v>
      </c>
      <c r="S381" s="154">
        <v>0</v>
      </c>
      <c r="T381" s="155">
        <v>0</v>
      </c>
      <c r="U381" s="155">
        <v>1152.8</v>
      </c>
      <c r="V381" s="25" t="s">
        <v>642</v>
      </c>
      <c r="W381" s="22">
        <v>0</v>
      </c>
      <c r="X381" s="149">
        <v>0</v>
      </c>
      <c r="Y381" s="25"/>
      <c r="Z381" s="155">
        <v>0</v>
      </c>
      <c r="AA381" s="149">
        <f>Tabela4[[#This Row],[VALOR]]-Tabela4[[#This Row],[PNEUS]]-Tabela4[[#This Row],[BATERIA]]</f>
        <v>0</v>
      </c>
      <c r="AB381" s="27" t="s">
        <v>6</v>
      </c>
      <c r="AC381" s="30">
        <v>0</v>
      </c>
      <c r="AD381" s="162">
        <v>0</v>
      </c>
      <c r="AE381" s="162">
        <v>0</v>
      </c>
      <c r="AF381" s="162">
        <v>0</v>
      </c>
      <c r="AG381" s="162">
        <v>0</v>
      </c>
      <c r="AH381" s="162">
        <v>0</v>
      </c>
      <c r="AI381" s="162">
        <v>0</v>
      </c>
      <c r="AJ381" s="162">
        <v>0</v>
      </c>
    </row>
    <row r="382" spans="1:36" x14ac:dyDescent="0.25">
      <c r="A382" s="25" t="s">
        <v>136</v>
      </c>
      <c r="B382" s="25"/>
      <c r="C382" s="142">
        <v>45357</v>
      </c>
      <c r="D382" s="142">
        <v>45357</v>
      </c>
      <c r="E382">
        <f>Tabela4[[#This Row],[DATA FATURAMENTO]]-Tabela4[[#This Row],[DATA ORÇAMENTO]]</f>
        <v>0</v>
      </c>
      <c r="F382" s="25">
        <v>10835</v>
      </c>
      <c r="G382" s="25" t="s">
        <v>35</v>
      </c>
      <c r="H382" s="25"/>
      <c r="I382" s="155">
        <v>0</v>
      </c>
      <c r="J382" s="155">
        <v>150.02000000000001</v>
      </c>
      <c r="K382" s="153">
        <f>Tabela4[[#This Row],[PECAS]]+Tabela4[[#This Row],[SERVICOS]]</f>
        <v>150.02000000000001</v>
      </c>
      <c r="L382" s="155">
        <v>0</v>
      </c>
      <c r="M382" s="155">
        <v>0</v>
      </c>
      <c r="N382" s="67"/>
      <c r="O382" s="155">
        <v>0</v>
      </c>
      <c r="P382" s="155">
        <v>0</v>
      </c>
      <c r="Q382" s="155">
        <v>0</v>
      </c>
      <c r="R382" s="155">
        <v>0</v>
      </c>
      <c r="S382" s="154">
        <v>0</v>
      </c>
      <c r="T382" s="155">
        <v>0</v>
      </c>
      <c r="U382" s="155">
        <v>0</v>
      </c>
      <c r="V382" s="25"/>
      <c r="W382" s="22">
        <v>0</v>
      </c>
      <c r="X382" s="149">
        <v>0</v>
      </c>
      <c r="Y382" s="25"/>
      <c r="Z382" s="155">
        <v>0</v>
      </c>
      <c r="AA382" s="149">
        <f>Tabela4[[#This Row],[VALOR]]-Tabela4[[#This Row],[PNEUS]]-Tabela4[[#This Row],[BATERIA]]</f>
        <v>150.02000000000001</v>
      </c>
      <c r="AB382" s="27" t="s">
        <v>27</v>
      </c>
      <c r="AC382" s="30">
        <v>0</v>
      </c>
      <c r="AD382" s="162">
        <v>0</v>
      </c>
      <c r="AE382" s="162">
        <v>0</v>
      </c>
      <c r="AF382" s="162">
        <v>0</v>
      </c>
      <c r="AG382" s="162">
        <v>0</v>
      </c>
      <c r="AH382" s="162">
        <v>0</v>
      </c>
      <c r="AI382" s="162">
        <v>0</v>
      </c>
      <c r="AJ382" s="162">
        <v>0</v>
      </c>
    </row>
    <row r="383" spans="1:36" x14ac:dyDescent="0.25">
      <c r="A383" s="25" t="s">
        <v>834</v>
      </c>
      <c r="B383" s="25"/>
      <c r="C383" s="142">
        <v>45357</v>
      </c>
      <c r="D383" s="142">
        <v>45357</v>
      </c>
      <c r="E383">
        <f>Tabela4[[#This Row],[DATA FATURAMENTO]]-Tabela4[[#This Row],[DATA ORÇAMENTO]]</f>
        <v>0</v>
      </c>
      <c r="F383" s="25">
        <v>10838</v>
      </c>
      <c r="G383" s="25" t="s">
        <v>6</v>
      </c>
      <c r="H383" s="25"/>
      <c r="I383" s="155">
        <v>522.5</v>
      </c>
      <c r="J383" s="155">
        <v>0</v>
      </c>
      <c r="K383" s="153">
        <f>Tabela4[[#This Row],[PECAS]]+Tabela4[[#This Row],[SERVICOS]]</f>
        <v>522.5</v>
      </c>
      <c r="L383" s="155">
        <v>0</v>
      </c>
      <c r="M383" s="155">
        <v>0</v>
      </c>
      <c r="N383" s="67"/>
      <c r="O383" s="155">
        <v>0</v>
      </c>
      <c r="P383" s="155">
        <v>0</v>
      </c>
      <c r="Q383" s="155">
        <v>0</v>
      </c>
      <c r="R383" s="155">
        <v>0</v>
      </c>
      <c r="S383" s="154">
        <v>0</v>
      </c>
      <c r="T383" s="155">
        <v>0</v>
      </c>
      <c r="U383" s="155">
        <v>522.5</v>
      </c>
      <c r="V383" s="25" t="s">
        <v>640</v>
      </c>
      <c r="W383" s="22">
        <v>0</v>
      </c>
      <c r="X383" s="149">
        <v>0</v>
      </c>
      <c r="Y383" s="25"/>
      <c r="Z383" s="155">
        <v>0</v>
      </c>
      <c r="AA383" s="149">
        <f>Tabela4[[#This Row],[VALOR]]-Tabela4[[#This Row],[PNEUS]]-Tabela4[[#This Row],[BATERIA]]</f>
        <v>0</v>
      </c>
      <c r="AB383" s="27" t="s">
        <v>6</v>
      </c>
      <c r="AC383" s="30">
        <v>0</v>
      </c>
      <c r="AD383" s="162">
        <v>0</v>
      </c>
      <c r="AE383" s="162">
        <v>0</v>
      </c>
      <c r="AF383" s="162">
        <v>0</v>
      </c>
      <c r="AG383" s="162">
        <v>0</v>
      </c>
      <c r="AH383" s="162">
        <v>0</v>
      </c>
      <c r="AI383" s="162">
        <v>0</v>
      </c>
      <c r="AJ383" s="162">
        <v>0</v>
      </c>
    </row>
    <row r="384" spans="1:36" x14ac:dyDescent="0.25">
      <c r="A384" s="25" t="s">
        <v>835</v>
      </c>
      <c r="B384" s="25"/>
      <c r="C384" s="142">
        <v>45357</v>
      </c>
      <c r="D384" s="142">
        <v>45357</v>
      </c>
      <c r="E384">
        <f>Tabela4[[#This Row],[DATA FATURAMENTO]]-Tabela4[[#This Row],[DATA ORÇAMENTO]]</f>
        <v>0</v>
      </c>
      <c r="F384" s="25">
        <v>10839</v>
      </c>
      <c r="G384" s="25" t="s">
        <v>6</v>
      </c>
      <c r="H384" s="25"/>
      <c r="I384" s="155">
        <v>530</v>
      </c>
      <c r="J384" s="155">
        <v>0</v>
      </c>
      <c r="K384" s="153">
        <f>Tabela4[[#This Row],[PECAS]]+Tabela4[[#This Row],[SERVICOS]]</f>
        <v>530</v>
      </c>
      <c r="L384" s="155">
        <v>0</v>
      </c>
      <c r="M384" s="155">
        <v>0</v>
      </c>
      <c r="N384" s="67"/>
      <c r="O384" s="155">
        <v>0</v>
      </c>
      <c r="P384" s="155">
        <v>0</v>
      </c>
      <c r="Q384" s="155">
        <v>0</v>
      </c>
      <c r="R384" s="155">
        <v>0</v>
      </c>
      <c r="S384" s="154">
        <v>0</v>
      </c>
      <c r="T384" s="155">
        <v>0</v>
      </c>
      <c r="U384" s="155">
        <v>530</v>
      </c>
      <c r="V384" s="25" t="s">
        <v>684</v>
      </c>
      <c r="W384" s="22">
        <v>0</v>
      </c>
      <c r="X384" s="149">
        <v>0</v>
      </c>
      <c r="Y384" s="25"/>
      <c r="Z384" s="155">
        <v>0</v>
      </c>
      <c r="AA384" s="149">
        <f>Tabela4[[#This Row],[VALOR]]-Tabela4[[#This Row],[PNEUS]]-Tabela4[[#This Row],[BATERIA]]</f>
        <v>0</v>
      </c>
      <c r="AB384" s="27" t="s">
        <v>6</v>
      </c>
      <c r="AC384" s="30">
        <v>0</v>
      </c>
      <c r="AD384" s="162">
        <v>0</v>
      </c>
      <c r="AE384" s="162">
        <v>0</v>
      </c>
      <c r="AF384" s="162">
        <v>0</v>
      </c>
      <c r="AG384" s="162">
        <v>0</v>
      </c>
      <c r="AH384" s="162">
        <v>0</v>
      </c>
      <c r="AI384" s="162">
        <v>0</v>
      </c>
      <c r="AJ384" s="162">
        <v>0</v>
      </c>
    </row>
    <row r="385" spans="1:36" x14ac:dyDescent="0.25">
      <c r="A385" s="25" t="s">
        <v>836</v>
      </c>
      <c r="B385" s="25"/>
      <c r="C385" s="142">
        <v>45357</v>
      </c>
      <c r="D385" s="142">
        <v>45357</v>
      </c>
      <c r="E385">
        <f>Tabela4[[#This Row],[DATA FATURAMENTO]]-Tabela4[[#This Row],[DATA ORÇAMENTO]]</f>
        <v>0</v>
      </c>
      <c r="F385" s="25">
        <v>10840</v>
      </c>
      <c r="G385" s="25" t="s">
        <v>6</v>
      </c>
      <c r="H385" s="25"/>
      <c r="I385" s="155">
        <v>522.5</v>
      </c>
      <c r="J385" s="155">
        <v>0</v>
      </c>
      <c r="K385" s="153">
        <f>Tabela4[[#This Row],[PECAS]]+Tabela4[[#This Row],[SERVICOS]]</f>
        <v>522.5</v>
      </c>
      <c r="L385" s="155">
        <v>0</v>
      </c>
      <c r="M385" s="155">
        <v>0</v>
      </c>
      <c r="N385" s="67"/>
      <c r="O385" s="155">
        <v>0</v>
      </c>
      <c r="P385" s="155">
        <v>0</v>
      </c>
      <c r="Q385" s="155">
        <v>0</v>
      </c>
      <c r="R385" s="155">
        <v>0</v>
      </c>
      <c r="S385" s="154">
        <v>0</v>
      </c>
      <c r="T385" s="155">
        <v>0</v>
      </c>
      <c r="U385" s="155">
        <v>522.5</v>
      </c>
      <c r="V385" s="25" t="s">
        <v>664</v>
      </c>
      <c r="W385" s="22">
        <v>0</v>
      </c>
      <c r="X385" s="149">
        <v>0</v>
      </c>
      <c r="Y385" s="25"/>
      <c r="Z385" s="155">
        <v>0</v>
      </c>
      <c r="AA385" s="149">
        <f>Tabela4[[#This Row],[VALOR]]-Tabela4[[#This Row],[PNEUS]]-Tabela4[[#This Row],[BATERIA]]</f>
        <v>0</v>
      </c>
      <c r="AB385" s="27" t="s">
        <v>6</v>
      </c>
      <c r="AC385" s="30">
        <v>0</v>
      </c>
      <c r="AD385" s="162">
        <v>0</v>
      </c>
      <c r="AE385" s="162">
        <v>0</v>
      </c>
      <c r="AF385" s="162">
        <v>0</v>
      </c>
      <c r="AG385" s="162">
        <v>0</v>
      </c>
      <c r="AH385" s="162">
        <v>0</v>
      </c>
      <c r="AI385" s="162">
        <v>0</v>
      </c>
      <c r="AJ385" s="162">
        <v>0</v>
      </c>
    </row>
    <row r="386" spans="1:36" x14ac:dyDescent="0.25">
      <c r="A386" s="25" t="s">
        <v>837</v>
      </c>
      <c r="B386" s="25"/>
      <c r="C386" s="142">
        <v>45358</v>
      </c>
      <c r="D386" s="142">
        <v>45358</v>
      </c>
      <c r="E386">
        <f>Tabela4[[#This Row],[DATA FATURAMENTO]]-Tabela4[[#This Row],[DATA ORÇAMENTO]]</f>
        <v>0</v>
      </c>
      <c r="F386" s="25">
        <v>10843</v>
      </c>
      <c r="G386" s="25" t="s">
        <v>22</v>
      </c>
      <c r="H386" s="25"/>
      <c r="I386" s="155">
        <v>50</v>
      </c>
      <c r="J386" s="155">
        <v>0</v>
      </c>
      <c r="K386" s="153">
        <f>Tabela4[[#This Row],[PECAS]]+Tabela4[[#This Row],[SERVICOS]]</f>
        <v>50</v>
      </c>
      <c r="L386" s="155">
        <v>0</v>
      </c>
      <c r="M386" s="155">
        <v>0</v>
      </c>
      <c r="N386" s="67"/>
      <c r="O386" s="155">
        <v>0</v>
      </c>
      <c r="P386" s="155">
        <v>0</v>
      </c>
      <c r="Q386" s="155">
        <v>0</v>
      </c>
      <c r="R386" s="155">
        <v>0</v>
      </c>
      <c r="S386" s="154">
        <v>0</v>
      </c>
      <c r="T386" s="155">
        <v>0</v>
      </c>
      <c r="U386" s="155">
        <v>0</v>
      </c>
      <c r="V386" s="25"/>
      <c r="W386" s="22">
        <v>0</v>
      </c>
      <c r="X386" s="149">
        <v>0</v>
      </c>
      <c r="Y386" s="25"/>
      <c r="Z386" s="155">
        <v>0</v>
      </c>
      <c r="AA386" s="149">
        <f>Tabela4[[#This Row],[VALOR]]-Tabela4[[#This Row],[PNEUS]]-Tabela4[[#This Row],[BATERIA]]</f>
        <v>50</v>
      </c>
      <c r="AB386" s="27" t="s">
        <v>38</v>
      </c>
      <c r="AC386" s="30">
        <v>0</v>
      </c>
      <c r="AD386" s="162">
        <v>0</v>
      </c>
      <c r="AE386" s="162">
        <v>0</v>
      </c>
      <c r="AF386" s="162">
        <v>0</v>
      </c>
      <c r="AG386" s="162">
        <v>0</v>
      </c>
      <c r="AH386" s="162">
        <v>0</v>
      </c>
      <c r="AI386" s="162">
        <v>0</v>
      </c>
      <c r="AJ386" s="162">
        <v>0</v>
      </c>
    </row>
    <row r="387" spans="1:36" x14ac:dyDescent="0.25">
      <c r="A387" s="25" t="s">
        <v>140</v>
      </c>
      <c r="B387" s="25"/>
      <c r="C387" s="142">
        <v>45358</v>
      </c>
      <c r="D387" s="142">
        <v>45358</v>
      </c>
      <c r="E387">
        <f>Tabela4[[#This Row],[DATA FATURAMENTO]]-Tabela4[[#This Row],[DATA ORÇAMENTO]]</f>
        <v>0</v>
      </c>
      <c r="F387" s="25">
        <v>10844</v>
      </c>
      <c r="G387" s="25" t="s">
        <v>22</v>
      </c>
      <c r="H387" s="25"/>
      <c r="I387" s="155">
        <v>545.4</v>
      </c>
      <c r="J387" s="155">
        <v>424.6</v>
      </c>
      <c r="K387" s="153">
        <f>Tabela4[[#This Row],[PECAS]]+Tabela4[[#This Row],[SERVICOS]]</f>
        <v>970</v>
      </c>
      <c r="L387" s="155">
        <v>0</v>
      </c>
      <c r="M387" s="155">
        <v>0</v>
      </c>
      <c r="N387" s="67"/>
      <c r="O387" s="155">
        <v>0</v>
      </c>
      <c r="P387" s="155">
        <v>0</v>
      </c>
      <c r="Q387" s="155">
        <v>0</v>
      </c>
      <c r="R387" s="155">
        <v>0</v>
      </c>
      <c r="S387" s="154">
        <v>95.5</v>
      </c>
      <c r="T387" s="155">
        <v>0</v>
      </c>
      <c r="U387" s="155">
        <v>0</v>
      </c>
      <c r="V387" s="25"/>
      <c r="W387" s="22">
        <v>0</v>
      </c>
      <c r="X387" s="149">
        <v>0</v>
      </c>
      <c r="Y387" s="25"/>
      <c r="Z387" s="155">
        <v>0</v>
      </c>
      <c r="AA387" s="149">
        <f>Tabela4[[#This Row],[VALOR]]-Tabela4[[#This Row],[PNEUS]]-Tabela4[[#This Row],[BATERIA]]</f>
        <v>970</v>
      </c>
      <c r="AB387" s="27" t="s">
        <v>30</v>
      </c>
      <c r="AC387" s="30">
        <v>0</v>
      </c>
      <c r="AD387" s="162">
        <v>0</v>
      </c>
      <c r="AE387" s="162">
        <v>0</v>
      </c>
      <c r="AF387" s="162">
        <v>0</v>
      </c>
      <c r="AG387" s="162">
        <v>0</v>
      </c>
      <c r="AH387" s="162">
        <v>0</v>
      </c>
      <c r="AI387" s="162">
        <v>0</v>
      </c>
      <c r="AJ387" s="162">
        <v>0</v>
      </c>
    </row>
    <row r="388" spans="1:36" x14ac:dyDescent="0.25">
      <c r="A388" s="25" t="s">
        <v>144</v>
      </c>
      <c r="B388" s="25"/>
      <c r="C388" s="142">
        <v>45358</v>
      </c>
      <c r="D388" s="142">
        <v>45358</v>
      </c>
      <c r="E388">
        <f>Tabela4[[#This Row],[DATA FATURAMENTO]]-Tabela4[[#This Row],[DATA ORÇAMENTO]]</f>
        <v>0</v>
      </c>
      <c r="F388" s="25">
        <v>10847</v>
      </c>
      <c r="G388" s="25" t="s">
        <v>22</v>
      </c>
      <c r="H388" s="25"/>
      <c r="I388" s="155">
        <v>234.5</v>
      </c>
      <c r="J388" s="155">
        <v>195.5</v>
      </c>
      <c r="K388" s="153">
        <f>Tabela4[[#This Row],[PECAS]]+Tabela4[[#This Row],[SERVICOS]]</f>
        <v>430</v>
      </c>
      <c r="L388" s="155">
        <v>0</v>
      </c>
      <c r="M388" s="155">
        <v>0</v>
      </c>
      <c r="N388" s="67"/>
      <c r="O388" s="155">
        <v>0</v>
      </c>
      <c r="P388" s="155">
        <v>0</v>
      </c>
      <c r="Q388" s="155">
        <v>0</v>
      </c>
      <c r="R388" s="155">
        <v>0</v>
      </c>
      <c r="S388" s="154">
        <v>0</v>
      </c>
      <c r="T388" s="155">
        <v>0</v>
      </c>
      <c r="U388" s="155">
        <v>0</v>
      </c>
      <c r="V388" s="25"/>
      <c r="W388" s="22">
        <v>0</v>
      </c>
      <c r="X388" s="149">
        <v>0</v>
      </c>
      <c r="Y388" s="25"/>
      <c r="Z388" s="155">
        <v>0</v>
      </c>
      <c r="AA388" s="149">
        <f>Tabela4[[#This Row],[VALOR]]-Tabela4[[#This Row],[PNEUS]]-Tabela4[[#This Row],[BATERIA]]</f>
        <v>430</v>
      </c>
      <c r="AB388" s="27" t="s">
        <v>24</v>
      </c>
      <c r="AC388" s="30">
        <v>0</v>
      </c>
      <c r="AD388" s="162">
        <v>0</v>
      </c>
      <c r="AE388" s="162">
        <v>0</v>
      </c>
      <c r="AF388" s="162">
        <v>0</v>
      </c>
      <c r="AG388" s="162">
        <v>0</v>
      </c>
      <c r="AH388" s="162">
        <v>0</v>
      </c>
      <c r="AI388" s="162">
        <v>0</v>
      </c>
      <c r="AJ388" s="162">
        <v>0</v>
      </c>
    </row>
    <row r="389" spans="1:36" x14ac:dyDescent="0.25">
      <c r="A389" s="25" t="s">
        <v>838</v>
      </c>
      <c r="B389" s="25"/>
      <c r="C389" s="142">
        <v>45358</v>
      </c>
      <c r="D389" s="142">
        <v>45358</v>
      </c>
      <c r="E389">
        <f>Tabela4[[#This Row],[DATA FATURAMENTO]]-Tabela4[[#This Row],[DATA ORÇAMENTO]]</f>
        <v>0</v>
      </c>
      <c r="F389" s="25">
        <v>10850</v>
      </c>
      <c r="G389" s="25" t="s">
        <v>6</v>
      </c>
      <c r="H389" s="25"/>
      <c r="I389" s="155">
        <v>533.9</v>
      </c>
      <c r="J389" s="155">
        <v>0</v>
      </c>
      <c r="K389" s="153">
        <f>Tabela4[[#This Row],[PECAS]]+Tabela4[[#This Row],[SERVICOS]]</f>
        <v>533.9</v>
      </c>
      <c r="L389" s="155">
        <v>0</v>
      </c>
      <c r="M389" s="155">
        <v>0</v>
      </c>
      <c r="N389" s="67"/>
      <c r="O389" s="155">
        <v>0</v>
      </c>
      <c r="P389" s="155">
        <v>0</v>
      </c>
      <c r="Q389" s="155">
        <v>0</v>
      </c>
      <c r="R389" s="155">
        <v>0</v>
      </c>
      <c r="S389" s="154">
        <v>0</v>
      </c>
      <c r="T389" s="155">
        <v>0</v>
      </c>
      <c r="U389" s="155">
        <v>533.9</v>
      </c>
      <c r="V389" s="25" t="s">
        <v>661</v>
      </c>
      <c r="W389" s="22">
        <v>0</v>
      </c>
      <c r="X389" s="149">
        <v>0</v>
      </c>
      <c r="Y389" s="25"/>
      <c r="Z389" s="155">
        <v>0</v>
      </c>
      <c r="AA389" s="149">
        <f>Tabela4[[#This Row],[VALOR]]-Tabela4[[#This Row],[PNEUS]]-Tabela4[[#This Row],[BATERIA]]</f>
        <v>0</v>
      </c>
      <c r="AB389" s="27" t="s">
        <v>6</v>
      </c>
      <c r="AC389" s="30">
        <v>0</v>
      </c>
      <c r="AD389" s="162">
        <v>0</v>
      </c>
      <c r="AE389" s="162">
        <v>0</v>
      </c>
      <c r="AF389" s="162">
        <v>0</v>
      </c>
      <c r="AG389" s="162">
        <v>0</v>
      </c>
      <c r="AH389" s="162">
        <v>0</v>
      </c>
      <c r="AI389" s="162">
        <v>0</v>
      </c>
      <c r="AJ389" s="162">
        <v>0</v>
      </c>
    </row>
    <row r="390" spans="1:36" x14ac:dyDescent="0.25">
      <c r="A390" s="25" t="s">
        <v>141</v>
      </c>
      <c r="B390" s="25"/>
      <c r="C390" s="142">
        <v>45357</v>
      </c>
      <c r="D390" s="142">
        <v>45359</v>
      </c>
      <c r="E390">
        <f>Tabela4[[#This Row],[DATA FATURAMENTO]]-Tabela4[[#This Row],[DATA ORÇAMENTO]]</f>
        <v>2</v>
      </c>
      <c r="F390" s="25">
        <v>10825</v>
      </c>
      <c r="G390" s="25" t="s">
        <v>35</v>
      </c>
      <c r="H390" s="25"/>
      <c r="I390" s="155">
        <v>999</v>
      </c>
      <c r="J390" s="155">
        <v>851</v>
      </c>
      <c r="K390" s="153">
        <f>Tabela4[[#This Row],[PECAS]]+Tabela4[[#This Row],[SERVICOS]]</f>
        <v>1850</v>
      </c>
      <c r="L390" s="155">
        <v>90</v>
      </c>
      <c r="M390" s="155">
        <v>0</v>
      </c>
      <c r="N390" s="67"/>
      <c r="O390" s="155">
        <v>215</v>
      </c>
      <c r="P390" s="155">
        <v>0</v>
      </c>
      <c r="Q390" s="155">
        <v>136</v>
      </c>
      <c r="R390" s="155">
        <v>0</v>
      </c>
      <c r="S390" s="154">
        <v>0</v>
      </c>
      <c r="T390" s="155">
        <v>0</v>
      </c>
      <c r="U390" s="155">
        <v>0</v>
      </c>
      <c r="V390" s="25"/>
      <c r="W390" s="22">
        <v>0</v>
      </c>
      <c r="X390" s="149">
        <v>0</v>
      </c>
      <c r="Y390" s="25"/>
      <c r="Z390" s="155">
        <v>0</v>
      </c>
      <c r="AA390" s="149">
        <f>Tabela4[[#This Row],[VALOR]]-Tabela4[[#This Row],[PNEUS]]-Tabela4[[#This Row],[BATERIA]]</f>
        <v>1850</v>
      </c>
      <c r="AB390" s="27" t="s">
        <v>34</v>
      </c>
      <c r="AC390" s="30">
        <v>0</v>
      </c>
      <c r="AD390" s="162">
        <v>0</v>
      </c>
      <c r="AE390" s="162">
        <v>0</v>
      </c>
      <c r="AF390" s="162">
        <v>0</v>
      </c>
      <c r="AG390" s="162">
        <v>0</v>
      </c>
      <c r="AH390" s="162">
        <v>0</v>
      </c>
      <c r="AI390" s="162">
        <v>0</v>
      </c>
      <c r="AJ390" s="162">
        <v>0</v>
      </c>
    </row>
    <row r="391" spans="1:36" x14ac:dyDescent="0.25">
      <c r="A391" s="25" t="s">
        <v>134</v>
      </c>
      <c r="B391" s="25"/>
      <c r="C391" s="142">
        <v>45357</v>
      </c>
      <c r="D391" s="142">
        <v>45359</v>
      </c>
      <c r="E391">
        <f>Tabela4[[#This Row],[DATA FATURAMENTO]]-Tabela4[[#This Row],[DATA ORÇAMENTO]]</f>
        <v>2</v>
      </c>
      <c r="F391" s="25">
        <v>10829</v>
      </c>
      <c r="G391" s="25" t="s">
        <v>25</v>
      </c>
      <c r="H391" s="25"/>
      <c r="I391" s="155">
        <v>220.16</v>
      </c>
      <c r="J391" s="155">
        <v>440</v>
      </c>
      <c r="K391" s="153">
        <f>Tabela4[[#This Row],[PECAS]]+Tabela4[[#This Row],[SERVICOS]]</f>
        <v>660.16</v>
      </c>
      <c r="L391" s="155">
        <v>0</v>
      </c>
      <c r="M391" s="155">
        <f>31.4+40</f>
        <v>71.400000000000006</v>
      </c>
      <c r="N391" s="67"/>
      <c r="O391" s="155">
        <v>0</v>
      </c>
      <c r="P391" s="155">
        <v>0</v>
      </c>
      <c r="Q391" s="155">
        <v>0</v>
      </c>
      <c r="R391" s="155">
        <v>0</v>
      </c>
      <c r="S391" s="154">
        <v>31.4</v>
      </c>
      <c r="T391" s="155">
        <v>0</v>
      </c>
      <c r="U391" s="155">
        <v>0</v>
      </c>
      <c r="V391" s="25"/>
      <c r="W391" s="28">
        <v>4</v>
      </c>
      <c r="X391" s="149">
        <v>0</v>
      </c>
      <c r="Y391" s="25" t="s">
        <v>654</v>
      </c>
      <c r="Z391" s="155">
        <v>0</v>
      </c>
      <c r="AA391" s="149">
        <f>Tabela4[[#This Row],[VALOR]]-Tabela4[[#This Row],[PNEUS]]-Tabela4[[#This Row],[BATERIA]]</f>
        <v>660.16</v>
      </c>
      <c r="AB391" s="27" t="s">
        <v>27</v>
      </c>
      <c r="AC391" s="30">
        <v>0</v>
      </c>
      <c r="AD391" s="162">
        <v>0</v>
      </c>
      <c r="AE391" s="162">
        <v>0</v>
      </c>
      <c r="AF391" s="162">
        <v>0</v>
      </c>
      <c r="AG391" s="162">
        <v>0</v>
      </c>
      <c r="AH391" s="162">
        <v>0</v>
      </c>
      <c r="AI391" s="162">
        <v>0</v>
      </c>
      <c r="AJ391" s="162">
        <v>0</v>
      </c>
    </row>
    <row r="392" spans="1:36" x14ac:dyDescent="0.25">
      <c r="A392" s="25" t="s">
        <v>143</v>
      </c>
      <c r="B392" s="25"/>
      <c r="C392" s="142">
        <v>45358</v>
      </c>
      <c r="D392" s="142">
        <v>45359</v>
      </c>
      <c r="E392">
        <f>Tabela4[[#This Row],[DATA FATURAMENTO]]-Tabela4[[#This Row],[DATA ORÇAMENTO]]</f>
        <v>1</v>
      </c>
      <c r="F392" s="25">
        <v>10841</v>
      </c>
      <c r="G392" s="25" t="s">
        <v>31</v>
      </c>
      <c r="H392" s="25"/>
      <c r="I392" s="155">
        <v>1934.9</v>
      </c>
      <c r="J392" s="155">
        <v>995.1</v>
      </c>
      <c r="K392" s="153">
        <f>Tabela4[[#This Row],[PECAS]]+Tabela4[[#This Row],[SERVICOS]]</f>
        <v>2930</v>
      </c>
      <c r="L392" s="155">
        <v>0</v>
      </c>
      <c r="M392" s="155">
        <f>21.6+112.5+99.2</f>
        <v>233.3</v>
      </c>
      <c r="N392" s="67"/>
      <c r="O392" s="155">
        <v>0</v>
      </c>
      <c r="P392" s="155">
        <v>0</v>
      </c>
      <c r="Q392" s="155">
        <v>0</v>
      </c>
      <c r="R392" s="155">
        <v>0</v>
      </c>
      <c r="S392" s="154">
        <v>0</v>
      </c>
      <c r="T392" s="155">
        <v>0</v>
      </c>
      <c r="U392" s="155">
        <v>0</v>
      </c>
      <c r="V392" s="25"/>
      <c r="W392" s="22">
        <v>0</v>
      </c>
      <c r="X392" s="149">
        <v>0</v>
      </c>
      <c r="Y392" s="25"/>
      <c r="Z392" s="155">
        <v>0</v>
      </c>
      <c r="AA392" s="149">
        <f>Tabela4[[#This Row],[VALOR]]-Tabela4[[#This Row],[PNEUS]]-Tabela4[[#This Row],[BATERIA]]</f>
        <v>2930</v>
      </c>
      <c r="AB392" s="27" t="s">
        <v>32</v>
      </c>
      <c r="AC392" s="30">
        <v>0</v>
      </c>
      <c r="AD392" s="162">
        <v>0</v>
      </c>
      <c r="AE392" s="162">
        <v>0</v>
      </c>
      <c r="AF392" s="162">
        <v>0</v>
      </c>
      <c r="AG392" s="162">
        <v>0</v>
      </c>
      <c r="AH392" s="162">
        <v>0</v>
      </c>
      <c r="AI392" s="162">
        <v>0</v>
      </c>
      <c r="AJ392" s="162">
        <v>0</v>
      </c>
    </row>
    <row r="393" spans="1:36" x14ac:dyDescent="0.25">
      <c r="A393" s="25" t="s">
        <v>138</v>
      </c>
      <c r="B393" s="25"/>
      <c r="C393" s="142">
        <v>45358</v>
      </c>
      <c r="D393" s="142">
        <v>45359</v>
      </c>
      <c r="E393">
        <f>Tabela4[[#This Row],[DATA FATURAMENTO]]-Tabela4[[#This Row],[DATA ORÇAMENTO]]</f>
        <v>1</v>
      </c>
      <c r="F393" s="25" t="s">
        <v>839</v>
      </c>
      <c r="G393" s="25" t="s">
        <v>39</v>
      </c>
      <c r="H393" s="25" t="s">
        <v>44</v>
      </c>
      <c r="I393" s="155">
        <v>40</v>
      </c>
      <c r="J393" s="155">
        <v>220</v>
      </c>
      <c r="K393" s="153">
        <f>Tabela4[[#This Row],[PECAS]]+Tabela4[[#This Row],[SERVICOS]]</f>
        <v>260</v>
      </c>
      <c r="L393" s="155">
        <v>0</v>
      </c>
      <c r="M393" s="155">
        <v>0</v>
      </c>
      <c r="N393" s="67"/>
      <c r="O393" s="155">
        <v>0</v>
      </c>
      <c r="P393" s="155">
        <v>0</v>
      </c>
      <c r="Q393" s="155">
        <v>0</v>
      </c>
      <c r="R393" s="155">
        <v>0</v>
      </c>
      <c r="S393" s="154">
        <v>0</v>
      </c>
      <c r="T393" s="155">
        <v>0</v>
      </c>
      <c r="U393" s="155">
        <v>0</v>
      </c>
      <c r="V393" s="25"/>
      <c r="W393" s="22">
        <v>0</v>
      </c>
      <c r="X393" s="149">
        <v>0</v>
      </c>
      <c r="Y393" s="25"/>
      <c r="Z393" s="155">
        <v>0</v>
      </c>
      <c r="AA393" s="149">
        <f>Tabela4[[#This Row],[VALOR]]-Tabela4[[#This Row],[PNEUS]]-Tabela4[[#This Row],[BATERIA]]</f>
        <v>260</v>
      </c>
      <c r="AB393" s="27" t="s">
        <v>27</v>
      </c>
      <c r="AC393" s="30">
        <v>0</v>
      </c>
      <c r="AD393" s="162">
        <v>0</v>
      </c>
      <c r="AE393" s="162">
        <v>0</v>
      </c>
      <c r="AF393" s="162">
        <v>0</v>
      </c>
      <c r="AG393" s="162">
        <v>0</v>
      </c>
      <c r="AH393" s="162">
        <v>0</v>
      </c>
      <c r="AI393" s="162">
        <v>0</v>
      </c>
      <c r="AJ393" s="162">
        <v>0</v>
      </c>
    </row>
    <row r="394" spans="1:36" x14ac:dyDescent="0.25">
      <c r="A394" s="25" t="s">
        <v>840</v>
      </c>
      <c r="B394" s="25"/>
      <c r="C394" s="142">
        <v>45358</v>
      </c>
      <c r="D394" s="142">
        <v>45359</v>
      </c>
      <c r="E394">
        <f>Tabela4[[#This Row],[DATA FATURAMENTO]]-Tabela4[[#This Row],[DATA ORÇAMENTO]]</f>
        <v>1</v>
      </c>
      <c r="F394" s="25" t="s">
        <v>841</v>
      </c>
      <c r="G394" s="25" t="s">
        <v>39</v>
      </c>
      <c r="H394" s="25" t="s">
        <v>44</v>
      </c>
      <c r="I394" s="155">
        <v>35</v>
      </c>
      <c r="J394" s="155">
        <v>120</v>
      </c>
      <c r="K394" s="153">
        <f>Tabela4[[#This Row],[PECAS]]+Tabela4[[#This Row],[SERVICOS]]</f>
        <v>155</v>
      </c>
      <c r="L394" s="155">
        <v>0</v>
      </c>
      <c r="M394" s="155">
        <v>0</v>
      </c>
      <c r="N394" s="67"/>
      <c r="O394" s="155">
        <v>0</v>
      </c>
      <c r="P394" s="155">
        <v>0</v>
      </c>
      <c r="Q394" s="155">
        <v>0</v>
      </c>
      <c r="R394" s="155">
        <v>0</v>
      </c>
      <c r="S394" s="154">
        <v>0</v>
      </c>
      <c r="T394" s="155">
        <v>0</v>
      </c>
      <c r="U394" s="155">
        <v>0</v>
      </c>
      <c r="V394" s="25"/>
      <c r="W394" s="22">
        <v>0</v>
      </c>
      <c r="X394" s="149">
        <v>0</v>
      </c>
      <c r="Y394" s="25"/>
      <c r="Z394" s="155">
        <v>0</v>
      </c>
      <c r="AA394" s="149">
        <f>Tabela4[[#This Row],[VALOR]]-Tabela4[[#This Row],[PNEUS]]-Tabela4[[#This Row],[BATERIA]]</f>
        <v>155</v>
      </c>
      <c r="AB394" s="27" t="s">
        <v>27</v>
      </c>
      <c r="AC394" s="30">
        <v>0</v>
      </c>
      <c r="AD394" s="162">
        <v>0</v>
      </c>
      <c r="AE394" s="162">
        <v>0</v>
      </c>
      <c r="AF394" s="162">
        <v>0</v>
      </c>
      <c r="AG394" s="162">
        <v>0</v>
      </c>
      <c r="AH394" s="162">
        <v>0</v>
      </c>
      <c r="AI394" s="162">
        <v>0</v>
      </c>
      <c r="AJ394" s="162">
        <v>0</v>
      </c>
    </row>
    <row r="395" spans="1:36" x14ac:dyDescent="0.25">
      <c r="A395" s="25" t="s">
        <v>156</v>
      </c>
      <c r="B395" s="25"/>
      <c r="C395" s="142">
        <v>45359</v>
      </c>
      <c r="D395" s="142">
        <v>45359</v>
      </c>
      <c r="E395">
        <f>Tabela4[[#This Row],[DATA FATURAMENTO]]-Tabela4[[#This Row],[DATA ORÇAMENTO]]</f>
        <v>0</v>
      </c>
      <c r="F395" s="25">
        <v>10853</v>
      </c>
      <c r="G395" s="25" t="s">
        <v>35</v>
      </c>
      <c r="H395" s="25"/>
      <c r="I395" s="155">
        <v>783</v>
      </c>
      <c r="J395" s="155">
        <v>590</v>
      </c>
      <c r="K395" s="153">
        <f>Tabela4[[#This Row],[PECAS]]+Tabela4[[#This Row],[SERVICOS]]</f>
        <v>1373</v>
      </c>
      <c r="L395" s="155">
        <v>94</v>
      </c>
      <c r="M395" s="155">
        <v>0</v>
      </c>
      <c r="N395" s="67"/>
      <c r="O395" s="155">
        <v>0</v>
      </c>
      <c r="P395" s="155">
        <v>0</v>
      </c>
      <c r="Q395" s="155">
        <v>0</v>
      </c>
      <c r="R395" s="155">
        <v>0</v>
      </c>
      <c r="S395" s="154">
        <v>172</v>
      </c>
      <c r="T395" s="155">
        <v>0</v>
      </c>
      <c r="U395" s="155">
        <v>0</v>
      </c>
      <c r="V395" s="25"/>
      <c r="W395" s="28">
        <v>4</v>
      </c>
      <c r="X395" s="149">
        <v>0</v>
      </c>
      <c r="Y395" s="25" t="s">
        <v>645</v>
      </c>
      <c r="Z395" s="155">
        <v>0</v>
      </c>
      <c r="AA395" s="149">
        <f>Tabela4[[#This Row],[VALOR]]-Tabela4[[#This Row],[PNEUS]]-Tabela4[[#This Row],[BATERIA]]</f>
        <v>1373</v>
      </c>
      <c r="AB395" s="27" t="s">
        <v>30</v>
      </c>
      <c r="AC395" s="30">
        <v>0</v>
      </c>
      <c r="AD395" s="162">
        <v>0</v>
      </c>
      <c r="AE395" s="162">
        <v>0</v>
      </c>
      <c r="AF395" s="162">
        <v>0</v>
      </c>
      <c r="AG395" s="162">
        <v>0</v>
      </c>
      <c r="AH395" s="162">
        <v>0</v>
      </c>
      <c r="AI395" s="162">
        <v>0</v>
      </c>
      <c r="AJ395" s="162">
        <v>0</v>
      </c>
    </row>
    <row r="396" spans="1:36" x14ac:dyDescent="0.25">
      <c r="A396" s="25" t="s">
        <v>842</v>
      </c>
      <c r="B396" s="25"/>
      <c r="C396" s="142">
        <v>45359</v>
      </c>
      <c r="D396" s="142">
        <v>45359</v>
      </c>
      <c r="E396">
        <f>Tabela4[[#This Row],[DATA FATURAMENTO]]-Tabela4[[#This Row],[DATA ORÇAMENTO]]</f>
        <v>0</v>
      </c>
      <c r="F396" s="25">
        <v>10856</v>
      </c>
      <c r="G396" s="25" t="s">
        <v>6</v>
      </c>
      <c r="H396" s="25"/>
      <c r="I396" s="155">
        <v>533.5</v>
      </c>
      <c r="J396" s="155">
        <v>0</v>
      </c>
      <c r="K396" s="153">
        <f>Tabela4[[#This Row],[PECAS]]+Tabela4[[#This Row],[SERVICOS]]</f>
        <v>533.5</v>
      </c>
      <c r="L396" s="155">
        <v>0</v>
      </c>
      <c r="M396" s="155">
        <v>0</v>
      </c>
      <c r="N396" s="67"/>
      <c r="O396" s="155">
        <v>0</v>
      </c>
      <c r="P396" s="155">
        <v>0</v>
      </c>
      <c r="Q396" s="155">
        <v>0</v>
      </c>
      <c r="R396" s="155">
        <v>0</v>
      </c>
      <c r="S396" s="154">
        <v>0</v>
      </c>
      <c r="T396" s="155">
        <v>0</v>
      </c>
      <c r="U396" s="155">
        <v>533.5</v>
      </c>
      <c r="V396" s="25" t="s">
        <v>711</v>
      </c>
      <c r="W396" s="22">
        <v>0</v>
      </c>
      <c r="X396" s="149">
        <v>0</v>
      </c>
      <c r="Y396" s="25"/>
      <c r="Z396" s="155">
        <v>0</v>
      </c>
      <c r="AA396" s="149">
        <f>Tabela4[[#This Row],[VALOR]]-Tabela4[[#This Row],[PNEUS]]-Tabela4[[#This Row],[BATERIA]]</f>
        <v>0</v>
      </c>
      <c r="AB396" s="27" t="s">
        <v>6</v>
      </c>
      <c r="AC396" s="30">
        <v>0</v>
      </c>
      <c r="AD396" s="162">
        <v>0</v>
      </c>
      <c r="AE396" s="162">
        <v>0</v>
      </c>
      <c r="AF396" s="162">
        <v>0</v>
      </c>
      <c r="AG396" s="162">
        <v>0</v>
      </c>
      <c r="AH396" s="162">
        <v>0</v>
      </c>
      <c r="AI396" s="162">
        <v>0</v>
      </c>
      <c r="AJ396" s="162">
        <v>0</v>
      </c>
    </row>
    <row r="397" spans="1:36" x14ac:dyDescent="0.25">
      <c r="A397" t="s">
        <v>125</v>
      </c>
      <c r="B397" t="s">
        <v>843</v>
      </c>
      <c r="C397" s="143">
        <v>45357</v>
      </c>
      <c r="D397" s="142">
        <v>45360</v>
      </c>
      <c r="E397">
        <f>Tabela4[[#This Row],[DATA FATURAMENTO]]-Tabela4[[#This Row],[DATA ORÇAMENTO]]</f>
        <v>3</v>
      </c>
      <c r="F397">
        <v>10826</v>
      </c>
      <c r="G397" s="25" t="s">
        <v>22</v>
      </c>
      <c r="H397" s="25"/>
      <c r="I397" s="155">
        <v>380</v>
      </c>
      <c r="J397" s="155">
        <f>Tabela4[[#This Row],[VALOR]]-Tabela4[[#This Row],[PECAS]]</f>
        <v>270.01</v>
      </c>
      <c r="K397" s="150">
        <v>650.01</v>
      </c>
      <c r="L397" s="155">
        <v>0</v>
      </c>
      <c r="M397" s="155">
        <v>0</v>
      </c>
      <c r="N397" s="67"/>
      <c r="O397" s="155">
        <v>0</v>
      </c>
      <c r="P397" s="155">
        <v>0</v>
      </c>
      <c r="Q397" s="155">
        <v>0</v>
      </c>
      <c r="R397" s="155">
        <v>0</v>
      </c>
      <c r="S397" s="154">
        <v>90</v>
      </c>
      <c r="T397" s="155">
        <v>0</v>
      </c>
      <c r="U397" s="155">
        <v>0</v>
      </c>
      <c r="V397" s="25"/>
      <c r="W397" s="22">
        <v>0</v>
      </c>
      <c r="X397" s="149">
        <v>0</v>
      </c>
      <c r="Y397" s="25"/>
      <c r="Z397" s="155">
        <v>0</v>
      </c>
      <c r="AA397" s="149">
        <f>Tabela4[[#This Row],[VALOR]]-Tabela4[[#This Row],[PNEUS]]-Tabela4[[#This Row],[BATERIA]]</f>
        <v>650.01</v>
      </c>
      <c r="AB397" s="27" t="s">
        <v>38</v>
      </c>
      <c r="AC397" s="30">
        <v>0</v>
      </c>
      <c r="AD397" s="162">
        <v>0</v>
      </c>
      <c r="AE397" s="162">
        <v>0</v>
      </c>
      <c r="AF397" s="162">
        <v>0</v>
      </c>
      <c r="AG397" s="162">
        <v>0</v>
      </c>
      <c r="AH397" s="162">
        <v>0</v>
      </c>
      <c r="AI397" s="162">
        <v>0</v>
      </c>
      <c r="AJ397" s="162">
        <v>0</v>
      </c>
    </row>
    <row r="398" spans="1:36" x14ac:dyDescent="0.25">
      <c r="A398" t="s">
        <v>159</v>
      </c>
      <c r="B398" t="s">
        <v>844</v>
      </c>
      <c r="C398" s="143">
        <v>45360</v>
      </c>
      <c r="D398" s="141">
        <v>45360</v>
      </c>
      <c r="E398">
        <f>Tabela4[[#This Row],[DATA FATURAMENTO]]-Tabela4[[#This Row],[DATA ORÇAMENTO]]</f>
        <v>0</v>
      </c>
      <c r="F398">
        <v>10860</v>
      </c>
      <c r="G398" s="15" t="s">
        <v>22</v>
      </c>
      <c r="H398" s="25"/>
      <c r="I398" s="151">
        <v>20</v>
      </c>
      <c r="J398" s="155">
        <f>Tabela4[[#This Row],[VALOR]]-Tabela4[[#This Row],[PECAS]]</f>
        <v>320</v>
      </c>
      <c r="K398" s="150">
        <v>340</v>
      </c>
      <c r="L398" s="151">
        <v>0</v>
      </c>
      <c r="M398" s="151">
        <v>0</v>
      </c>
      <c r="N398" s="24"/>
      <c r="O398" s="151">
        <v>0</v>
      </c>
      <c r="P398" s="151">
        <v>0</v>
      </c>
      <c r="Q398" s="151">
        <v>0</v>
      </c>
      <c r="R398" s="151">
        <v>0</v>
      </c>
      <c r="S398" s="149">
        <v>0</v>
      </c>
      <c r="T398" s="151">
        <v>0</v>
      </c>
      <c r="U398" s="151">
        <v>0</v>
      </c>
      <c r="V398" s="15"/>
      <c r="W398" s="22">
        <v>0</v>
      </c>
      <c r="X398" s="149">
        <v>0</v>
      </c>
      <c r="Y398" s="15"/>
      <c r="Z398" s="155">
        <v>0</v>
      </c>
      <c r="AA398" s="149">
        <f>Tabela4[[#This Row],[VALOR]]-Tabela4[[#This Row],[PNEUS]]-Tabela4[[#This Row],[BATERIA]]</f>
        <v>340</v>
      </c>
      <c r="AB398" s="19" t="s">
        <v>32</v>
      </c>
      <c r="AC398" s="30">
        <v>0</v>
      </c>
      <c r="AD398" s="162">
        <v>0</v>
      </c>
      <c r="AE398" s="162">
        <v>0</v>
      </c>
      <c r="AF398" s="162">
        <v>0</v>
      </c>
      <c r="AG398" s="162">
        <v>0</v>
      </c>
      <c r="AH398" s="162">
        <v>0</v>
      </c>
      <c r="AI398" s="162">
        <v>0</v>
      </c>
      <c r="AJ398" s="162">
        <v>0</v>
      </c>
    </row>
    <row r="399" spans="1:36" x14ac:dyDescent="0.25">
      <c r="A399" t="s">
        <v>161</v>
      </c>
      <c r="B399" t="s">
        <v>845</v>
      </c>
      <c r="C399" s="143">
        <v>45360</v>
      </c>
      <c r="D399" s="141">
        <v>45360</v>
      </c>
      <c r="E399">
        <f>Tabela4[[#This Row],[DATA FATURAMENTO]]-Tabela4[[#This Row],[DATA ORÇAMENTO]]</f>
        <v>0</v>
      </c>
      <c r="F399">
        <v>10862</v>
      </c>
      <c r="G399" s="15" t="s">
        <v>22</v>
      </c>
      <c r="H399" s="54"/>
      <c r="I399" s="151">
        <v>0</v>
      </c>
      <c r="J399" s="155">
        <f>Tabela4[[#This Row],[VALOR]]-Tabela4[[#This Row],[PECAS]]</f>
        <v>216</v>
      </c>
      <c r="K399" s="150">
        <v>216</v>
      </c>
      <c r="L399" s="151">
        <v>0</v>
      </c>
      <c r="M399" s="151">
        <v>0</v>
      </c>
      <c r="N399" s="24"/>
      <c r="O399" s="151">
        <v>0</v>
      </c>
      <c r="P399" s="151">
        <v>0</v>
      </c>
      <c r="Q399" s="151">
        <v>0</v>
      </c>
      <c r="R399" s="151">
        <v>0</v>
      </c>
      <c r="S399" s="149">
        <v>0</v>
      </c>
      <c r="T399" s="151">
        <v>0</v>
      </c>
      <c r="U399" s="151">
        <v>0</v>
      </c>
      <c r="V399" s="15"/>
      <c r="W399" s="22">
        <v>0</v>
      </c>
      <c r="X399" s="149">
        <v>0</v>
      </c>
      <c r="Y399" s="15"/>
      <c r="Z399" s="155">
        <v>0</v>
      </c>
      <c r="AA399" s="149">
        <f>Tabela4[[#This Row],[VALOR]]-Tabela4[[#This Row],[PNEUS]]-Tabela4[[#This Row],[BATERIA]]</f>
        <v>216</v>
      </c>
      <c r="AB399" s="19" t="s">
        <v>34</v>
      </c>
      <c r="AC399" s="30">
        <v>0</v>
      </c>
      <c r="AD399" s="162">
        <v>0</v>
      </c>
      <c r="AE399" s="162">
        <v>0</v>
      </c>
      <c r="AF399" s="162">
        <v>0</v>
      </c>
      <c r="AG399" s="162">
        <v>0</v>
      </c>
      <c r="AH399" s="162">
        <v>0</v>
      </c>
      <c r="AI399" s="162">
        <v>0</v>
      </c>
      <c r="AJ399" s="162">
        <v>0</v>
      </c>
    </row>
    <row r="400" spans="1:36" x14ac:dyDescent="0.25">
      <c r="A400" t="s">
        <v>162</v>
      </c>
      <c r="B400" t="s">
        <v>846</v>
      </c>
      <c r="C400" s="143">
        <v>45360</v>
      </c>
      <c r="D400" s="141">
        <v>45360</v>
      </c>
      <c r="E400">
        <f>Tabela4[[#This Row],[DATA FATURAMENTO]]-Tabela4[[#This Row],[DATA ORÇAMENTO]]</f>
        <v>0</v>
      </c>
      <c r="F400">
        <v>10865</v>
      </c>
      <c r="G400" s="15" t="s">
        <v>22</v>
      </c>
      <c r="H400" s="54"/>
      <c r="I400" s="151">
        <v>427</v>
      </c>
      <c r="J400" s="155">
        <f>Tabela4[[#This Row],[VALOR]]-Tabela4[[#This Row],[PECAS]]</f>
        <v>9.9999999999909051E-3</v>
      </c>
      <c r="K400" s="150">
        <v>427.01</v>
      </c>
      <c r="L400" s="151">
        <v>0</v>
      </c>
      <c r="M400" s="151">
        <v>0</v>
      </c>
      <c r="N400" s="24"/>
      <c r="O400" s="151">
        <v>0</v>
      </c>
      <c r="P400" s="151">
        <v>0</v>
      </c>
      <c r="Q400" s="151">
        <v>0</v>
      </c>
      <c r="R400" s="151">
        <v>0</v>
      </c>
      <c r="S400" s="149">
        <v>90</v>
      </c>
      <c r="T400" s="151">
        <v>0</v>
      </c>
      <c r="U400" s="151">
        <v>0</v>
      </c>
      <c r="V400" s="15"/>
      <c r="W400" s="22">
        <v>4</v>
      </c>
      <c r="X400" s="149">
        <v>0</v>
      </c>
      <c r="Y400" s="19" t="s">
        <v>645</v>
      </c>
      <c r="Z400" s="155">
        <v>0</v>
      </c>
      <c r="AA400" s="149">
        <f>Tabela4[[#This Row],[VALOR]]-Tabela4[[#This Row],[PNEUS]]-Tabela4[[#This Row],[BATERIA]]</f>
        <v>427.01</v>
      </c>
      <c r="AB400" s="19" t="s">
        <v>24</v>
      </c>
      <c r="AC400" s="30">
        <v>0</v>
      </c>
      <c r="AD400" s="162">
        <v>0</v>
      </c>
      <c r="AE400" s="162">
        <v>0</v>
      </c>
      <c r="AF400" s="162">
        <v>0</v>
      </c>
      <c r="AG400" s="162">
        <v>0</v>
      </c>
      <c r="AH400" s="162">
        <v>0</v>
      </c>
      <c r="AI400" s="162">
        <v>0</v>
      </c>
      <c r="AJ400" s="162">
        <v>0</v>
      </c>
    </row>
    <row r="401" spans="1:36" x14ac:dyDescent="0.25">
      <c r="A401" t="s">
        <v>76</v>
      </c>
      <c r="B401" t="s">
        <v>847</v>
      </c>
      <c r="C401" s="143">
        <v>45351</v>
      </c>
      <c r="D401" s="142">
        <v>45362</v>
      </c>
      <c r="E401">
        <f>Tabela4[[#This Row],[DATA FATURAMENTO]]-Tabela4[[#This Row],[DATA ORÇAMENTO]]</f>
        <v>11</v>
      </c>
      <c r="F401">
        <v>10877</v>
      </c>
      <c r="G401" s="25" t="s">
        <v>35</v>
      </c>
      <c r="H401" s="25"/>
      <c r="I401" s="155">
        <v>1559.7</v>
      </c>
      <c r="J401" s="155">
        <f>Tabela4[[#This Row],[VALOR]]-Tabela4[[#This Row],[PECAS]]</f>
        <v>1535.1499999999999</v>
      </c>
      <c r="K401" s="150">
        <v>3094.85</v>
      </c>
      <c r="L401" s="155">
        <v>0</v>
      </c>
      <c r="M401" s="155">
        <f>75+70</f>
        <v>145</v>
      </c>
      <c r="N401" s="67"/>
      <c r="O401" s="155">
        <v>0</v>
      </c>
      <c r="P401" s="155">
        <v>0</v>
      </c>
      <c r="Q401" s="155">
        <v>0</v>
      </c>
      <c r="R401" s="155">
        <v>0</v>
      </c>
      <c r="S401" s="154">
        <v>0</v>
      </c>
      <c r="T401" s="155">
        <v>0</v>
      </c>
      <c r="U401" s="155">
        <v>0</v>
      </c>
      <c r="V401" s="25"/>
      <c r="W401" s="22">
        <v>0</v>
      </c>
      <c r="X401" s="149">
        <v>0</v>
      </c>
      <c r="Y401" s="25"/>
      <c r="Z401" s="155">
        <v>0</v>
      </c>
      <c r="AA401" s="149">
        <f>Tabela4[[#This Row],[VALOR]]-Tabela4[[#This Row],[PNEUS]]-Tabela4[[#This Row],[BATERIA]]</f>
        <v>3094.85</v>
      </c>
      <c r="AB401" s="27" t="s">
        <v>24</v>
      </c>
      <c r="AC401" s="30">
        <v>0</v>
      </c>
      <c r="AD401" s="162">
        <v>0</v>
      </c>
      <c r="AE401" s="162">
        <v>0</v>
      </c>
      <c r="AF401" s="162">
        <v>0</v>
      </c>
      <c r="AG401" s="162">
        <v>0</v>
      </c>
      <c r="AH401" s="162">
        <v>0</v>
      </c>
      <c r="AI401" s="162">
        <v>0</v>
      </c>
      <c r="AJ401" s="162">
        <v>0</v>
      </c>
    </row>
    <row r="402" spans="1:36" x14ac:dyDescent="0.25">
      <c r="A402" t="s">
        <v>848</v>
      </c>
      <c r="B402" t="s">
        <v>849</v>
      </c>
      <c r="C402" s="143">
        <v>45362</v>
      </c>
      <c r="D402" s="141">
        <v>45362</v>
      </c>
      <c r="E402">
        <f>Tabela4[[#This Row],[DATA FATURAMENTO]]-Tabela4[[#This Row],[DATA ORÇAMENTO]]</f>
        <v>0</v>
      </c>
      <c r="F402">
        <v>10868</v>
      </c>
      <c r="G402" s="15" t="s">
        <v>6</v>
      </c>
      <c r="H402" s="25"/>
      <c r="I402" s="151">
        <v>522.5</v>
      </c>
      <c r="J402" s="155">
        <f>Tabela4[[#This Row],[VALOR]]-Tabela4[[#This Row],[PECAS]]</f>
        <v>9.9999999999909051E-3</v>
      </c>
      <c r="K402" s="150">
        <v>522.51</v>
      </c>
      <c r="L402" s="151">
        <v>0</v>
      </c>
      <c r="M402" s="151">
        <v>0</v>
      </c>
      <c r="N402" s="24"/>
      <c r="O402" s="151">
        <v>0</v>
      </c>
      <c r="P402" s="151">
        <v>0</v>
      </c>
      <c r="Q402" s="151">
        <v>0</v>
      </c>
      <c r="R402" s="151">
        <v>0</v>
      </c>
      <c r="S402" s="149">
        <v>0</v>
      </c>
      <c r="T402" s="151">
        <v>0</v>
      </c>
      <c r="U402" s="151">
        <v>522.51</v>
      </c>
      <c r="V402" s="15" t="s">
        <v>711</v>
      </c>
      <c r="W402" s="22">
        <v>0</v>
      </c>
      <c r="X402" s="149">
        <v>0</v>
      </c>
      <c r="Y402" s="15"/>
      <c r="Z402" s="155">
        <v>0</v>
      </c>
      <c r="AA402" s="149">
        <f>Tabela4[[#This Row],[VALOR]]-Tabela4[[#This Row],[PNEUS]]-Tabela4[[#This Row],[BATERIA]]</f>
        <v>0</v>
      </c>
      <c r="AB402" s="19" t="s">
        <v>6</v>
      </c>
      <c r="AC402" s="30">
        <v>0</v>
      </c>
      <c r="AD402" s="162">
        <v>0</v>
      </c>
      <c r="AE402" s="162">
        <v>0</v>
      </c>
      <c r="AF402" s="162">
        <v>0</v>
      </c>
      <c r="AG402" s="162">
        <v>0</v>
      </c>
      <c r="AH402" s="162">
        <v>0</v>
      </c>
      <c r="AI402" s="162">
        <v>0</v>
      </c>
      <c r="AJ402" s="162">
        <v>0</v>
      </c>
    </row>
    <row r="403" spans="1:36" x14ac:dyDescent="0.25">
      <c r="A403" t="s">
        <v>170</v>
      </c>
      <c r="B403" t="s">
        <v>850</v>
      </c>
      <c r="C403" s="143">
        <v>45362</v>
      </c>
      <c r="D403" s="141">
        <v>45362</v>
      </c>
      <c r="E403">
        <f>Tabela4[[#This Row],[DATA FATURAMENTO]]-Tabela4[[#This Row],[DATA ORÇAMENTO]]</f>
        <v>0</v>
      </c>
      <c r="F403">
        <v>10873</v>
      </c>
      <c r="G403" s="15" t="s">
        <v>22</v>
      </c>
      <c r="H403" s="54"/>
      <c r="I403" s="151">
        <v>391.6</v>
      </c>
      <c r="J403" s="155">
        <f>Tabela4[[#This Row],[VALOR]]-Tabela4[[#This Row],[PECAS]]</f>
        <v>162.39999999999998</v>
      </c>
      <c r="K403" s="150">
        <v>554</v>
      </c>
      <c r="L403" s="151">
        <v>0</v>
      </c>
      <c r="M403" s="151">
        <v>0</v>
      </c>
      <c r="N403" s="24"/>
      <c r="O403" s="151">
        <v>0</v>
      </c>
      <c r="P403" s="151">
        <v>0</v>
      </c>
      <c r="Q403" s="151">
        <v>0</v>
      </c>
      <c r="R403" s="151">
        <v>0</v>
      </c>
      <c r="S403" s="149">
        <v>0</v>
      </c>
      <c r="T403" s="151">
        <v>0</v>
      </c>
      <c r="U403" s="151">
        <v>0</v>
      </c>
      <c r="V403" s="15"/>
      <c r="W403" s="22">
        <v>0</v>
      </c>
      <c r="X403" s="149">
        <v>0</v>
      </c>
      <c r="Y403" s="15"/>
      <c r="Z403" s="155">
        <v>0</v>
      </c>
      <c r="AA403" s="149">
        <f>Tabela4[[#This Row],[VALOR]]-Tabela4[[#This Row],[PNEUS]]-Tabela4[[#This Row],[BATERIA]]</f>
        <v>554</v>
      </c>
      <c r="AB403" s="19" t="s">
        <v>27</v>
      </c>
      <c r="AC403" s="30">
        <v>0</v>
      </c>
      <c r="AD403" s="162">
        <v>0</v>
      </c>
      <c r="AE403" s="162">
        <v>0</v>
      </c>
      <c r="AF403" s="162">
        <v>0</v>
      </c>
      <c r="AG403" s="162">
        <v>0</v>
      </c>
      <c r="AH403" s="162">
        <v>0</v>
      </c>
      <c r="AI403" s="162">
        <v>0</v>
      </c>
      <c r="AJ403" s="162">
        <v>0</v>
      </c>
    </row>
    <row r="404" spans="1:36" x14ac:dyDescent="0.25">
      <c r="A404" t="s">
        <v>171</v>
      </c>
      <c r="B404" t="s">
        <v>851</v>
      </c>
      <c r="C404" s="143">
        <v>45362</v>
      </c>
      <c r="D404" s="141">
        <v>45362</v>
      </c>
      <c r="E404">
        <f>Tabela4[[#This Row],[DATA FATURAMENTO]]-Tabela4[[#This Row],[DATA ORÇAMENTO]]</f>
        <v>0</v>
      </c>
      <c r="F404">
        <v>10875</v>
      </c>
      <c r="G404" s="15" t="s">
        <v>6</v>
      </c>
      <c r="H404" s="54"/>
      <c r="I404" s="151">
        <v>1152.8</v>
      </c>
      <c r="J404" s="155">
        <f>Tabela4[[#This Row],[VALOR]]-Tabela4[[#This Row],[PECAS]]</f>
        <v>9.9999999999909051E-3</v>
      </c>
      <c r="K404" s="150">
        <v>1152.81</v>
      </c>
      <c r="L404" s="151">
        <v>0</v>
      </c>
      <c r="M404" s="151">
        <v>0</v>
      </c>
      <c r="N404" s="24"/>
      <c r="O404" s="151">
        <v>0</v>
      </c>
      <c r="P404" s="151">
        <v>0</v>
      </c>
      <c r="Q404" s="151">
        <v>0</v>
      </c>
      <c r="R404" s="151">
        <v>0</v>
      </c>
      <c r="S404" s="149">
        <v>0</v>
      </c>
      <c r="T404" s="151">
        <v>0</v>
      </c>
      <c r="U404" s="151">
        <v>1152.81</v>
      </c>
      <c r="V404" s="15" t="s">
        <v>642</v>
      </c>
      <c r="W404" s="22">
        <v>0</v>
      </c>
      <c r="X404" s="149">
        <v>0</v>
      </c>
      <c r="Y404" s="15"/>
      <c r="Z404" s="155">
        <v>0</v>
      </c>
      <c r="AA404" s="149">
        <f>Tabela4[[#This Row],[VALOR]]-Tabela4[[#This Row],[PNEUS]]-Tabela4[[#This Row],[BATERIA]]</f>
        <v>0</v>
      </c>
      <c r="AB404" s="19" t="s">
        <v>6</v>
      </c>
      <c r="AC404" s="30">
        <v>0</v>
      </c>
      <c r="AD404" s="162">
        <v>0</v>
      </c>
      <c r="AE404" s="162">
        <v>0</v>
      </c>
      <c r="AF404" s="162">
        <v>0</v>
      </c>
      <c r="AG404" s="162">
        <v>0</v>
      </c>
      <c r="AH404" s="162">
        <v>0</v>
      </c>
      <c r="AI404" s="162">
        <v>0</v>
      </c>
      <c r="AJ404" s="162">
        <v>0</v>
      </c>
    </row>
    <row r="405" spans="1:36" x14ac:dyDescent="0.25">
      <c r="A405" t="s">
        <v>489</v>
      </c>
      <c r="B405" t="s">
        <v>852</v>
      </c>
      <c r="C405" s="143">
        <v>45362</v>
      </c>
      <c r="D405" s="141">
        <v>45362</v>
      </c>
      <c r="E405">
        <f>Tabela4[[#This Row],[DATA FATURAMENTO]]-Tabela4[[#This Row],[DATA ORÇAMENTO]]</f>
        <v>0</v>
      </c>
      <c r="F405">
        <v>10879</v>
      </c>
      <c r="G405" s="15" t="s">
        <v>22</v>
      </c>
      <c r="H405" s="54"/>
      <c r="I405" s="151">
        <v>0</v>
      </c>
      <c r="J405" s="155">
        <f>Tabela4[[#This Row],[VALOR]]-Tabela4[[#This Row],[PECAS]]</f>
        <v>0.01</v>
      </c>
      <c r="K405" s="150">
        <v>0.01</v>
      </c>
      <c r="L405" s="151">
        <v>0</v>
      </c>
      <c r="M405" s="151">
        <v>0</v>
      </c>
      <c r="N405" s="24"/>
      <c r="O405" s="151">
        <v>0</v>
      </c>
      <c r="P405" s="151">
        <v>0</v>
      </c>
      <c r="Q405" s="151">
        <v>0</v>
      </c>
      <c r="R405" s="151">
        <v>0</v>
      </c>
      <c r="S405" s="149">
        <v>0</v>
      </c>
      <c r="T405" s="151">
        <v>0</v>
      </c>
      <c r="U405" s="151">
        <v>0</v>
      </c>
      <c r="V405" s="15"/>
      <c r="W405" s="22">
        <v>0</v>
      </c>
      <c r="X405" s="149">
        <v>0</v>
      </c>
      <c r="Y405" s="15"/>
      <c r="Z405" s="155">
        <v>0</v>
      </c>
      <c r="AA405" s="149">
        <f>Tabela4[[#This Row],[VALOR]]-Tabela4[[#This Row],[PNEUS]]-Tabela4[[#This Row],[BATERIA]]</f>
        <v>0.01</v>
      </c>
      <c r="AB405" s="19" t="s">
        <v>27</v>
      </c>
      <c r="AC405" s="30">
        <v>0</v>
      </c>
      <c r="AD405" s="162">
        <v>0</v>
      </c>
      <c r="AE405" s="162">
        <v>0</v>
      </c>
      <c r="AF405" s="162">
        <v>0</v>
      </c>
      <c r="AG405" s="162">
        <v>0</v>
      </c>
      <c r="AH405" s="162">
        <v>0</v>
      </c>
      <c r="AI405" s="162">
        <v>0</v>
      </c>
      <c r="AJ405" s="162">
        <v>0</v>
      </c>
    </row>
    <row r="406" spans="1:36" x14ac:dyDescent="0.25">
      <c r="A406" s="14" t="s">
        <v>853</v>
      </c>
      <c r="B406" t="s">
        <v>854</v>
      </c>
      <c r="C406" s="143">
        <v>45357</v>
      </c>
      <c r="D406" s="142">
        <v>45363</v>
      </c>
      <c r="E406">
        <f>Tabela4[[#This Row],[DATA FATURAMENTO]]-Tabela4[[#This Row],[DATA ORÇAMENTO]]</f>
        <v>6</v>
      </c>
      <c r="F406">
        <v>10827</v>
      </c>
      <c r="G406" s="25" t="s">
        <v>28</v>
      </c>
      <c r="H406" s="25"/>
      <c r="I406" s="155">
        <v>881.27</v>
      </c>
      <c r="J406" s="155">
        <f>Tabela4[[#This Row],[VALOR]]-Tabela4[[#This Row],[PECAS]]</f>
        <v>1561.6</v>
      </c>
      <c r="K406" s="150">
        <v>2442.87</v>
      </c>
      <c r="L406" s="155">
        <v>0</v>
      </c>
      <c r="M406" s="155">
        <v>0</v>
      </c>
      <c r="N406" s="67"/>
      <c r="O406" s="155">
        <f>180+40.8</f>
        <v>220.8</v>
      </c>
      <c r="P406" s="155">
        <v>0</v>
      </c>
      <c r="Q406" s="155">
        <v>0</v>
      </c>
      <c r="R406" s="155">
        <v>0</v>
      </c>
      <c r="S406" s="154">
        <v>177</v>
      </c>
      <c r="T406" s="155">
        <v>0</v>
      </c>
      <c r="U406" s="155">
        <v>0</v>
      </c>
      <c r="V406" s="25"/>
      <c r="W406" s="28">
        <v>3</v>
      </c>
      <c r="X406" s="149">
        <v>0</v>
      </c>
      <c r="Y406" s="25" t="s">
        <v>654</v>
      </c>
      <c r="Z406" s="155">
        <v>0</v>
      </c>
      <c r="AA406" s="149">
        <f>Tabela4[[#This Row],[VALOR]]-Tabela4[[#This Row],[PNEUS]]-Tabela4[[#This Row],[BATERIA]]</f>
        <v>2442.87</v>
      </c>
      <c r="AB406" s="27" t="s">
        <v>24</v>
      </c>
      <c r="AC406" s="30">
        <v>0</v>
      </c>
      <c r="AD406" s="162">
        <v>0</v>
      </c>
      <c r="AE406" s="162">
        <v>0</v>
      </c>
      <c r="AF406" s="162">
        <v>0</v>
      </c>
      <c r="AG406" s="162">
        <v>0</v>
      </c>
      <c r="AH406" s="162">
        <v>0</v>
      </c>
      <c r="AI406" s="162">
        <v>0</v>
      </c>
      <c r="AJ406" s="162">
        <v>0</v>
      </c>
    </row>
    <row r="407" spans="1:36" x14ac:dyDescent="0.25">
      <c r="A407" t="s">
        <v>146</v>
      </c>
      <c r="B407" t="s">
        <v>855</v>
      </c>
      <c r="C407" s="143">
        <v>45357</v>
      </c>
      <c r="D407" s="141">
        <v>45363</v>
      </c>
      <c r="E407">
        <f>Tabela4[[#This Row],[DATA FATURAMENTO]]-Tabela4[[#This Row],[DATA ORÇAMENTO]]</f>
        <v>6</v>
      </c>
      <c r="F407">
        <v>10833</v>
      </c>
      <c r="G407" s="15" t="s">
        <v>28</v>
      </c>
      <c r="H407" s="25"/>
      <c r="I407" s="151">
        <v>792.88</v>
      </c>
      <c r="J407" s="155">
        <f>Tabela4[[#This Row],[VALOR]]-Tabela4[[#This Row],[PECAS]]</f>
        <v>535.00000000000011</v>
      </c>
      <c r="K407" s="150">
        <v>1327.88</v>
      </c>
      <c r="L407" s="151">
        <v>0</v>
      </c>
      <c r="M407" s="151">
        <v>0</v>
      </c>
      <c r="N407" s="24"/>
      <c r="O407" s="151">
        <v>0</v>
      </c>
      <c r="P407" s="151">
        <v>0</v>
      </c>
      <c r="Q407" s="151">
        <v>0</v>
      </c>
      <c r="R407" s="151">
        <v>0</v>
      </c>
      <c r="S407" s="149">
        <v>57</v>
      </c>
      <c r="T407" s="151">
        <v>0</v>
      </c>
      <c r="U407" s="151">
        <v>0</v>
      </c>
      <c r="V407" s="15"/>
      <c r="W407" s="22">
        <v>4</v>
      </c>
      <c r="X407" s="149">
        <v>0</v>
      </c>
      <c r="Y407" s="15" t="s">
        <v>658</v>
      </c>
      <c r="Z407" s="155">
        <v>0</v>
      </c>
      <c r="AA407" s="149">
        <f>Tabela4[[#This Row],[VALOR]]-Tabela4[[#This Row],[PNEUS]]-Tabela4[[#This Row],[BATERIA]]</f>
        <v>1327.88</v>
      </c>
      <c r="AB407" s="19" t="s">
        <v>24</v>
      </c>
      <c r="AC407" s="30">
        <v>0</v>
      </c>
      <c r="AD407" s="162">
        <v>0</v>
      </c>
      <c r="AE407" s="162">
        <v>0</v>
      </c>
      <c r="AF407" s="162">
        <v>0</v>
      </c>
      <c r="AG407" s="162">
        <v>0</v>
      </c>
      <c r="AH407" s="162">
        <v>0</v>
      </c>
      <c r="AI407" s="162">
        <v>0</v>
      </c>
      <c r="AJ407" s="162">
        <v>0</v>
      </c>
    </row>
    <row r="408" spans="1:36" x14ac:dyDescent="0.25">
      <c r="A408" t="s">
        <v>856</v>
      </c>
      <c r="B408" t="s">
        <v>857</v>
      </c>
      <c r="C408" s="143">
        <v>45359</v>
      </c>
      <c r="D408" s="141">
        <v>45363</v>
      </c>
      <c r="E408">
        <f>Tabela4[[#This Row],[DATA FATURAMENTO]]-Tabela4[[#This Row],[DATA ORÇAMENTO]]</f>
        <v>4</v>
      </c>
      <c r="F408">
        <v>10854</v>
      </c>
      <c r="G408" s="15" t="s">
        <v>22</v>
      </c>
      <c r="H408" s="54"/>
      <c r="I408" s="151">
        <v>620</v>
      </c>
      <c r="J408" s="155">
        <f>Tabela4[[#This Row],[VALOR]]-Tabela4[[#This Row],[PECAS]]</f>
        <v>0</v>
      </c>
      <c r="K408" s="150">
        <v>620</v>
      </c>
      <c r="L408" s="151">
        <v>0</v>
      </c>
      <c r="M408" s="151">
        <f>38.5</f>
        <v>38.5</v>
      </c>
      <c r="N408" s="24"/>
      <c r="O408" s="151">
        <v>0</v>
      </c>
      <c r="P408" s="151">
        <v>0</v>
      </c>
      <c r="Q408" s="151">
        <v>0</v>
      </c>
      <c r="R408" s="151">
        <v>0</v>
      </c>
      <c r="S408" s="149">
        <v>84.2</v>
      </c>
      <c r="T408" s="151">
        <v>0</v>
      </c>
      <c r="U408" s="151">
        <v>0</v>
      </c>
      <c r="V408" s="15"/>
      <c r="W408" s="22">
        <v>4</v>
      </c>
      <c r="X408" s="149">
        <v>0</v>
      </c>
      <c r="Y408" s="15" t="s">
        <v>645</v>
      </c>
      <c r="Z408" s="155">
        <v>0</v>
      </c>
      <c r="AA408" s="149">
        <f>Tabela4[[#This Row],[VALOR]]-Tabela4[[#This Row],[PNEUS]]-Tabela4[[#This Row],[BATERIA]]</f>
        <v>620</v>
      </c>
      <c r="AB408" s="19" t="s">
        <v>34</v>
      </c>
      <c r="AC408" s="30">
        <v>0</v>
      </c>
      <c r="AD408" s="162">
        <v>0</v>
      </c>
      <c r="AE408" s="162">
        <v>0</v>
      </c>
      <c r="AF408" s="162">
        <v>0</v>
      </c>
      <c r="AG408" s="162">
        <v>0</v>
      </c>
      <c r="AH408" s="162">
        <v>0</v>
      </c>
      <c r="AI408" s="162">
        <v>0</v>
      </c>
      <c r="AJ408" s="162">
        <v>0</v>
      </c>
    </row>
    <row r="409" spans="1:36" x14ac:dyDescent="0.25">
      <c r="A409" t="s">
        <v>163</v>
      </c>
      <c r="B409" t="s">
        <v>858</v>
      </c>
      <c r="C409" s="143">
        <v>45360</v>
      </c>
      <c r="D409" s="141">
        <v>45363</v>
      </c>
      <c r="E409">
        <f>Tabela4[[#This Row],[DATA FATURAMENTO]]-Tabela4[[#This Row],[DATA ORÇAMENTO]]</f>
        <v>3</v>
      </c>
      <c r="F409">
        <v>10863</v>
      </c>
      <c r="G409" s="15" t="s">
        <v>22</v>
      </c>
      <c r="H409" s="54"/>
      <c r="I409" s="151">
        <v>780.9</v>
      </c>
      <c r="J409" s="155">
        <f>Tabela4[[#This Row],[VALOR]]-Tabela4[[#This Row],[PECAS]]</f>
        <v>319.10000000000002</v>
      </c>
      <c r="K409" s="150">
        <v>1100</v>
      </c>
      <c r="L409" s="151">
        <v>0</v>
      </c>
      <c r="M409" s="151">
        <v>0</v>
      </c>
      <c r="N409" s="24"/>
      <c r="O409" s="151">
        <v>0</v>
      </c>
      <c r="P409" s="151">
        <v>0</v>
      </c>
      <c r="Q409" s="151">
        <v>0</v>
      </c>
      <c r="R409" s="151">
        <v>0</v>
      </c>
      <c r="S409" s="149">
        <v>0</v>
      </c>
      <c r="T409" s="151">
        <v>0</v>
      </c>
      <c r="U409" s="151">
        <v>0</v>
      </c>
      <c r="V409" s="15"/>
      <c r="W409" s="22">
        <v>0</v>
      </c>
      <c r="X409" s="149">
        <v>0</v>
      </c>
      <c r="Y409" s="15"/>
      <c r="Z409" s="155">
        <v>0</v>
      </c>
      <c r="AA409" s="149">
        <f>Tabela4[[#This Row],[VALOR]]-Tabela4[[#This Row],[PNEUS]]-Tabela4[[#This Row],[BATERIA]]</f>
        <v>1100</v>
      </c>
      <c r="AB409" s="19" t="s">
        <v>27</v>
      </c>
      <c r="AC409" s="30">
        <v>0</v>
      </c>
      <c r="AD409" s="162">
        <v>0</v>
      </c>
      <c r="AE409" s="162">
        <v>0</v>
      </c>
      <c r="AF409" s="162">
        <v>0</v>
      </c>
      <c r="AG409" s="162">
        <v>0</v>
      </c>
      <c r="AH409" s="162">
        <v>0</v>
      </c>
      <c r="AI409" s="162">
        <v>0</v>
      </c>
      <c r="AJ409" s="162">
        <v>0</v>
      </c>
    </row>
    <row r="410" spans="1:36" x14ac:dyDescent="0.25">
      <c r="A410" t="s">
        <v>176</v>
      </c>
      <c r="B410" t="s">
        <v>859</v>
      </c>
      <c r="C410" s="143">
        <v>45362</v>
      </c>
      <c r="D410" s="141">
        <v>45363</v>
      </c>
      <c r="E410">
        <f>Tabela4[[#This Row],[DATA FATURAMENTO]]-Tabela4[[#This Row],[DATA ORÇAMENTO]]</f>
        <v>1</v>
      </c>
      <c r="F410">
        <v>10878</v>
      </c>
      <c r="G410" s="15" t="s">
        <v>22</v>
      </c>
      <c r="H410" s="54"/>
      <c r="I410" s="151">
        <v>1055</v>
      </c>
      <c r="J410" s="155">
        <f>Tabela4[[#This Row],[VALOR]]-Tabela4[[#This Row],[PECAS]]</f>
        <v>210</v>
      </c>
      <c r="K410" s="150">
        <v>1265</v>
      </c>
      <c r="L410" s="151">
        <v>0</v>
      </c>
      <c r="M410" s="151">
        <v>0</v>
      </c>
      <c r="N410" s="24"/>
      <c r="O410" s="151">
        <v>0</v>
      </c>
      <c r="P410" s="151">
        <v>0</v>
      </c>
      <c r="Q410" s="151">
        <v>0</v>
      </c>
      <c r="R410" s="151">
        <v>0</v>
      </c>
      <c r="S410" s="149">
        <v>170</v>
      </c>
      <c r="T410" s="151">
        <v>0</v>
      </c>
      <c r="U410" s="151">
        <v>1055</v>
      </c>
      <c r="V410" s="15" t="s">
        <v>860</v>
      </c>
      <c r="W410" s="22">
        <v>0</v>
      </c>
      <c r="X410" s="149">
        <v>0</v>
      </c>
      <c r="Y410" s="15"/>
      <c r="Z410" s="155">
        <v>0</v>
      </c>
      <c r="AA410" s="149">
        <f>Tabela4[[#This Row],[VALOR]]-Tabela4[[#This Row],[PNEUS]]-Tabela4[[#This Row],[BATERIA]]</f>
        <v>210</v>
      </c>
      <c r="AB410" s="19" t="s">
        <v>32</v>
      </c>
      <c r="AC410" s="30">
        <v>0</v>
      </c>
      <c r="AD410" s="162">
        <v>0</v>
      </c>
      <c r="AE410" s="162">
        <v>0</v>
      </c>
      <c r="AF410" s="162">
        <v>0</v>
      </c>
      <c r="AG410" s="162">
        <v>0</v>
      </c>
      <c r="AH410" s="162">
        <v>0</v>
      </c>
      <c r="AI410" s="162">
        <v>0</v>
      </c>
      <c r="AJ410" s="162">
        <v>0</v>
      </c>
    </row>
    <row r="411" spans="1:36" x14ac:dyDescent="0.25">
      <c r="A411" t="s">
        <v>861</v>
      </c>
      <c r="B411" t="s">
        <v>862</v>
      </c>
      <c r="C411" s="143">
        <v>45363</v>
      </c>
      <c r="D411" s="141">
        <v>45363</v>
      </c>
      <c r="E411">
        <f>Tabela4[[#This Row],[DATA FATURAMENTO]]-Tabela4[[#This Row],[DATA ORÇAMENTO]]</f>
        <v>0</v>
      </c>
      <c r="F411">
        <v>10883</v>
      </c>
      <c r="G411" s="15" t="s">
        <v>35</v>
      </c>
      <c r="H411" s="54"/>
      <c r="I411" s="151">
        <v>444.8</v>
      </c>
      <c r="J411" s="155">
        <f>Tabela4[[#This Row],[VALOR]]-Tabela4[[#This Row],[PECAS]]</f>
        <v>189.99999999999994</v>
      </c>
      <c r="K411" s="150">
        <v>634.79999999999995</v>
      </c>
      <c r="L411" s="151">
        <v>0</v>
      </c>
      <c r="M411" s="151">
        <v>0</v>
      </c>
      <c r="N411" s="24"/>
      <c r="O411" s="151">
        <v>0</v>
      </c>
      <c r="P411" s="151">
        <v>0</v>
      </c>
      <c r="Q411" s="151">
        <v>0</v>
      </c>
      <c r="R411" s="151">
        <v>0</v>
      </c>
      <c r="S411" s="149">
        <v>190</v>
      </c>
      <c r="T411" s="151">
        <v>0</v>
      </c>
      <c r="U411" s="151">
        <v>0</v>
      </c>
      <c r="V411" s="15"/>
      <c r="W411" s="22">
        <v>4</v>
      </c>
      <c r="X411" s="149">
        <v>0</v>
      </c>
      <c r="Y411" s="15" t="s">
        <v>807</v>
      </c>
      <c r="Z411" s="155">
        <v>0</v>
      </c>
      <c r="AA411" s="149">
        <f>Tabela4[[#This Row],[VALOR]]-Tabela4[[#This Row],[PNEUS]]-Tabela4[[#This Row],[BATERIA]]</f>
        <v>634.79999999999995</v>
      </c>
      <c r="AB411" s="19" t="s">
        <v>32</v>
      </c>
      <c r="AC411" s="30">
        <v>0</v>
      </c>
      <c r="AD411" s="162">
        <v>0</v>
      </c>
      <c r="AE411" s="162">
        <v>0</v>
      </c>
      <c r="AF411" s="162">
        <v>0</v>
      </c>
      <c r="AG411" s="162">
        <v>0</v>
      </c>
      <c r="AH411" s="162">
        <v>0</v>
      </c>
      <c r="AI411" s="162">
        <v>0</v>
      </c>
      <c r="AJ411" s="162">
        <v>0</v>
      </c>
    </row>
    <row r="412" spans="1:36" x14ac:dyDescent="0.25">
      <c r="A412" t="s">
        <v>863</v>
      </c>
      <c r="B412" t="s">
        <v>864</v>
      </c>
      <c r="C412" s="143">
        <v>45363</v>
      </c>
      <c r="D412" s="141">
        <v>45363</v>
      </c>
      <c r="E412">
        <f>Tabela4[[#This Row],[DATA FATURAMENTO]]-Tabela4[[#This Row],[DATA ORÇAMENTO]]</f>
        <v>0</v>
      </c>
      <c r="F412">
        <v>10884</v>
      </c>
      <c r="G412" s="15" t="s">
        <v>22</v>
      </c>
      <c r="H412" s="54"/>
      <c r="I412" s="151">
        <v>96.5</v>
      </c>
      <c r="J412" s="155">
        <f>Tabela4[[#This Row],[VALOR]]-Tabela4[[#This Row],[PECAS]]</f>
        <v>1.0000000000005116E-2</v>
      </c>
      <c r="K412" s="150">
        <v>96.51</v>
      </c>
      <c r="L412" s="151">
        <v>0</v>
      </c>
      <c r="M412" s="151">
        <v>0</v>
      </c>
      <c r="N412" s="24"/>
      <c r="O412" s="151">
        <v>0</v>
      </c>
      <c r="P412" s="151">
        <v>0</v>
      </c>
      <c r="Q412" s="151">
        <v>0</v>
      </c>
      <c r="R412" s="151">
        <v>0</v>
      </c>
      <c r="S412" s="149">
        <v>96.5</v>
      </c>
      <c r="T412" s="151">
        <v>0</v>
      </c>
      <c r="U412" s="151">
        <v>0</v>
      </c>
      <c r="V412" s="15"/>
      <c r="W412" s="22">
        <v>0</v>
      </c>
      <c r="X412" s="149">
        <v>0</v>
      </c>
      <c r="Y412" s="15"/>
      <c r="Z412" s="155">
        <v>0</v>
      </c>
      <c r="AA412" s="149">
        <f>Tabela4[[#This Row],[VALOR]]-Tabela4[[#This Row],[PNEUS]]-Tabela4[[#This Row],[BATERIA]]</f>
        <v>96.51</v>
      </c>
      <c r="AB412" s="19" t="s">
        <v>38</v>
      </c>
      <c r="AC412" s="30">
        <v>0</v>
      </c>
      <c r="AD412" s="162">
        <v>0</v>
      </c>
      <c r="AE412" s="162">
        <v>0</v>
      </c>
      <c r="AF412" s="162">
        <v>0</v>
      </c>
      <c r="AG412" s="162">
        <v>0</v>
      </c>
      <c r="AH412" s="162">
        <v>0</v>
      </c>
      <c r="AI412" s="162">
        <v>0</v>
      </c>
      <c r="AJ412" s="162">
        <v>0</v>
      </c>
    </row>
    <row r="413" spans="1:36" x14ac:dyDescent="0.25">
      <c r="A413" t="s">
        <v>865</v>
      </c>
      <c r="B413" t="s">
        <v>866</v>
      </c>
      <c r="C413" s="143">
        <v>45363</v>
      </c>
      <c r="D413" s="141">
        <v>45363</v>
      </c>
      <c r="E413">
        <f>Tabela4[[#This Row],[DATA FATURAMENTO]]-Tabela4[[#This Row],[DATA ORÇAMENTO]]</f>
        <v>0</v>
      </c>
      <c r="F413">
        <v>10885</v>
      </c>
      <c r="G413" s="15" t="s">
        <v>6</v>
      </c>
      <c r="H413" s="54"/>
      <c r="I413" s="151">
        <v>522.5</v>
      </c>
      <c r="J413" s="155">
        <f>Tabela4[[#This Row],[VALOR]]-Tabela4[[#This Row],[PECAS]]</f>
        <v>9.9999999999909051E-3</v>
      </c>
      <c r="K413" s="150">
        <v>522.51</v>
      </c>
      <c r="L413" s="151">
        <v>0</v>
      </c>
      <c r="M413" s="151">
        <v>0</v>
      </c>
      <c r="N413" s="24"/>
      <c r="O413" s="151">
        <v>0</v>
      </c>
      <c r="P413" s="151">
        <v>0</v>
      </c>
      <c r="Q413" s="151">
        <v>0</v>
      </c>
      <c r="R413" s="151">
        <v>0</v>
      </c>
      <c r="S413" s="149">
        <v>0</v>
      </c>
      <c r="T413" s="151">
        <v>0</v>
      </c>
      <c r="U413" s="151">
        <v>522.5</v>
      </c>
      <c r="V413" s="15" t="s">
        <v>640</v>
      </c>
      <c r="W413" s="22">
        <v>0</v>
      </c>
      <c r="X413" s="149">
        <v>0</v>
      </c>
      <c r="Y413" s="15"/>
      <c r="Z413" s="155">
        <v>0</v>
      </c>
      <c r="AA413" s="149">
        <f>Tabela4[[#This Row],[VALOR]]-Tabela4[[#This Row],[PNEUS]]-Tabela4[[#This Row],[BATERIA]]</f>
        <v>9.9999999999909051E-3</v>
      </c>
      <c r="AB413" s="19" t="s">
        <v>6</v>
      </c>
      <c r="AC413" s="30">
        <v>0</v>
      </c>
      <c r="AD413" s="162">
        <v>0</v>
      </c>
      <c r="AE413" s="162">
        <v>0</v>
      </c>
      <c r="AF413" s="162">
        <v>0</v>
      </c>
      <c r="AG413" s="162">
        <v>0</v>
      </c>
      <c r="AH413" s="162">
        <v>0</v>
      </c>
      <c r="AI413" s="162">
        <v>0</v>
      </c>
      <c r="AJ413" s="162">
        <v>0</v>
      </c>
    </row>
    <row r="414" spans="1:36" x14ac:dyDescent="0.25">
      <c r="A414" t="s">
        <v>867</v>
      </c>
      <c r="B414" t="s">
        <v>868</v>
      </c>
      <c r="C414" s="143">
        <v>45363</v>
      </c>
      <c r="D414" s="141">
        <v>45363</v>
      </c>
      <c r="E414">
        <f>Tabela4[[#This Row],[DATA FATURAMENTO]]-Tabela4[[#This Row],[DATA ORÇAMENTO]]</f>
        <v>0</v>
      </c>
      <c r="F414">
        <v>10887</v>
      </c>
      <c r="G414" s="15" t="s">
        <v>6</v>
      </c>
      <c r="H414" s="54"/>
      <c r="I414" s="151">
        <v>535</v>
      </c>
      <c r="J414" s="155">
        <f>Tabela4[[#This Row],[VALOR]]-Tabela4[[#This Row],[PECAS]]</f>
        <v>9.9999999999909051E-3</v>
      </c>
      <c r="K414" s="150">
        <v>535.01</v>
      </c>
      <c r="L414" s="151">
        <v>0</v>
      </c>
      <c r="M414" s="151">
        <v>0</v>
      </c>
      <c r="N414" s="24"/>
      <c r="O414" s="151">
        <v>0</v>
      </c>
      <c r="P414" s="151">
        <v>0</v>
      </c>
      <c r="Q414" s="151">
        <v>0</v>
      </c>
      <c r="R414" s="151">
        <v>0</v>
      </c>
      <c r="S414" s="149">
        <v>0</v>
      </c>
      <c r="T414" s="151">
        <v>0</v>
      </c>
      <c r="U414" s="151">
        <v>535</v>
      </c>
      <c r="V414" s="15" t="s">
        <v>806</v>
      </c>
      <c r="W414" s="22">
        <v>0</v>
      </c>
      <c r="X414" s="149">
        <v>0</v>
      </c>
      <c r="Y414" s="15"/>
      <c r="Z414" s="155">
        <v>0</v>
      </c>
      <c r="AA414" s="149">
        <f>Tabela4[[#This Row],[VALOR]]-Tabela4[[#This Row],[PNEUS]]-Tabela4[[#This Row],[BATERIA]]</f>
        <v>9.9999999999909051E-3</v>
      </c>
      <c r="AB414" s="19" t="s">
        <v>6</v>
      </c>
      <c r="AC414" s="30">
        <v>0</v>
      </c>
      <c r="AD414" s="162">
        <v>0</v>
      </c>
      <c r="AE414" s="162">
        <v>0</v>
      </c>
      <c r="AF414" s="162">
        <v>0</v>
      </c>
      <c r="AG414" s="162">
        <v>0</v>
      </c>
      <c r="AH414" s="162">
        <v>0</v>
      </c>
      <c r="AI414" s="162">
        <v>0</v>
      </c>
      <c r="AJ414" s="162">
        <v>0</v>
      </c>
    </row>
    <row r="415" spans="1:36" x14ac:dyDescent="0.25">
      <c r="A415" s="14" t="s">
        <v>180</v>
      </c>
      <c r="B415" t="s">
        <v>868</v>
      </c>
      <c r="C415" s="143">
        <v>45364</v>
      </c>
      <c r="D415" s="142">
        <v>45364</v>
      </c>
      <c r="E415">
        <f>Tabela4[[#This Row],[DATA FATURAMENTO]]-Tabela4[[#This Row],[DATA ORÇAMENTO]]</f>
        <v>0</v>
      </c>
      <c r="F415">
        <v>10888</v>
      </c>
      <c r="G415" s="25" t="s">
        <v>25</v>
      </c>
      <c r="H415" s="25"/>
      <c r="I415" s="155">
        <v>0</v>
      </c>
      <c r="J415" s="155">
        <f>Tabela4[[#This Row],[VALOR]]-Tabela4[[#This Row],[PECAS]]</f>
        <v>220</v>
      </c>
      <c r="K415" s="150">
        <v>220</v>
      </c>
      <c r="L415" s="155">
        <v>0</v>
      </c>
      <c r="M415" s="155">
        <v>0</v>
      </c>
      <c r="N415" s="67"/>
      <c r="O415" s="155">
        <v>0</v>
      </c>
      <c r="P415" s="155">
        <v>0</v>
      </c>
      <c r="Q415" s="155">
        <v>0</v>
      </c>
      <c r="R415" s="155">
        <v>0</v>
      </c>
      <c r="S415" s="154">
        <v>0</v>
      </c>
      <c r="T415" s="155">
        <v>0</v>
      </c>
      <c r="U415" s="155">
        <v>0</v>
      </c>
      <c r="V415" s="25"/>
      <c r="W415" s="22">
        <v>0</v>
      </c>
      <c r="X415" s="149">
        <v>0</v>
      </c>
      <c r="Y415" s="25"/>
      <c r="Z415" s="155">
        <v>0</v>
      </c>
      <c r="AA415" s="149">
        <f>Tabela4[[#This Row],[VALOR]]-Tabela4[[#This Row],[PNEUS]]-Tabela4[[#This Row],[BATERIA]]</f>
        <v>220</v>
      </c>
      <c r="AB415" s="27" t="s">
        <v>30</v>
      </c>
      <c r="AC415" s="30">
        <v>0</v>
      </c>
      <c r="AD415" s="162">
        <v>0</v>
      </c>
      <c r="AE415" s="162">
        <v>0</v>
      </c>
      <c r="AF415" s="162">
        <v>0</v>
      </c>
      <c r="AG415" s="162">
        <v>0</v>
      </c>
      <c r="AH415" s="162">
        <v>0</v>
      </c>
      <c r="AI415" s="162">
        <v>0</v>
      </c>
      <c r="AJ415" s="162">
        <v>0</v>
      </c>
    </row>
    <row r="416" spans="1:36" x14ac:dyDescent="0.25">
      <c r="A416" t="s">
        <v>183</v>
      </c>
      <c r="B416" t="s">
        <v>869</v>
      </c>
      <c r="C416" s="143">
        <v>45364</v>
      </c>
      <c r="D416" s="142">
        <v>45364</v>
      </c>
      <c r="E416">
        <f>Tabela4[[#This Row],[DATA FATURAMENTO]]-Tabela4[[#This Row],[DATA ORÇAMENTO]]</f>
        <v>0</v>
      </c>
      <c r="F416">
        <v>10897</v>
      </c>
      <c r="G416" s="15" t="s">
        <v>22</v>
      </c>
      <c r="H416" s="25"/>
      <c r="I416" s="151">
        <v>2593.1999999999998</v>
      </c>
      <c r="J416" s="155">
        <f>Tabela4[[#This Row],[VALOR]]-Tabela4[[#This Row],[PECAS]]</f>
        <v>1106.8000000000002</v>
      </c>
      <c r="K416" s="150">
        <v>3700</v>
      </c>
      <c r="L416" s="151">
        <v>0</v>
      </c>
      <c r="M416" s="151">
        <f>77.6+21</f>
        <v>98.6</v>
      </c>
      <c r="N416" s="24"/>
      <c r="O416" s="151">
        <v>0</v>
      </c>
      <c r="P416" s="151">
        <v>0</v>
      </c>
      <c r="Q416" s="151">
        <v>0</v>
      </c>
      <c r="R416" s="151">
        <v>0</v>
      </c>
      <c r="S416" s="149">
        <v>0</v>
      </c>
      <c r="T416" s="151">
        <v>0</v>
      </c>
      <c r="U416" s="151">
        <v>0</v>
      </c>
      <c r="V416" s="15"/>
      <c r="W416" s="22">
        <v>4</v>
      </c>
      <c r="X416" s="149">
        <v>0</v>
      </c>
      <c r="Y416" s="15" t="s">
        <v>807</v>
      </c>
      <c r="Z416" s="155">
        <v>0</v>
      </c>
      <c r="AA416" s="149">
        <f>Tabela4[[#This Row],[VALOR]]-Tabela4[[#This Row],[PNEUS]]-Tabela4[[#This Row],[BATERIA]]</f>
        <v>3700</v>
      </c>
      <c r="AB416" s="19" t="s">
        <v>24</v>
      </c>
      <c r="AC416" s="30">
        <v>0</v>
      </c>
      <c r="AD416" s="162">
        <v>0</v>
      </c>
      <c r="AE416" s="162">
        <v>0</v>
      </c>
      <c r="AF416" s="162">
        <v>0</v>
      </c>
      <c r="AG416" s="162">
        <v>0</v>
      </c>
      <c r="AH416" s="162">
        <v>0</v>
      </c>
      <c r="AI416" s="162">
        <v>0</v>
      </c>
      <c r="AJ416" s="162">
        <v>0</v>
      </c>
    </row>
    <row r="417" spans="1:36" x14ac:dyDescent="0.25">
      <c r="A417" s="14" t="s">
        <v>870</v>
      </c>
      <c r="B417" t="s">
        <v>868</v>
      </c>
      <c r="C417" s="143">
        <v>45364</v>
      </c>
      <c r="D417" s="142">
        <v>45364</v>
      </c>
      <c r="E417">
        <f>Tabela4[[#This Row],[DATA FATURAMENTO]]-Tabela4[[#This Row],[DATA ORÇAMENTO]]</f>
        <v>0</v>
      </c>
      <c r="F417">
        <v>10890</v>
      </c>
      <c r="G417" s="15" t="s">
        <v>37</v>
      </c>
      <c r="H417" s="54"/>
      <c r="I417" s="151">
        <v>250.71</v>
      </c>
      <c r="J417" s="155">
        <f>Tabela4[[#This Row],[VALOR]]-Tabela4[[#This Row],[PECAS]]</f>
        <v>577</v>
      </c>
      <c r="K417" s="150">
        <v>827.71</v>
      </c>
      <c r="L417" s="151">
        <v>0</v>
      </c>
      <c r="M417" s="151">
        <f>22.95+40</f>
        <v>62.95</v>
      </c>
      <c r="N417" s="24"/>
      <c r="O417" s="151">
        <f>100+24</f>
        <v>124</v>
      </c>
      <c r="P417" s="151">
        <v>0</v>
      </c>
      <c r="Q417" s="151">
        <v>150</v>
      </c>
      <c r="R417" s="151">
        <v>0</v>
      </c>
      <c r="S417" s="149">
        <v>44.85</v>
      </c>
      <c r="T417" s="151">
        <v>0</v>
      </c>
      <c r="U417" s="151">
        <v>0</v>
      </c>
      <c r="V417" s="15"/>
      <c r="W417" s="22">
        <v>3</v>
      </c>
      <c r="X417" s="149">
        <v>0</v>
      </c>
      <c r="Y417" s="15" t="s">
        <v>654</v>
      </c>
      <c r="Z417" s="155">
        <v>0</v>
      </c>
      <c r="AA417" s="149">
        <f>Tabela4[[#This Row],[VALOR]]-Tabela4[[#This Row],[PNEUS]]-Tabela4[[#This Row],[BATERIA]]</f>
        <v>827.71</v>
      </c>
      <c r="AB417" s="19" t="s">
        <v>32</v>
      </c>
      <c r="AC417" s="30">
        <v>0</v>
      </c>
      <c r="AD417" s="162">
        <v>0</v>
      </c>
      <c r="AE417" s="162">
        <v>0</v>
      </c>
      <c r="AF417" s="162">
        <v>0</v>
      </c>
      <c r="AG417" s="162">
        <v>0</v>
      </c>
      <c r="AH417" s="162">
        <v>0</v>
      </c>
      <c r="AI417" s="162">
        <v>0</v>
      </c>
      <c r="AJ417" s="162">
        <v>0</v>
      </c>
    </row>
    <row r="418" spans="1:36" x14ac:dyDescent="0.25">
      <c r="A418" s="14" t="s">
        <v>503</v>
      </c>
      <c r="B418" t="s">
        <v>871</v>
      </c>
      <c r="C418" s="143">
        <v>45364</v>
      </c>
      <c r="D418" s="142">
        <v>45364</v>
      </c>
      <c r="E418">
        <f>Tabela4[[#This Row],[DATA FATURAMENTO]]-Tabela4[[#This Row],[DATA ORÇAMENTO]]</f>
        <v>0</v>
      </c>
      <c r="F418">
        <v>10891</v>
      </c>
      <c r="G418" s="15" t="s">
        <v>37</v>
      </c>
      <c r="H418" s="54"/>
      <c r="I418" s="151">
        <v>97.3</v>
      </c>
      <c r="J418" s="155">
        <f>Tabela4[[#This Row],[VALOR]]-Tabela4[[#This Row],[PECAS]]</f>
        <v>200</v>
      </c>
      <c r="K418" s="150">
        <v>297.3</v>
      </c>
      <c r="L418" s="151">
        <v>0</v>
      </c>
      <c r="M418" s="151">
        <v>0</v>
      </c>
      <c r="N418" s="24"/>
      <c r="O418" s="151">
        <v>0</v>
      </c>
      <c r="P418" s="151">
        <v>0</v>
      </c>
      <c r="Q418" s="151">
        <v>0</v>
      </c>
      <c r="R418" s="151">
        <v>0</v>
      </c>
      <c r="S418" s="149">
        <v>0</v>
      </c>
      <c r="T418" s="151">
        <v>0</v>
      </c>
      <c r="U418" s="151">
        <v>0</v>
      </c>
      <c r="V418" s="15"/>
      <c r="W418" s="22">
        <v>0</v>
      </c>
      <c r="X418" s="149">
        <v>0</v>
      </c>
      <c r="Y418" s="15"/>
      <c r="Z418" s="155">
        <v>0</v>
      </c>
      <c r="AA418" s="149">
        <f>Tabela4[[#This Row],[VALOR]]-Tabela4[[#This Row],[PNEUS]]-Tabela4[[#This Row],[BATERIA]]</f>
        <v>297.3</v>
      </c>
      <c r="AB418" s="19" t="s">
        <v>38</v>
      </c>
      <c r="AC418" s="30">
        <v>0</v>
      </c>
      <c r="AD418" s="162">
        <v>0</v>
      </c>
      <c r="AE418" s="162">
        <v>0</v>
      </c>
      <c r="AF418" s="162">
        <v>0</v>
      </c>
      <c r="AG418" s="162">
        <v>0</v>
      </c>
      <c r="AH418" s="162">
        <v>0</v>
      </c>
      <c r="AI418" s="162">
        <v>0</v>
      </c>
      <c r="AJ418" s="162">
        <v>0</v>
      </c>
    </row>
    <row r="419" spans="1:36" x14ac:dyDescent="0.25">
      <c r="A419" t="s">
        <v>872</v>
      </c>
      <c r="B419" t="s">
        <v>873</v>
      </c>
      <c r="C419" s="143">
        <v>45364</v>
      </c>
      <c r="D419" s="142">
        <v>45364</v>
      </c>
      <c r="E419">
        <f>Tabela4[[#This Row],[DATA FATURAMENTO]]-Tabela4[[#This Row],[DATA ORÇAMENTO]]</f>
        <v>0</v>
      </c>
      <c r="F419">
        <v>10892</v>
      </c>
      <c r="G419" s="15" t="s">
        <v>22</v>
      </c>
      <c r="H419" s="54"/>
      <c r="I419" s="151">
        <v>200</v>
      </c>
      <c r="J419" s="155">
        <f>Tabela4[[#This Row],[VALOR]]-Tabela4[[#This Row],[PECAS]]</f>
        <v>9.9999999999909051E-3</v>
      </c>
      <c r="K419" s="150">
        <v>200.01</v>
      </c>
      <c r="L419" s="151">
        <v>0</v>
      </c>
      <c r="M419" s="151">
        <v>0</v>
      </c>
      <c r="N419" s="24"/>
      <c r="O419" s="151">
        <v>0</v>
      </c>
      <c r="P419" s="151">
        <v>110</v>
      </c>
      <c r="Q419" s="151">
        <v>0</v>
      </c>
      <c r="R419" s="151">
        <v>0</v>
      </c>
      <c r="S419" s="149">
        <v>90</v>
      </c>
      <c r="T419" s="151">
        <v>0</v>
      </c>
      <c r="U419" s="151">
        <v>0</v>
      </c>
      <c r="V419" s="15"/>
      <c r="W419" s="22">
        <v>0</v>
      </c>
      <c r="X419" s="149">
        <v>0</v>
      </c>
      <c r="Y419" s="15"/>
      <c r="Z419" s="155">
        <v>0</v>
      </c>
      <c r="AA419" s="149">
        <f>Tabela4[[#This Row],[VALOR]]-Tabela4[[#This Row],[PNEUS]]-Tabela4[[#This Row],[BATERIA]]</f>
        <v>200.01</v>
      </c>
      <c r="AB419" s="19" t="s">
        <v>38</v>
      </c>
      <c r="AC419" s="30">
        <v>0</v>
      </c>
      <c r="AD419" s="162">
        <v>0</v>
      </c>
      <c r="AE419" s="162">
        <v>0</v>
      </c>
      <c r="AF419" s="162">
        <v>0</v>
      </c>
      <c r="AG419" s="162">
        <v>0</v>
      </c>
      <c r="AH419" s="162">
        <v>0</v>
      </c>
      <c r="AI419" s="162">
        <v>0</v>
      </c>
      <c r="AJ419" s="162">
        <v>0</v>
      </c>
    </row>
    <row r="420" spans="1:36" x14ac:dyDescent="0.25">
      <c r="A420" t="s">
        <v>867</v>
      </c>
      <c r="B420" t="s">
        <v>868</v>
      </c>
      <c r="C420" s="143">
        <v>45364</v>
      </c>
      <c r="D420" s="142">
        <v>45364</v>
      </c>
      <c r="E420">
        <f>Tabela4[[#This Row],[DATA FATURAMENTO]]-Tabela4[[#This Row],[DATA ORÇAMENTO]]</f>
        <v>0</v>
      </c>
      <c r="F420">
        <v>10898</v>
      </c>
      <c r="G420" s="15"/>
      <c r="H420" s="54"/>
      <c r="I420" s="151">
        <v>0</v>
      </c>
      <c r="J420" s="155">
        <f>Tabela4[[#This Row],[VALOR]]-Tabela4[[#This Row],[PECAS]]</f>
        <v>0.02</v>
      </c>
      <c r="K420" s="150">
        <v>0.02</v>
      </c>
      <c r="L420" s="151">
        <v>0</v>
      </c>
      <c r="M420" s="151">
        <v>0</v>
      </c>
      <c r="N420" s="24"/>
      <c r="O420" s="151">
        <v>0</v>
      </c>
      <c r="P420" s="151">
        <v>0</v>
      </c>
      <c r="Q420" s="151">
        <v>0</v>
      </c>
      <c r="R420" s="151">
        <v>0</v>
      </c>
      <c r="S420" s="149">
        <v>0</v>
      </c>
      <c r="T420" s="151">
        <v>0</v>
      </c>
      <c r="U420" s="151">
        <v>0</v>
      </c>
      <c r="V420" s="15"/>
      <c r="W420" s="22">
        <v>0</v>
      </c>
      <c r="X420" s="149">
        <v>0</v>
      </c>
      <c r="Y420" s="15"/>
      <c r="Z420" s="155">
        <v>0</v>
      </c>
      <c r="AA420" s="149">
        <f>Tabela4[[#This Row],[VALOR]]-Tabela4[[#This Row],[PNEUS]]-Tabela4[[#This Row],[BATERIA]]</f>
        <v>0.02</v>
      </c>
      <c r="AB420" s="19" t="s">
        <v>38</v>
      </c>
      <c r="AC420" s="30">
        <v>0</v>
      </c>
      <c r="AD420" s="162">
        <v>0</v>
      </c>
      <c r="AE420" s="162">
        <v>0</v>
      </c>
      <c r="AF420" s="162">
        <v>0</v>
      </c>
      <c r="AG420" s="162">
        <v>0</v>
      </c>
      <c r="AH420" s="162">
        <v>0</v>
      </c>
      <c r="AI420" s="162">
        <v>0</v>
      </c>
      <c r="AJ420" s="162">
        <v>0</v>
      </c>
    </row>
    <row r="421" spans="1:36" x14ac:dyDescent="0.25">
      <c r="A421" t="s">
        <v>815</v>
      </c>
      <c r="B421" t="s">
        <v>874</v>
      </c>
      <c r="C421" s="143">
        <v>45364</v>
      </c>
      <c r="D421" s="142">
        <v>45365</v>
      </c>
      <c r="E421">
        <f>Tabela4[[#This Row],[DATA FATURAMENTO]]-Tabela4[[#This Row],[DATA ORÇAMENTO]]</f>
        <v>1</v>
      </c>
      <c r="F421">
        <v>10894</v>
      </c>
      <c r="G421" s="25" t="s">
        <v>22</v>
      </c>
      <c r="H421" s="25"/>
      <c r="I421" s="155">
        <v>392.8</v>
      </c>
      <c r="J421" s="155">
        <f>Tabela4[[#This Row],[VALOR]]-Tabela4[[#This Row],[PECAS]]</f>
        <v>147.19999999999999</v>
      </c>
      <c r="K421" s="150">
        <v>540</v>
      </c>
      <c r="L421" s="155">
        <v>0</v>
      </c>
      <c r="M421" s="155">
        <v>0</v>
      </c>
      <c r="N421" s="67"/>
      <c r="O421" s="155">
        <v>147.19</v>
      </c>
      <c r="P421" s="155">
        <v>0</v>
      </c>
      <c r="Q421" s="155">
        <v>0</v>
      </c>
      <c r="R421" s="155">
        <v>0</v>
      </c>
      <c r="S421" s="154">
        <v>0</v>
      </c>
      <c r="T421" s="155">
        <v>0</v>
      </c>
      <c r="U421" s="155">
        <v>0</v>
      </c>
      <c r="V421" s="25"/>
      <c r="W421" s="22">
        <v>0</v>
      </c>
      <c r="X421" s="149">
        <v>0</v>
      </c>
      <c r="Y421" s="25"/>
      <c r="Z421" s="155">
        <v>0</v>
      </c>
      <c r="AA421" s="149">
        <f>Tabela4[[#This Row],[VALOR]]-Tabela4[[#This Row],[PNEUS]]-Tabela4[[#This Row],[BATERIA]]</f>
        <v>540</v>
      </c>
      <c r="AB421" s="27" t="s">
        <v>34</v>
      </c>
      <c r="AC421" s="30">
        <v>0</v>
      </c>
      <c r="AD421" s="162">
        <v>0</v>
      </c>
      <c r="AE421" s="162">
        <v>0</v>
      </c>
      <c r="AF421" s="162">
        <v>0</v>
      </c>
      <c r="AG421" s="162">
        <v>0</v>
      </c>
      <c r="AH421" s="162">
        <v>0</v>
      </c>
      <c r="AI421" s="162">
        <v>0</v>
      </c>
      <c r="AJ421" s="162">
        <v>0</v>
      </c>
    </row>
    <row r="422" spans="1:36" x14ac:dyDescent="0.25">
      <c r="A422" t="s">
        <v>187</v>
      </c>
      <c r="B422" t="s">
        <v>875</v>
      </c>
      <c r="C422" s="143">
        <v>45365</v>
      </c>
      <c r="D422" s="141">
        <v>45365</v>
      </c>
      <c r="E422">
        <f>Tabela4[[#This Row],[DATA FATURAMENTO]]-Tabela4[[#This Row],[DATA ORÇAMENTO]]</f>
        <v>0</v>
      </c>
      <c r="F422">
        <v>10905</v>
      </c>
      <c r="G422" s="15" t="s">
        <v>22</v>
      </c>
      <c r="H422" s="25"/>
      <c r="I422" s="151">
        <v>0</v>
      </c>
      <c r="J422" s="155">
        <f>Tabela4[[#This Row],[VALOR]]-Tabela4[[#This Row],[PECAS]]</f>
        <v>290</v>
      </c>
      <c r="K422" s="150">
        <v>290</v>
      </c>
      <c r="L422" s="151">
        <v>0</v>
      </c>
      <c r="M422" s="151">
        <v>0</v>
      </c>
      <c r="N422" s="24"/>
      <c r="O422" s="151">
        <v>0</v>
      </c>
      <c r="P422" s="151">
        <v>0</v>
      </c>
      <c r="Q422" s="151">
        <v>0</v>
      </c>
      <c r="R422" s="151">
        <v>0</v>
      </c>
      <c r="S422" s="149">
        <v>0</v>
      </c>
      <c r="T422" s="151">
        <v>0</v>
      </c>
      <c r="U422" s="151">
        <v>0</v>
      </c>
      <c r="V422" s="15"/>
      <c r="W422" s="22">
        <v>0</v>
      </c>
      <c r="X422" s="149">
        <v>0</v>
      </c>
      <c r="Y422" s="15"/>
      <c r="Z422" s="155">
        <v>0</v>
      </c>
      <c r="AA422" s="149">
        <f>Tabela4[[#This Row],[VALOR]]-Tabela4[[#This Row],[PNEUS]]-Tabela4[[#This Row],[BATERIA]]</f>
        <v>290</v>
      </c>
      <c r="AB422" s="19" t="s">
        <v>34</v>
      </c>
      <c r="AC422" s="30">
        <v>0</v>
      </c>
      <c r="AD422" s="162">
        <v>0</v>
      </c>
      <c r="AE422" s="162">
        <v>0</v>
      </c>
      <c r="AF422" s="162">
        <v>0</v>
      </c>
      <c r="AG422" s="162">
        <v>0</v>
      </c>
      <c r="AH422" s="162">
        <v>0</v>
      </c>
      <c r="AI422" s="162">
        <v>0</v>
      </c>
      <c r="AJ422" s="162">
        <v>0</v>
      </c>
    </row>
    <row r="423" spans="1:36" x14ac:dyDescent="0.25">
      <c r="A423" t="s">
        <v>111</v>
      </c>
      <c r="B423" t="s">
        <v>876</v>
      </c>
      <c r="C423" s="143">
        <v>45362</v>
      </c>
      <c r="D423" s="142">
        <v>45366</v>
      </c>
      <c r="E423">
        <f>Tabela4[[#This Row],[DATA FATURAMENTO]]-Tabela4[[#This Row],[DATA ORÇAMENTO]]</f>
        <v>4</v>
      </c>
      <c r="F423">
        <v>10869</v>
      </c>
      <c r="G423" s="25" t="s">
        <v>22</v>
      </c>
      <c r="H423" s="25"/>
      <c r="I423" s="155">
        <v>2882.4</v>
      </c>
      <c r="J423" s="155">
        <f>Tabela4[[#This Row],[VALOR]]-Tabela4[[#This Row],[PECAS]]</f>
        <v>2817.6</v>
      </c>
      <c r="K423" s="150">
        <v>5700</v>
      </c>
      <c r="L423" s="155">
        <v>90</v>
      </c>
      <c r="M423" s="155">
        <f>116.4+21.6</f>
        <v>138</v>
      </c>
      <c r="N423" s="67"/>
      <c r="O423" s="155">
        <v>0</v>
      </c>
      <c r="P423" s="155">
        <v>0</v>
      </c>
      <c r="Q423" s="155">
        <v>0</v>
      </c>
      <c r="R423" s="155">
        <v>0</v>
      </c>
      <c r="S423" s="154">
        <v>80</v>
      </c>
      <c r="T423" s="155">
        <v>0</v>
      </c>
      <c r="U423" s="155">
        <v>0</v>
      </c>
      <c r="V423" s="25"/>
      <c r="W423" s="28">
        <v>4</v>
      </c>
      <c r="X423" s="149">
        <v>0</v>
      </c>
      <c r="Y423" s="25" t="s">
        <v>654</v>
      </c>
      <c r="Z423" s="155">
        <v>0</v>
      </c>
      <c r="AA423" s="149">
        <f>Tabela4[[#This Row],[VALOR]]-Tabela4[[#This Row],[PNEUS]]-Tabela4[[#This Row],[BATERIA]]</f>
        <v>5700</v>
      </c>
      <c r="AB423" s="27" t="s">
        <v>30</v>
      </c>
      <c r="AC423" s="30">
        <v>0</v>
      </c>
      <c r="AD423" s="162">
        <v>0</v>
      </c>
      <c r="AE423" s="162">
        <v>0</v>
      </c>
      <c r="AF423" s="162">
        <v>0</v>
      </c>
      <c r="AG423" s="162">
        <v>0</v>
      </c>
      <c r="AH423" s="162">
        <v>0</v>
      </c>
      <c r="AI423" s="162">
        <v>0</v>
      </c>
      <c r="AJ423" s="162">
        <v>0</v>
      </c>
    </row>
    <row r="424" spans="1:36" x14ac:dyDescent="0.25">
      <c r="A424" t="s">
        <v>877</v>
      </c>
      <c r="B424" t="s">
        <v>878</v>
      </c>
      <c r="C424" s="143">
        <v>45362</v>
      </c>
      <c r="D424" s="142">
        <v>45366</v>
      </c>
      <c r="E424">
        <f>Tabela4[[#This Row],[DATA FATURAMENTO]]-Tabela4[[#This Row],[DATA ORÇAMENTO]]</f>
        <v>4</v>
      </c>
      <c r="F424">
        <v>10871</v>
      </c>
      <c r="G424" s="15" t="s">
        <v>6</v>
      </c>
      <c r="H424" s="25"/>
      <c r="I424" s="151">
        <v>522.5</v>
      </c>
      <c r="J424" s="155">
        <f>Tabela4[[#This Row],[VALOR]]-Tabela4[[#This Row],[PECAS]]</f>
        <v>9.9999999999909051E-3</v>
      </c>
      <c r="K424" s="150">
        <v>522.51</v>
      </c>
      <c r="L424" s="151">
        <v>0</v>
      </c>
      <c r="M424" s="151">
        <v>0</v>
      </c>
      <c r="N424" s="24"/>
      <c r="O424" s="151">
        <v>0</v>
      </c>
      <c r="P424" s="151">
        <v>0</v>
      </c>
      <c r="Q424" s="151">
        <v>0</v>
      </c>
      <c r="R424" s="151">
        <v>0</v>
      </c>
      <c r="S424" s="149">
        <v>0</v>
      </c>
      <c r="T424" s="151">
        <v>0</v>
      </c>
      <c r="U424" s="151">
        <v>522.51</v>
      </c>
      <c r="V424" s="15" t="s">
        <v>640</v>
      </c>
      <c r="W424" s="22">
        <v>0</v>
      </c>
      <c r="X424" s="149">
        <v>0</v>
      </c>
      <c r="Y424" s="15"/>
      <c r="Z424" s="155">
        <v>0</v>
      </c>
      <c r="AA424" s="149">
        <f>Tabela4[[#This Row],[VALOR]]-Tabela4[[#This Row],[PNEUS]]-Tabela4[[#This Row],[BATERIA]]</f>
        <v>0</v>
      </c>
      <c r="AB424" s="19" t="s">
        <v>6</v>
      </c>
      <c r="AC424" s="30">
        <v>0</v>
      </c>
      <c r="AD424" s="162">
        <v>0</v>
      </c>
      <c r="AE424" s="162">
        <v>0</v>
      </c>
      <c r="AF424" s="162">
        <v>0</v>
      </c>
      <c r="AG424" s="162">
        <v>0</v>
      </c>
      <c r="AH424" s="162">
        <v>0</v>
      </c>
      <c r="AI424" s="162">
        <v>0</v>
      </c>
      <c r="AJ424" s="162">
        <v>0</v>
      </c>
    </row>
    <row r="425" spans="1:36" x14ac:dyDescent="0.25">
      <c r="A425" t="s">
        <v>879</v>
      </c>
      <c r="B425" t="s">
        <v>880</v>
      </c>
      <c r="C425" s="143">
        <v>45364</v>
      </c>
      <c r="D425" s="142">
        <v>45366</v>
      </c>
      <c r="E425">
        <f>Tabela4[[#This Row],[DATA FATURAMENTO]]-Tabela4[[#This Row],[DATA ORÇAMENTO]]</f>
        <v>2</v>
      </c>
      <c r="F425">
        <v>10893</v>
      </c>
      <c r="G425" s="15" t="s">
        <v>6</v>
      </c>
      <c r="H425" s="54"/>
      <c r="I425" s="151">
        <v>522.5</v>
      </c>
      <c r="J425" s="155">
        <f>Tabela4[[#This Row],[VALOR]]-Tabela4[[#This Row],[PECAS]]</f>
        <v>9.9999999999909051E-3</v>
      </c>
      <c r="K425" s="150">
        <v>522.51</v>
      </c>
      <c r="L425" s="151">
        <v>0</v>
      </c>
      <c r="M425" s="151">
        <v>0</v>
      </c>
      <c r="N425" s="24"/>
      <c r="O425" s="151">
        <v>0</v>
      </c>
      <c r="P425" s="151">
        <v>0</v>
      </c>
      <c r="Q425" s="151">
        <v>0</v>
      </c>
      <c r="R425" s="151">
        <v>0</v>
      </c>
      <c r="S425" s="149">
        <v>0</v>
      </c>
      <c r="T425" s="151">
        <v>0</v>
      </c>
      <c r="U425" s="151">
        <v>522.51</v>
      </c>
      <c r="V425" s="15" t="s">
        <v>640</v>
      </c>
      <c r="W425" s="22">
        <v>0</v>
      </c>
      <c r="X425" s="149">
        <v>0</v>
      </c>
      <c r="Y425" s="15"/>
      <c r="Z425" s="155">
        <v>0</v>
      </c>
      <c r="AA425" s="149">
        <f>Tabela4[[#This Row],[VALOR]]-Tabela4[[#This Row],[PNEUS]]-Tabela4[[#This Row],[BATERIA]]</f>
        <v>0</v>
      </c>
      <c r="AB425" s="19" t="s">
        <v>6</v>
      </c>
      <c r="AC425" s="30">
        <v>0</v>
      </c>
      <c r="AD425" s="162">
        <v>0</v>
      </c>
      <c r="AE425" s="162">
        <v>0</v>
      </c>
      <c r="AF425" s="162">
        <v>0</v>
      </c>
      <c r="AG425" s="162">
        <v>0</v>
      </c>
      <c r="AH425" s="162">
        <v>0</v>
      </c>
      <c r="AI425" s="162">
        <v>0</v>
      </c>
      <c r="AJ425" s="162">
        <v>0</v>
      </c>
    </row>
    <row r="426" spans="1:36" x14ac:dyDescent="0.25">
      <c r="A426" t="s">
        <v>193</v>
      </c>
      <c r="B426" t="s">
        <v>881</v>
      </c>
      <c r="C426" s="143">
        <v>45365</v>
      </c>
      <c r="D426" s="142">
        <v>45366</v>
      </c>
      <c r="E426">
        <f>Tabela4[[#This Row],[DATA FATURAMENTO]]-Tabela4[[#This Row],[DATA ORÇAMENTO]]</f>
        <v>1</v>
      </c>
      <c r="F426">
        <v>10912</v>
      </c>
      <c r="G426" s="15" t="s">
        <v>6</v>
      </c>
      <c r="H426" s="54"/>
      <c r="I426" s="151">
        <v>522.5</v>
      </c>
      <c r="J426" s="155">
        <f>Tabela4[[#This Row],[VALOR]]-Tabela4[[#This Row],[PECAS]]</f>
        <v>0</v>
      </c>
      <c r="K426" s="150">
        <v>522.5</v>
      </c>
      <c r="L426" s="151">
        <v>0</v>
      </c>
      <c r="M426" s="151">
        <v>0</v>
      </c>
      <c r="N426" s="24"/>
      <c r="O426" s="151">
        <v>0</v>
      </c>
      <c r="P426" s="151">
        <v>0</v>
      </c>
      <c r="Q426" s="151">
        <v>0</v>
      </c>
      <c r="R426" s="151">
        <v>0</v>
      </c>
      <c r="S426" s="149">
        <v>0</v>
      </c>
      <c r="T426" s="151">
        <v>0</v>
      </c>
      <c r="U426" s="151">
        <v>522.5</v>
      </c>
      <c r="V426" s="15" t="s">
        <v>640</v>
      </c>
      <c r="W426" s="22">
        <v>0</v>
      </c>
      <c r="X426" s="149">
        <v>0</v>
      </c>
      <c r="Y426" s="15"/>
      <c r="Z426" s="155">
        <v>0</v>
      </c>
      <c r="AA426" s="149">
        <f>Tabela4[[#This Row],[VALOR]]-Tabela4[[#This Row],[PNEUS]]-Tabela4[[#This Row],[BATERIA]]</f>
        <v>0</v>
      </c>
      <c r="AB426" s="19" t="s">
        <v>6</v>
      </c>
      <c r="AC426" s="30">
        <v>0</v>
      </c>
      <c r="AD426" s="162">
        <v>0</v>
      </c>
      <c r="AE426" s="162">
        <v>0</v>
      </c>
      <c r="AF426" s="162">
        <v>0</v>
      </c>
      <c r="AG426" s="162">
        <v>0</v>
      </c>
      <c r="AH426" s="162">
        <v>0</v>
      </c>
      <c r="AI426" s="162">
        <v>0</v>
      </c>
      <c r="AJ426" s="162">
        <v>0</v>
      </c>
    </row>
    <row r="427" spans="1:36" x14ac:dyDescent="0.25">
      <c r="A427" t="s">
        <v>882</v>
      </c>
      <c r="B427" t="s">
        <v>883</v>
      </c>
      <c r="C427" s="143">
        <v>45366</v>
      </c>
      <c r="D427" s="142">
        <v>45366</v>
      </c>
      <c r="E427">
        <f>Tabela4[[#This Row],[DATA FATURAMENTO]]-Tabela4[[#This Row],[DATA ORÇAMENTO]]</f>
        <v>0</v>
      </c>
      <c r="F427">
        <v>10915</v>
      </c>
      <c r="G427" s="15" t="s">
        <v>6</v>
      </c>
      <c r="H427" s="54"/>
      <c r="I427" s="151">
        <v>530</v>
      </c>
      <c r="J427" s="155">
        <f>Tabela4[[#This Row],[VALOR]]-Tabela4[[#This Row],[PECAS]]</f>
        <v>9.9999999999909051E-3</v>
      </c>
      <c r="K427" s="150">
        <v>530.01</v>
      </c>
      <c r="L427" s="151">
        <v>0</v>
      </c>
      <c r="M427" s="151">
        <v>0</v>
      </c>
      <c r="N427" s="24"/>
      <c r="O427" s="151">
        <v>0</v>
      </c>
      <c r="P427" s="151">
        <v>0</v>
      </c>
      <c r="Q427" s="151">
        <v>0</v>
      </c>
      <c r="R427" s="151">
        <v>0</v>
      </c>
      <c r="S427" s="149">
        <v>0</v>
      </c>
      <c r="T427" s="151">
        <v>0</v>
      </c>
      <c r="U427" s="151">
        <v>530.01</v>
      </c>
      <c r="V427" s="15" t="s">
        <v>884</v>
      </c>
      <c r="W427" s="22">
        <v>0</v>
      </c>
      <c r="X427" s="149">
        <v>0</v>
      </c>
      <c r="Y427" s="15"/>
      <c r="Z427" s="155">
        <v>0</v>
      </c>
      <c r="AA427" s="149">
        <f>Tabela4[[#This Row],[VALOR]]-Tabela4[[#This Row],[PNEUS]]-Tabela4[[#This Row],[BATERIA]]</f>
        <v>0</v>
      </c>
      <c r="AB427" s="19" t="s">
        <v>6</v>
      </c>
      <c r="AC427" s="30">
        <v>0</v>
      </c>
      <c r="AD427" s="162">
        <v>0</v>
      </c>
      <c r="AE427" s="162">
        <v>0</v>
      </c>
      <c r="AF427" s="162">
        <v>0</v>
      </c>
      <c r="AG427" s="162">
        <v>0</v>
      </c>
      <c r="AH427" s="162">
        <v>0</v>
      </c>
      <c r="AI427" s="162">
        <v>0</v>
      </c>
      <c r="AJ427" s="162">
        <v>0</v>
      </c>
    </row>
    <row r="428" spans="1:36" x14ac:dyDescent="0.25">
      <c r="A428" t="s">
        <v>200</v>
      </c>
      <c r="B428" t="s">
        <v>885</v>
      </c>
      <c r="C428" s="143">
        <v>45366</v>
      </c>
      <c r="D428" s="142">
        <v>45366</v>
      </c>
      <c r="E428">
        <f>Tabela4[[#This Row],[DATA FATURAMENTO]]-Tabela4[[#This Row],[DATA ORÇAMENTO]]</f>
        <v>0</v>
      </c>
      <c r="F428">
        <v>10921</v>
      </c>
      <c r="G428" s="15" t="s">
        <v>31</v>
      </c>
      <c r="H428" s="54"/>
      <c r="I428" s="151">
        <v>1103.5</v>
      </c>
      <c r="J428" s="155">
        <f>Tabela4[[#This Row],[VALOR]]-Tabela4[[#This Row],[PECAS]]</f>
        <v>642.08999999999992</v>
      </c>
      <c r="K428" s="150">
        <v>1745.59</v>
      </c>
      <c r="L428" s="151">
        <v>0</v>
      </c>
      <c r="M428" s="151">
        <f>65+70+160.52</f>
        <v>295.52</v>
      </c>
      <c r="N428" s="24"/>
      <c r="O428" s="151">
        <v>0</v>
      </c>
      <c r="P428" s="151">
        <v>0</v>
      </c>
      <c r="Q428" s="151">
        <v>160.52000000000001</v>
      </c>
      <c r="R428" s="151">
        <v>0</v>
      </c>
      <c r="S428" s="149">
        <v>160.52000000000001</v>
      </c>
      <c r="T428" s="151">
        <v>0</v>
      </c>
      <c r="U428" s="151">
        <v>0</v>
      </c>
      <c r="V428" s="15"/>
      <c r="W428" s="22">
        <v>4</v>
      </c>
      <c r="X428" s="149">
        <v>0</v>
      </c>
      <c r="Y428" s="15" t="s">
        <v>638</v>
      </c>
      <c r="Z428" s="155">
        <v>0</v>
      </c>
      <c r="AA428" s="149">
        <f>Tabela4[[#This Row],[VALOR]]-Tabela4[[#This Row],[PNEUS]]-Tabela4[[#This Row],[BATERIA]]</f>
        <v>1745.59</v>
      </c>
      <c r="AB428" s="19" t="s">
        <v>24</v>
      </c>
      <c r="AC428" s="30">
        <v>0</v>
      </c>
      <c r="AD428" s="162">
        <v>0</v>
      </c>
      <c r="AE428" s="162">
        <v>0</v>
      </c>
      <c r="AF428" s="162">
        <v>0</v>
      </c>
      <c r="AG428" s="162">
        <v>0</v>
      </c>
      <c r="AH428" s="162">
        <v>0</v>
      </c>
      <c r="AI428" s="162">
        <v>0</v>
      </c>
      <c r="AJ428" s="162">
        <v>0</v>
      </c>
    </row>
    <row r="429" spans="1:36" x14ac:dyDescent="0.25">
      <c r="A429" t="s">
        <v>204</v>
      </c>
      <c r="B429" t="s">
        <v>886</v>
      </c>
      <c r="C429" s="143">
        <v>45366</v>
      </c>
      <c r="D429" s="142">
        <v>45366</v>
      </c>
      <c r="E429">
        <f>Tabela4[[#This Row],[DATA FATURAMENTO]]-Tabela4[[#This Row],[DATA ORÇAMENTO]]</f>
        <v>0</v>
      </c>
      <c r="F429">
        <v>10920</v>
      </c>
      <c r="G429" s="15" t="s">
        <v>22</v>
      </c>
      <c r="H429" s="54"/>
      <c r="I429" s="151">
        <v>14.9</v>
      </c>
      <c r="J429" s="155">
        <f>Tabela4[[#This Row],[VALOR]]-Tabela4[[#This Row],[PECAS]]</f>
        <v>106.82</v>
      </c>
      <c r="K429" s="150">
        <v>121.72</v>
      </c>
      <c r="L429" s="151">
        <v>0</v>
      </c>
      <c r="M429" s="151">
        <v>0</v>
      </c>
      <c r="N429" s="24"/>
      <c r="O429" s="151">
        <v>0</v>
      </c>
      <c r="P429" s="151">
        <v>0</v>
      </c>
      <c r="Q429" s="151">
        <v>0</v>
      </c>
      <c r="R429" s="151">
        <v>0</v>
      </c>
      <c r="S429" s="149">
        <v>0</v>
      </c>
      <c r="T429" s="151">
        <v>0</v>
      </c>
      <c r="U429" s="151">
        <v>0</v>
      </c>
      <c r="V429" s="15"/>
      <c r="W429" s="22">
        <v>0</v>
      </c>
      <c r="X429" s="149">
        <v>0</v>
      </c>
      <c r="Y429" s="15"/>
      <c r="Z429" s="155">
        <v>0</v>
      </c>
      <c r="AA429" s="149">
        <f>Tabela4[[#This Row],[VALOR]]-Tabela4[[#This Row],[PNEUS]]-Tabela4[[#This Row],[BATERIA]]</f>
        <v>121.72</v>
      </c>
      <c r="AB429" s="19" t="s">
        <v>30</v>
      </c>
      <c r="AC429" s="30">
        <v>0</v>
      </c>
      <c r="AD429" s="162">
        <v>0</v>
      </c>
      <c r="AE429" s="162">
        <v>0</v>
      </c>
      <c r="AF429" s="162">
        <v>0</v>
      </c>
      <c r="AG429" s="162">
        <v>0</v>
      </c>
      <c r="AH429" s="162">
        <v>0</v>
      </c>
      <c r="AI429" s="162">
        <v>0</v>
      </c>
      <c r="AJ429" s="162">
        <v>0</v>
      </c>
    </row>
    <row r="430" spans="1:36" x14ac:dyDescent="0.25">
      <c r="A430" t="s">
        <v>62</v>
      </c>
      <c r="B430" t="s">
        <v>887</v>
      </c>
      <c r="C430" s="143">
        <v>45351</v>
      </c>
      <c r="D430" s="142">
        <v>45367</v>
      </c>
      <c r="E430">
        <f>Tabela4[[#This Row],[DATA FATURAMENTO]]-Tabela4[[#This Row],[DATA ORÇAMENTO]]</f>
        <v>16</v>
      </c>
      <c r="F430">
        <v>10763</v>
      </c>
      <c r="G430" s="25" t="s">
        <v>35</v>
      </c>
      <c r="H430" s="25"/>
      <c r="I430" s="155">
        <v>3235</v>
      </c>
      <c r="J430" s="155">
        <f>Tabela4[[#This Row],[VALOR]]-Tabela4[[#This Row],[PECAS]]</f>
        <v>870</v>
      </c>
      <c r="K430" s="150">
        <v>4105</v>
      </c>
      <c r="L430" s="155">
        <v>0</v>
      </c>
      <c r="M430" s="155">
        <v>0</v>
      </c>
      <c r="N430" s="67"/>
      <c r="O430" s="155">
        <v>0</v>
      </c>
      <c r="P430" s="155">
        <v>0</v>
      </c>
      <c r="Q430" s="155">
        <v>0</v>
      </c>
      <c r="R430" s="155">
        <v>0</v>
      </c>
      <c r="S430" s="154">
        <v>110</v>
      </c>
      <c r="T430" s="155">
        <v>0</v>
      </c>
      <c r="U430" s="155">
        <v>0</v>
      </c>
      <c r="V430" s="25"/>
      <c r="W430" s="28">
        <v>4</v>
      </c>
      <c r="X430" s="149">
        <v>0</v>
      </c>
      <c r="Y430" s="25" t="s">
        <v>807</v>
      </c>
      <c r="Z430" s="155">
        <v>0</v>
      </c>
      <c r="AA430" s="149">
        <f>Tabela4[[#This Row],[VALOR]]-Tabela4[[#This Row],[PNEUS]]-Tabela4[[#This Row],[BATERIA]]</f>
        <v>4105</v>
      </c>
      <c r="AB430" s="27" t="s">
        <v>24</v>
      </c>
      <c r="AC430" s="30">
        <v>0</v>
      </c>
      <c r="AD430" s="162">
        <v>0</v>
      </c>
      <c r="AE430" s="162">
        <v>0</v>
      </c>
      <c r="AF430" s="162">
        <v>0</v>
      </c>
      <c r="AG430" s="162">
        <v>0</v>
      </c>
      <c r="AH430" s="162">
        <v>0</v>
      </c>
      <c r="AI430" s="162">
        <v>0</v>
      </c>
      <c r="AJ430" s="162">
        <v>0</v>
      </c>
    </row>
    <row r="431" spans="1:36" x14ac:dyDescent="0.25">
      <c r="A431" s="14" t="s">
        <v>184</v>
      </c>
      <c r="B431" t="s">
        <v>888</v>
      </c>
      <c r="C431" s="143">
        <v>45365</v>
      </c>
      <c r="D431" s="142">
        <v>45367</v>
      </c>
      <c r="E431">
        <f>Tabela4[[#This Row],[DATA FATURAMENTO]]-Tabela4[[#This Row],[DATA ORÇAMENTO]]</f>
        <v>2</v>
      </c>
      <c r="F431">
        <v>10903</v>
      </c>
      <c r="G431" s="15" t="s">
        <v>37</v>
      </c>
      <c r="H431" s="25"/>
      <c r="I431" s="151">
        <v>17.37</v>
      </c>
      <c r="J431" s="155">
        <f>Tabela4[[#This Row],[VALOR]]-Tabela4[[#This Row],[PECAS]]</f>
        <v>386</v>
      </c>
      <c r="K431" s="150">
        <v>403.37</v>
      </c>
      <c r="L431" s="151">
        <v>90</v>
      </c>
      <c r="M431" s="151">
        <v>0</v>
      </c>
      <c r="N431" s="24"/>
      <c r="O431" s="151">
        <v>0</v>
      </c>
      <c r="P431" s="151">
        <v>0</v>
      </c>
      <c r="Q431" s="151">
        <v>0</v>
      </c>
      <c r="R431" s="151">
        <v>0</v>
      </c>
      <c r="S431" s="149">
        <v>133.36000000000001</v>
      </c>
      <c r="T431" s="151">
        <v>0</v>
      </c>
      <c r="U431" s="151">
        <v>0</v>
      </c>
      <c r="V431" s="15"/>
      <c r="W431" s="22">
        <v>0</v>
      </c>
      <c r="X431" s="149">
        <v>0</v>
      </c>
      <c r="Y431" s="15"/>
      <c r="Z431" s="155">
        <v>0</v>
      </c>
      <c r="AA431" s="149">
        <f>Tabela4[[#This Row],[VALOR]]-Tabela4[[#This Row],[PNEUS]]-Tabela4[[#This Row],[BATERIA]]</f>
        <v>403.37</v>
      </c>
      <c r="AB431" s="19" t="s">
        <v>27</v>
      </c>
      <c r="AC431" s="30">
        <v>0</v>
      </c>
      <c r="AD431" s="162">
        <v>0</v>
      </c>
      <c r="AE431" s="162">
        <v>0</v>
      </c>
      <c r="AF431" s="162">
        <v>0</v>
      </c>
      <c r="AG431" s="162">
        <v>0</v>
      </c>
      <c r="AH431" s="162">
        <v>0</v>
      </c>
      <c r="AI431" s="162">
        <v>0</v>
      </c>
      <c r="AJ431" s="162">
        <v>0</v>
      </c>
    </row>
    <row r="432" spans="1:36" x14ac:dyDescent="0.25">
      <c r="A432" s="14" t="s">
        <v>198</v>
      </c>
      <c r="B432" t="s">
        <v>868</v>
      </c>
      <c r="C432" s="143">
        <v>45367</v>
      </c>
      <c r="D432" s="142">
        <v>45367</v>
      </c>
      <c r="E432">
        <f>Tabela4[[#This Row],[DATA FATURAMENTO]]-Tabela4[[#This Row],[DATA ORÇAMENTO]]</f>
        <v>0</v>
      </c>
      <c r="F432">
        <v>10930</v>
      </c>
      <c r="G432" s="15" t="s">
        <v>25</v>
      </c>
      <c r="H432" s="54"/>
      <c r="I432" s="151">
        <v>287.56</v>
      </c>
      <c r="J432" s="155">
        <f>Tabela4[[#This Row],[VALOR]]-Tabela4[[#This Row],[PECAS]]</f>
        <v>651</v>
      </c>
      <c r="K432" s="150">
        <v>938.56</v>
      </c>
      <c r="L432" s="151">
        <v>100</v>
      </c>
      <c r="M432" s="151">
        <f>31.4+40</f>
        <v>71.400000000000006</v>
      </c>
      <c r="N432" s="24"/>
      <c r="O432" s="151">
        <f>180+40.8</f>
        <v>220.8</v>
      </c>
      <c r="P432" s="151">
        <v>0</v>
      </c>
      <c r="Q432" s="151">
        <v>100</v>
      </c>
      <c r="R432" s="151">
        <v>0</v>
      </c>
      <c r="S432" s="149">
        <v>20.49</v>
      </c>
      <c r="T432" s="151">
        <v>0</v>
      </c>
      <c r="U432" s="151">
        <v>0</v>
      </c>
      <c r="V432" s="15"/>
      <c r="W432" s="22">
        <v>3</v>
      </c>
      <c r="X432" s="149">
        <v>0</v>
      </c>
      <c r="Y432" s="15" t="s">
        <v>654</v>
      </c>
      <c r="Z432" s="155">
        <v>0</v>
      </c>
      <c r="AA432" s="149">
        <f>Tabela4[[#This Row],[VALOR]]-Tabela4[[#This Row],[PNEUS]]-Tabela4[[#This Row],[BATERIA]]</f>
        <v>938.56</v>
      </c>
      <c r="AB432" s="19" t="s">
        <v>24</v>
      </c>
      <c r="AC432" s="30">
        <v>0</v>
      </c>
      <c r="AD432" s="162">
        <v>0</v>
      </c>
      <c r="AE432" s="162">
        <v>0</v>
      </c>
      <c r="AF432" s="162">
        <v>0</v>
      </c>
      <c r="AG432" s="162">
        <v>0</v>
      </c>
      <c r="AH432" s="162">
        <v>0</v>
      </c>
      <c r="AI432" s="162">
        <v>0</v>
      </c>
      <c r="AJ432" s="162">
        <v>0</v>
      </c>
    </row>
    <row r="433" spans="1:36" x14ac:dyDescent="0.25">
      <c r="A433" t="s">
        <v>205</v>
      </c>
      <c r="B433" t="s">
        <v>889</v>
      </c>
      <c r="C433" s="143">
        <v>45366</v>
      </c>
      <c r="D433" s="142">
        <v>45367</v>
      </c>
      <c r="E433">
        <f>Tabela4[[#This Row],[DATA FATURAMENTO]]-Tabela4[[#This Row],[DATA ORÇAMENTO]]</f>
        <v>1</v>
      </c>
      <c r="F433">
        <v>10922</v>
      </c>
      <c r="G433" s="15" t="s">
        <v>22</v>
      </c>
      <c r="H433" s="54"/>
      <c r="I433" s="151">
        <v>522</v>
      </c>
      <c r="J433" s="155">
        <f>Tabela4[[#This Row],[VALOR]]-Tabela4[[#This Row],[PECAS]]</f>
        <v>178</v>
      </c>
      <c r="K433" s="150">
        <v>700</v>
      </c>
      <c r="L433" s="151">
        <v>0</v>
      </c>
      <c r="M433" s="151">
        <v>0</v>
      </c>
      <c r="N433" s="24"/>
      <c r="O433" s="151">
        <v>0</v>
      </c>
      <c r="P433" s="151">
        <v>0</v>
      </c>
      <c r="Q433" s="151">
        <v>0</v>
      </c>
      <c r="R433" s="151">
        <v>0</v>
      </c>
      <c r="S433" s="149">
        <v>178</v>
      </c>
      <c r="T433" s="151">
        <v>0</v>
      </c>
      <c r="U433" s="151">
        <v>0</v>
      </c>
      <c r="V433" s="15"/>
      <c r="W433" s="22">
        <v>4</v>
      </c>
      <c r="X433" s="149">
        <v>0</v>
      </c>
      <c r="Y433" s="15" t="s">
        <v>807</v>
      </c>
      <c r="Z433" s="155">
        <v>0</v>
      </c>
      <c r="AA433" s="149">
        <f>Tabela4[[#This Row],[VALOR]]-Tabela4[[#This Row],[PNEUS]]-Tabela4[[#This Row],[BATERIA]]</f>
        <v>700</v>
      </c>
      <c r="AB433" s="19" t="s">
        <v>30</v>
      </c>
      <c r="AC433" s="30">
        <v>0</v>
      </c>
      <c r="AD433" s="162">
        <v>0</v>
      </c>
      <c r="AE433" s="162">
        <v>0</v>
      </c>
      <c r="AF433" s="162">
        <v>0</v>
      </c>
      <c r="AG433" s="162">
        <v>0</v>
      </c>
      <c r="AH433" s="162">
        <v>0</v>
      </c>
      <c r="AI433" s="162">
        <v>0</v>
      </c>
      <c r="AJ433" s="162">
        <v>0</v>
      </c>
    </row>
    <row r="434" spans="1:36" x14ac:dyDescent="0.25">
      <c r="A434" t="s">
        <v>890</v>
      </c>
      <c r="B434" t="s">
        <v>869</v>
      </c>
      <c r="C434" s="143">
        <v>45367</v>
      </c>
      <c r="D434" s="142">
        <v>45367</v>
      </c>
      <c r="E434">
        <f>Tabela4[[#This Row],[DATA FATURAMENTO]]-Tabela4[[#This Row],[DATA ORÇAMENTO]]</f>
        <v>0</v>
      </c>
      <c r="F434">
        <v>10926</v>
      </c>
      <c r="G434" s="15" t="s">
        <v>22</v>
      </c>
      <c r="H434" s="54"/>
      <c r="I434" s="151">
        <v>0</v>
      </c>
      <c r="J434" s="155">
        <f>Tabela4[[#This Row],[VALOR]]-Tabela4[[#This Row],[PECAS]]</f>
        <v>160</v>
      </c>
      <c r="K434" s="150">
        <v>160</v>
      </c>
      <c r="L434" s="151">
        <v>0</v>
      </c>
      <c r="M434" s="151">
        <v>0</v>
      </c>
      <c r="N434" s="24"/>
      <c r="O434" s="151">
        <v>0</v>
      </c>
      <c r="P434" s="151">
        <v>0</v>
      </c>
      <c r="Q434" s="151">
        <v>0</v>
      </c>
      <c r="R434" s="151">
        <v>0</v>
      </c>
      <c r="S434" s="149">
        <v>160</v>
      </c>
      <c r="T434" s="151">
        <v>0</v>
      </c>
      <c r="U434" s="151">
        <v>0</v>
      </c>
      <c r="V434" s="15"/>
      <c r="W434" s="22">
        <v>0</v>
      </c>
      <c r="X434" s="149">
        <v>0</v>
      </c>
      <c r="Y434" s="15"/>
      <c r="Z434" s="155">
        <v>0</v>
      </c>
      <c r="AA434" s="149">
        <f>Tabela4[[#This Row],[VALOR]]-Tabela4[[#This Row],[PNEUS]]-Tabela4[[#This Row],[BATERIA]]</f>
        <v>160</v>
      </c>
      <c r="AB434" s="19" t="s">
        <v>38</v>
      </c>
      <c r="AC434" s="30">
        <v>0</v>
      </c>
      <c r="AD434" s="162">
        <v>0</v>
      </c>
      <c r="AE434" s="162">
        <v>0</v>
      </c>
      <c r="AF434" s="162">
        <v>0</v>
      </c>
      <c r="AG434" s="162">
        <v>0</v>
      </c>
      <c r="AH434" s="162">
        <v>0</v>
      </c>
      <c r="AI434" s="162">
        <v>0</v>
      </c>
      <c r="AJ434" s="162">
        <v>0</v>
      </c>
    </row>
    <row r="435" spans="1:36" x14ac:dyDescent="0.25">
      <c r="A435" t="s">
        <v>210</v>
      </c>
      <c r="B435" t="s">
        <v>891</v>
      </c>
      <c r="C435" s="143">
        <v>45367</v>
      </c>
      <c r="D435" s="142">
        <v>45367</v>
      </c>
      <c r="E435">
        <f>Tabela4[[#This Row],[DATA FATURAMENTO]]-Tabela4[[#This Row],[DATA ORÇAMENTO]]</f>
        <v>0</v>
      </c>
      <c r="F435">
        <v>10931</v>
      </c>
      <c r="G435" s="15" t="s">
        <v>35</v>
      </c>
      <c r="H435" s="54"/>
      <c r="I435" s="151">
        <v>80</v>
      </c>
      <c r="J435" s="155">
        <f>Tabela4[[#This Row],[VALOR]]-Tabela4[[#This Row],[PECAS]]</f>
        <v>0</v>
      </c>
      <c r="K435" s="150">
        <v>80</v>
      </c>
      <c r="L435" s="151">
        <v>0</v>
      </c>
      <c r="M435" s="151">
        <v>0</v>
      </c>
      <c r="N435" s="24"/>
      <c r="O435" s="151">
        <v>0</v>
      </c>
      <c r="P435" s="151">
        <v>0</v>
      </c>
      <c r="Q435" s="151">
        <v>0</v>
      </c>
      <c r="R435" s="151">
        <v>0</v>
      </c>
      <c r="S435" s="149">
        <v>80</v>
      </c>
      <c r="T435" s="151">
        <v>0</v>
      </c>
      <c r="U435" s="151">
        <v>0</v>
      </c>
      <c r="V435" s="15"/>
      <c r="W435" s="22">
        <v>0</v>
      </c>
      <c r="X435" s="149">
        <v>0</v>
      </c>
      <c r="Y435" s="15"/>
      <c r="Z435" s="155">
        <v>0</v>
      </c>
      <c r="AA435" s="149">
        <f>Tabela4[[#This Row],[VALOR]]-Tabela4[[#This Row],[PNEUS]]-Tabela4[[#This Row],[BATERIA]]</f>
        <v>80</v>
      </c>
      <c r="AB435" s="19" t="s">
        <v>38</v>
      </c>
      <c r="AC435" s="30">
        <v>0</v>
      </c>
      <c r="AD435" s="162">
        <v>0</v>
      </c>
      <c r="AE435" s="162">
        <v>0</v>
      </c>
      <c r="AF435" s="162">
        <v>0</v>
      </c>
      <c r="AG435" s="162">
        <v>0</v>
      </c>
      <c r="AH435" s="162">
        <v>0</v>
      </c>
      <c r="AI435" s="162">
        <v>0</v>
      </c>
      <c r="AJ435" s="162">
        <v>0</v>
      </c>
    </row>
    <row r="436" spans="1:36" x14ac:dyDescent="0.25">
      <c r="A436" t="s">
        <v>892</v>
      </c>
      <c r="B436" t="s">
        <v>893</v>
      </c>
      <c r="C436" s="143">
        <v>45362</v>
      </c>
      <c r="D436" s="142">
        <v>45369</v>
      </c>
      <c r="E436">
        <f>Tabela4[[#This Row],[DATA FATURAMENTO]]-Tabela4[[#This Row],[DATA ORÇAMENTO]]</f>
        <v>7</v>
      </c>
      <c r="F436">
        <v>10872</v>
      </c>
      <c r="G436" s="25" t="s">
        <v>31</v>
      </c>
      <c r="H436" s="25"/>
      <c r="I436" s="155">
        <v>560</v>
      </c>
      <c r="J436" s="155">
        <f>Tabela4[[#This Row],[VALOR]]-Tabela4[[#This Row],[PECAS]]</f>
        <v>240</v>
      </c>
      <c r="K436" s="150">
        <v>800</v>
      </c>
      <c r="L436" s="155">
        <v>0</v>
      </c>
      <c r="M436" s="155">
        <v>0</v>
      </c>
      <c r="N436" s="67"/>
      <c r="O436" s="155">
        <v>0</v>
      </c>
      <c r="P436" s="155">
        <v>110</v>
      </c>
      <c r="Q436" s="155">
        <v>0</v>
      </c>
      <c r="R436" s="155">
        <v>0</v>
      </c>
      <c r="S436" s="154">
        <v>160</v>
      </c>
      <c r="T436" s="155">
        <v>0</v>
      </c>
      <c r="U436" s="155">
        <v>0</v>
      </c>
      <c r="V436" s="25"/>
      <c r="W436" s="28">
        <v>4</v>
      </c>
      <c r="X436" s="149">
        <v>0</v>
      </c>
      <c r="Y436" s="25" t="s">
        <v>804</v>
      </c>
      <c r="Z436" s="155">
        <v>0</v>
      </c>
      <c r="AA436" s="149">
        <f>Tabela4[[#This Row],[VALOR]]-Tabela4[[#This Row],[PNEUS]]-Tabela4[[#This Row],[BATERIA]]</f>
        <v>800</v>
      </c>
      <c r="AB436" s="27" t="s">
        <v>24</v>
      </c>
      <c r="AC436" s="30">
        <v>0</v>
      </c>
      <c r="AD436" s="162">
        <v>0</v>
      </c>
      <c r="AE436" s="162">
        <v>0</v>
      </c>
      <c r="AF436" s="162">
        <v>0</v>
      </c>
      <c r="AG436" s="162">
        <v>0</v>
      </c>
      <c r="AH436" s="162">
        <v>0</v>
      </c>
      <c r="AI436" s="162">
        <v>0</v>
      </c>
      <c r="AJ436" s="162">
        <v>0</v>
      </c>
    </row>
    <row r="437" spans="1:36" x14ac:dyDescent="0.25">
      <c r="A437" t="s">
        <v>196</v>
      </c>
      <c r="B437" t="s">
        <v>894</v>
      </c>
      <c r="C437" s="143">
        <v>45369</v>
      </c>
      <c r="D437" s="142">
        <v>45369</v>
      </c>
      <c r="E437">
        <f>Tabela4[[#This Row],[DATA FATURAMENTO]]-Tabela4[[#This Row],[DATA ORÇAMENTO]]</f>
        <v>0</v>
      </c>
      <c r="F437">
        <v>10943</v>
      </c>
      <c r="G437" s="15" t="s">
        <v>22</v>
      </c>
      <c r="H437" s="25"/>
      <c r="I437" s="151">
        <v>1760.1</v>
      </c>
      <c r="J437" s="154">
        <f>Tabela4[[#This Row],[VALOR]]-Tabela4[[#This Row],[PECAS]]</f>
        <v>1079.9000000000001</v>
      </c>
      <c r="K437" s="150">
        <v>2840</v>
      </c>
      <c r="L437" s="151">
        <v>0</v>
      </c>
      <c r="M437" s="151">
        <v>0</v>
      </c>
      <c r="N437" s="24"/>
      <c r="O437" s="151">
        <v>0</v>
      </c>
      <c r="P437" s="151">
        <v>0</v>
      </c>
      <c r="Q437" s="151">
        <v>0</v>
      </c>
      <c r="R437" s="151">
        <v>0</v>
      </c>
      <c r="S437" s="149">
        <v>160</v>
      </c>
      <c r="T437" s="151">
        <v>0</v>
      </c>
      <c r="U437" s="151">
        <v>0</v>
      </c>
      <c r="V437" s="15"/>
      <c r="W437" s="22">
        <v>4</v>
      </c>
      <c r="X437" s="149">
        <v>0</v>
      </c>
      <c r="Y437" s="15" t="s">
        <v>804</v>
      </c>
      <c r="Z437" s="155">
        <v>0</v>
      </c>
      <c r="AA437" s="149">
        <f>Tabela4[[#This Row],[VALOR]]-Tabela4[[#This Row],[PNEUS]]-Tabela4[[#This Row],[BATERIA]]</f>
        <v>2840</v>
      </c>
      <c r="AB437" s="19" t="s">
        <v>32</v>
      </c>
      <c r="AC437" s="30">
        <v>0</v>
      </c>
      <c r="AD437" s="162">
        <v>0</v>
      </c>
      <c r="AE437" s="162">
        <v>0</v>
      </c>
      <c r="AF437" s="162">
        <v>0</v>
      </c>
      <c r="AG437" s="162">
        <v>0</v>
      </c>
      <c r="AH437" s="162">
        <v>0</v>
      </c>
      <c r="AI437" s="162">
        <v>0</v>
      </c>
      <c r="AJ437" s="162">
        <v>0</v>
      </c>
    </row>
    <row r="438" spans="1:36" x14ac:dyDescent="0.25">
      <c r="A438" t="s">
        <v>211</v>
      </c>
      <c r="B438" t="s">
        <v>895</v>
      </c>
      <c r="C438" s="143">
        <v>45369</v>
      </c>
      <c r="D438" s="142">
        <v>45369</v>
      </c>
      <c r="E438">
        <f>Tabela4[[#This Row],[DATA FATURAMENTO]]-Tabela4[[#This Row],[DATA ORÇAMENTO]]</f>
        <v>0</v>
      </c>
      <c r="F438">
        <v>10935</v>
      </c>
      <c r="G438" s="15" t="s">
        <v>35</v>
      </c>
      <c r="H438" s="54"/>
      <c r="I438" s="151">
        <v>974</v>
      </c>
      <c r="J438" s="154">
        <f>Tabela4[[#This Row],[VALOR]]-Tabela4[[#This Row],[PECAS]]</f>
        <v>390</v>
      </c>
      <c r="K438" s="150">
        <v>1364</v>
      </c>
      <c r="L438" s="151">
        <v>0</v>
      </c>
      <c r="M438" s="151">
        <v>0</v>
      </c>
      <c r="N438" s="24"/>
      <c r="O438" s="151">
        <v>0</v>
      </c>
      <c r="P438" s="151">
        <v>0</v>
      </c>
      <c r="Q438" s="151">
        <v>0</v>
      </c>
      <c r="R438" s="151">
        <v>0</v>
      </c>
      <c r="S438" s="149">
        <v>0</v>
      </c>
      <c r="T438" s="151">
        <v>0</v>
      </c>
      <c r="U438" s="151">
        <v>0</v>
      </c>
      <c r="V438" s="15"/>
      <c r="W438" s="22">
        <v>0</v>
      </c>
      <c r="X438" s="149">
        <v>0</v>
      </c>
      <c r="Y438" s="15"/>
      <c r="Z438" s="155">
        <v>0</v>
      </c>
      <c r="AA438" s="149">
        <f>Tabela4[[#This Row],[VALOR]]-Tabela4[[#This Row],[PNEUS]]-Tabela4[[#This Row],[BATERIA]]</f>
        <v>1364</v>
      </c>
      <c r="AB438" s="19" t="s">
        <v>34</v>
      </c>
      <c r="AC438" s="30">
        <v>0</v>
      </c>
      <c r="AD438" s="162">
        <v>0</v>
      </c>
      <c r="AE438" s="162">
        <v>0</v>
      </c>
      <c r="AF438" s="162">
        <v>0</v>
      </c>
      <c r="AG438" s="162">
        <v>0</v>
      </c>
      <c r="AH438" s="162">
        <v>0</v>
      </c>
      <c r="AI438" s="162">
        <v>0</v>
      </c>
      <c r="AJ438" s="162">
        <v>0</v>
      </c>
    </row>
    <row r="439" spans="1:36" x14ac:dyDescent="0.25">
      <c r="A439" t="s">
        <v>218</v>
      </c>
      <c r="B439" t="s">
        <v>896</v>
      </c>
      <c r="C439" s="143">
        <v>45369</v>
      </c>
      <c r="D439" s="142">
        <v>45369</v>
      </c>
      <c r="E439">
        <f>Tabela4[[#This Row],[DATA FATURAMENTO]]-Tabela4[[#This Row],[DATA ORÇAMENTO]]</f>
        <v>0</v>
      </c>
      <c r="F439">
        <v>10940</v>
      </c>
      <c r="G439" s="15" t="s">
        <v>35</v>
      </c>
      <c r="H439" s="54"/>
      <c r="I439" s="151">
        <v>50</v>
      </c>
      <c r="J439" s="154">
        <f>Tabela4[[#This Row],[VALOR]]-Tabela4[[#This Row],[PECAS]]</f>
        <v>0</v>
      </c>
      <c r="K439" s="150">
        <v>50</v>
      </c>
      <c r="L439" s="151">
        <v>0</v>
      </c>
      <c r="M439" s="151">
        <v>0</v>
      </c>
      <c r="N439" s="24"/>
      <c r="O439" s="151">
        <v>0</v>
      </c>
      <c r="P439" s="151">
        <v>0</v>
      </c>
      <c r="Q439" s="151">
        <v>0</v>
      </c>
      <c r="R439" s="151">
        <v>0</v>
      </c>
      <c r="S439" s="149">
        <v>0</v>
      </c>
      <c r="T439" s="151">
        <v>0</v>
      </c>
      <c r="U439" s="151">
        <v>0</v>
      </c>
      <c r="V439" s="15"/>
      <c r="W439" s="22">
        <v>0</v>
      </c>
      <c r="X439" s="149">
        <v>0</v>
      </c>
      <c r="Y439" s="15"/>
      <c r="Z439" s="155">
        <v>0</v>
      </c>
      <c r="AA439" s="149">
        <f>Tabela4[[#This Row],[VALOR]]-Tabela4[[#This Row],[PNEUS]]-Tabela4[[#This Row],[BATERIA]]</f>
        <v>50</v>
      </c>
      <c r="AB439" s="19" t="s">
        <v>38</v>
      </c>
      <c r="AC439" s="30">
        <v>0</v>
      </c>
      <c r="AD439" s="162">
        <v>0</v>
      </c>
      <c r="AE439" s="162">
        <v>0</v>
      </c>
      <c r="AF439" s="162">
        <v>0</v>
      </c>
      <c r="AG439" s="162">
        <v>0</v>
      </c>
      <c r="AH439" s="162">
        <v>0</v>
      </c>
      <c r="AI439" s="162">
        <v>0</v>
      </c>
      <c r="AJ439" s="162">
        <v>0</v>
      </c>
    </row>
    <row r="440" spans="1:36" x14ac:dyDescent="0.25">
      <c r="A440" t="s">
        <v>169</v>
      </c>
      <c r="B440" t="s">
        <v>889</v>
      </c>
      <c r="C440" s="143">
        <v>45370</v>
      </c>
      <c r="D440" s="142">
        <v>45370</v>
      </c>
      <c r="E440">
        <f>Tabela4[[#This Row],[DATA FATURAMENTO]]-Tabela4[[#This Row],[DATA ORÇAMENTO]]</f>
        <v>0</v>
      </c>
      <c r="F440">
        <v>10968</v>
      </c>
      <c r="G440" s="25" t="s">
        <v>22</v>
      </c>
      <c r="H440" s="25"/>
      <c r="I440" s="155">
        <v>1471.2</v>
      </c>
      <c r="J440" s="154">
        <f>Tabela4[[#This Row],[VALOR]]-Tabela4[[#This Row],[PECAS]]</f>
        <v>1020.9999999999998</v>
      </c>
      <c r="K440" s="150">
        <v>2492.1999999999998</v>
      </c>
      <c r="L440" s="155">
        <v>0</v>
      </c>
      <c r="M440" s="155">
        <v>0</v>
      </c>
      <c r="N440" s="67"/>
      <c r="O440" s="155">
        <v>285</v>
      </c>
      <c r="P440" s="155">
        <v>0</v>
      </c>
      <c r="Q440" s="155">
        <v>0</v>
      </c>
      <c r="R440" s="155">
        <v>0</v>
      </c>
      <c r="S440" s="154">
        <v>0</v>
      </c>
      <c r="T440" s="155">
        <v>0</v>
      </c>
      <c r="U440" s="155">
        <v>0</v>
      </c>
      <c r="V440" s="25"/>
      <c r="W440" s="22">
        <v>0</v>
      </c>
      <c r="X440" s="149">
        <v>0</v>
      </c>
      <c r="Y440" s="25"/>
      <c r="Z440" s="155">
        <v>0</v>
      </c>
      <c r="AA440" s="149">
        <f>Tabela4[[#This Row],[VALOR]]-Tabela4[[#This Row],[PNEUS]]-Tabela4[[#This Row],[BATERIA]]</f>
        <v>2492.1999999999998</v>
      </c>
      <c r="AB440" s="27" t="s">
        <v>27</v>
      </c>
      <c r="AC440" s="30">
        <v>0</v>
      </c>
      <c r="AD440" s="162">
        <v>0</v>
      </c>
      <c r="AE440" s="162">
        <v>0</v>
      </c>
      <c r="AF440" s="162">
        <v>0</v>
      </c>
      <c r="AG440" s="162">
        <v>0</v>
      </c>
      <c r="AH440" s="162">
        <v>0</v>
      </c>
      <c r="AI440" s="162">
        <v>0</v>
      </c>
      <c r="AJ440" s="162">
        <v>0</v>
      </c>
    </row>
    <row r="441" spans="1:36" x14ac:dyDescent="0.25">
      <c r="A441" t="s">
        <v>221</v>
      </c>
      <c r="B441" t="s">
        <v>897</v>
      </c>
      <c r="C441" s="143">
        <v>45370</v>
      </c>
      <c r="D441" s="142">
        <v>45370</v>
      </c>
      <c r="E441">
        <f>Tabela4[[#This Row],[DATA FATURAMENTO]]-Tabela4[[#This Row],[DATA ORÇAMENTO]]</f>
        <v>0</v>
      </c>
      <c r="F441">
        <v>10951</v>
      </c>
      <c r="G441" s="15" t="s">
        <v>22</v>
      </c>
      <c r="H441" s="54"/>
      <c r="I441" s="151">
        <v>119.9</v>
      </c>
      <c r="J441" s="154">
        <f>Tabela4[[#This Row],[VALOR]]-Tabela4[[#This Row],[PECAS]]</f>
        <v>9.9999999999909051E-3</v>
      </c>
      <c r="K441" s="150">
        <v>119.91</v>
      </c>
      <c r="L441" s="151">
        <v>0</v>
      </c>
      <c r="M441" s="151">
        <v>0</v>
      </c>
      <c r="N441" s="24"/>
      <c r="O441" s="151">
        <v>0</v>
      </c>
      <c r="P441" s="151">
        <v>119.9</v>
      </c>
      <c r="Q441" s="151">
        <v>0</v>
      </c>
      <c r="R441" s="151">
        <v>0</v>
      </c>
      <c r="S441" s="149">
        <v>0</v>
      </c>
      <c r="T441" s="151">
        <v>0</v>
      </c>
      <c r="U441" s="151">
        <v>0</v>
      </c>
      <c r="V441" s="15"/>
      <c r="W441" s="22">
        <v>0</v>
      </c>
      <c r="X441" s="149">
        <v>0</v>
      </c>
      <c r="Y441" s="15"/>
      <c r="Z441" s="155">
        <v>0</v>
      </c>
      <c r="AA441" s="149">
        <f>Tabela4[[#This Row],[VALOR]]-Tabela4[[#This Row],[PNEUS]]-Tabela4[[#This Row],[BATERIA]]</f>
        <v>119.91</v>
      </c>
      <c r="AB441" s="19" t="s">
        <v>27</v>
      </c>
      <c r="AC441" s="30">
        <v>0</v>
      </c>
      <c r="AD441" s="162">
        <v>0</v>
      </c>
      <c r="AE441" s="162">
        <v>0</v>
      </c>
      <c r="AF441" s="162">
        <v>0</v>
      </c>
      <c r="AG441" s="162">
        <v>0</v>
      </c>
      <c r="AH441" s="162">
        <v>0</v>
      </c>
      <c r="AI441" s="162">
        <v>0</v>
      </c>
      <c r="AJ441" s="162">
        <v>0</v>
      </c>
    </row>
    <row r="442" spans="1:36" x14ac:dyDescent="0.25">
      <c r="A442" t="s">
        <v>222</v>
      </c>
      <c r="B442" t="s">
        <v>898</v>
      </c>
      <c r="C442" s="143">
        <v>45370</v>
      </c>
      <c r="D442" s="142">
        <v>45370</v>
      </c>
      <c r="E442">
        <f>Tabela4[[#This Row],[DATA FATURAMENTO]]-Tabela4[[#This Row],[DATA ORÇAMENTO]]</f>
        <v>0</v>
      </c>
      <c r="F442">
        <v>10948</v>
      </c>
      <c r="G442" s="15" t="s">
        <v>22</v>
      </c>
      <c r="H442" s="54"/>
      <c r="I442" s="151">
        <v>539.9</v>
      </c>
      <c r="J442" s="154">
        <f>Tabela4[[#This Row],[VALOR]]-Tabela4[[#This Row],[PECAS]]</f>
        <v>180</v>
      </c>
      <c r="K442" s="150">
        <v>719.9</v>
      </c>
      <c r="L442" s="151">
        <v>0</v>
      </c>
      <c r="M442" s="151">
        <v>0</v>
      </c>
      <c r="N442" s="24"/>
      <c r="O442" s="151">
        <v>0</v>
      </c>
      <c r="P442" s="151">
        <f>45.9+110</f>
        <v>155.9</v>
      </c>
      <c r="Q442" s="151">
        <v>0</v>
      </c>
      <c r="R442" s="151">
        <v>0</v>
      </c>
      <c r="S442" s="149">
        <v>180</v>
      </c>
      <c r="T442" s="151">
        <v>0</v>
      </c>
      <c r="U442" s="151">
        <v>0</v>
      </c>
      <c r="V442" s="15"/>
      <c r="W442" s="22">
        <v>4</v>
      </c>
      <c r="X442" s="149">
        <v>0</v>
      </c>
      <c r="Y442" s="15" t="s">
        <v>807</v>
      </c>
      <c r="Z442" s="155">
        <v>0</v>
      </c>
      <c r="AA442" s="149">
        <f>Tabela4[[#This Row],[VALOR]]-Tabela4[[#This Row],[PNEUS]]-Tabela4[[#This Row],[BATERIA]]</f>
        <v>719.9</v>
      </c>
      <c r="AB442" s="19" t="s">
        <v>24</v>
      </c>
      <c r="AC442" s="30">
        <v>0</v>
      </c>
      <c r="AD442" s="162">
        <v>0</v>
      </c>
      <c r="AE442" s="162">
        <v>0</v>
      </c>
      <c r="AF442" s="162">
        <v>0</v>
      </c>
      <c r="AG442" s="162">
        <v>0</v>
      </c>
      <c r="AH442" s="162">
        <v>0</v>
      </c>
      <c r="AI442" s="162">
        <v>0</v>
      </c>
      <c r="AJ442" s="162">
        <v>0</v>
      </c>
    </row>
    <row r="443" spans="1:36" x14ac:dyDescent="0.25">
      <c r="A443" t="s">
        <v>899</v>
      </c>
      <c r="B443" t="s">
        <v>900</v>
      </c>
      <c r="C443" s="143">
        <v>45370</v>
      </c>
      <c r="D443" s="142">
        <v>45370</v>
      </c>
      <c r="E443">
        <f>Tabela4[[#This Row],[DATA FATURAMENTO]]-Tabela4[[#This Row],[DATA ORÇAMENTO]]</f>
        <v>0</v>
      </c>
      <c r="F443">
        <v>10950</v>
      </c>
      <c r="G443" s="15" t="s">
        <v>31</v>
      </c>
      <c r="H443" s="54"/>
      <c r="I443" s="151">
        <v>527</v>
      </c>
      <c r="J443" s="154">
        <f>Tabela4[[#This Row],[VALOR]]-Tabela4[[#This Row],[PECAS]]</f>
        <v>9.9999999999909051E-3</v>
      </c>
      <c r="K443" s="150">
        <v>527.01</v>
      </c>
      <c r="L443" s="151">
        <v>0</v>
      </c>
      <c r="M443" s="151">
        <v>0</v>
      </c>
      <c r="N443" s="24"/>
      <c r="O443" s="151">
        <v>0</v>
      </c>
      <c r="P443" s="151">
        <v>0</v>
      </c>
      <c r="Q443" s="151">
        <v>0</v>
      </c>
      <c r="R443" s="151">
        <v>0</v>
      </c>
      <c r="S443" s="149">
        <v>0</v>
      </c>
      <c r="T443" s="151">
        <v>0</v>
      </c>
      <c r="U443" s="151">
        <v>0</v>
      </c>
      <c r="V443" s="15"/>
      <c r="W443" s="22">
        <v>4</v>
      </c>
      <c r="X443" s="149">
        <v>0</v>
      </c>
      <c r="Y443" s="15" t="s">
        <v>807</v>
      </c>
      <c r="Z443" s="155">
        <v>0</v>
      </c>
      <c r="AA443" s="149">
        <f>Tabela4[[#This Row],[VALOR]]-Tabela4[[#This Row],[PNEUS]]-Tabela4[[#This Row],[BATERIA]]</f>
        <v>527.01</v>
      </c>
      <c r="AB443" s="19" t="s">
        <v>30</v>
      </c>
      <c r="AC443" s="30">
        <v>0</v>
      </c>
      <c r="AD443" s="162">
        <v>0</v>
      </c>
      <c r="AE443" s="162">
        <v>0</v>
      </c>
      <c r="AF443" s="162">
        <v>0</v>
      </c>
      <c r="AG443" s="162">
        <v>0</v>
      </c>
      <c r="AH443" s="162">
        <v>0</v>
      </c>
      <c r="AI443" s="162">
        <v>0</v>
      </c>
      <c r="AJ443" s="162">
        <v>0</v>
      </c>
    </row>
    <row r="444" spans="1:36" x14ac:dyDescent="0.25">
      <c r="A444" t="s">
        <v>229</v>
      </c>
      <c r="B444" t="s">
        <v>901</v>
      </c>
      <c r="C444" s="143">
        <v>45370</v>
      </c>
      <c r="D444" s="142">
        <v>45370</v>
      </c>
      <c r="E444">
        <f>Tabela4[[#This Row],[DATA FATURAMENTO]]-Tabela4[[#This Row],[DATA ORÇAMENTO]]</f>
        <v>0</v>
      </c>
      <c r="F444">
        <v>10957</v>
      </c>
      <c r="G444" s="15" t="s">
        <v>22</v>
      </c>
      <c r="H444" s="54"/>
      <c r="I444" s="151">
        <v>0</v>
      </c>
      <c r="J444" s="154">
        <f>Tabela4[[#This Row],[VALOR]]-Tabela4[[#This Row],[PECAS]]</f>
        <v>116</v>
      </c>
      <c r="K444" s="150">
        <v>116</v>
      </c>
      <c r="L444" s="151">
        <v>0</v>
      </c>
      <c r="M444" s="151">
        <v>0</v>
      </c>
      <c r="N444" s="24"/>
      <c r="O444" s="151">
        <v>0</v>
      </c>
      <c r="P444" s="151">
        <v>0</v>
      </c>
      <c r="Q444" s="151">
        <v>0</v>
      </c>
      <c r="R444" s="151">
        <v>0</v>
      </c>
      <c r="S444" s="149">
        <v>0</v>
      </c>
      <c r="T444" s="151">
        <v>0</v>
      </c>
      <c r="U444" s="151">
        <v>0</v>
      </c>
      <c r="V444" s="15"/>
      <c r="W444" s="22">
        <v>0</v>
      </c>
      <c r="X444" s="149">
        <v>0</v>
      </c>
      <c r="Y444" s="15"/>
      <c r="Z444" s="155">
        <v>0</v>
      </c>
      <c r="AA444" s="149">
        <f>Tabela4[[#This Row],[VALOR]]-Tabela4[[#This Row],[PNEUS]]-Tabela4[[#This Row],[BATERIA]]</f>
        <v>116</v>
      </c>
      <c r="AB444" s="19" t="s">
        <v>34</v>
      </c>
      <c r="AC444" s="30">
        <v>0</v>
      </c>
      <c r="AD444" s="162">
        <v>0</v>
      </c>
      <c r="AE444" s="162">
        <v>0</v>
      </c>
      <c r="AF444" s="162">
        <v>0</v>
      </c>
      <c r="AG444" s="162">
        <v>0</v>
      </c>
      <c r="AH444" s="162">
        <v>0</v>
      </c>
      <c r="AI444" s="162">
        <v>0</v>
      </c>
      <c r="AJ444" s="162">
        <v>0</v>
      </c>
    </row>
    <row r="445" spans="1:36" x14ac:dyDescent="0.25">
      <c r="A445" t="s">
        <v>902</v>
      </c>
      <c r="B445" t="s">
        <v>903</v>
      </c>
      <c r="C445" s="143">
        <v>45370</v>
      </c>
      <c r="D445" s="142">
        <v>45370</v>
      </c>
      <c r="E445">
        <f>Tabela4[[#This Row],[DATA FATURAMENTO]]-Tabela4[[#This Row],[DATA ORÇAMENTO]]</f>
        <v>0</v>
      </c>
      <c r="F445">
        <v>10958</v>
      </c>
      <c r="G445" s="15" t="s">
        <v>22</v>
      </c>
      <c r="H445" s="54"/>
      <c r="I445" s="151">
        <v>308.7</v>
      </c>
      <c r="J445" s="154">
        <f>Tabela4[[#This Row],[VALOR]]-Tabela4[[#This Row],[PECAS]]</f>
        <v>110</v>
      </c>
      <c r="K445" s="150">
        <v>418.7</v>
      </c>
      <c r="L445" s="151">
        <v>0</v>
      </c>
      <c r="M445" s="151">
        <v>0</v>
      </c>
      <c r="N445" s="24"/>
      <c r="O445" s="151">
        <v>0</v>
      </c>
      <c r="P445" s="151">
        <v>0</v>
      </c>
      <c r="Q445" s="151">
        <v>0</v>
      </c>
      <c r="R445" s="151">
        <v>0</v>
      </c>
      <c r="S445" s="149">
        <v>0</v>
      </c>
      <c r="T445" s="151">
        <v>0</v>
      </c>
      <c r="U445" s="151">
        <v>0</v>
      </c>
      <c r="V445" s="15"/>
      <c r="W445" s="22">
        <v>0</v>
      </c>
      <c r="X445" s="149">
        <v>0</v>
      </c>
      <c r="Y445" s="15"/>
      <c r="Z445" s="155">
        <v>0</v>
      </c>
      <c r="AA445" s="149">
        <f>Tabela4[[#This Row],[VALOR]]-Tabela4[[#This Row],[PNEUS]]-Tabela4[[#This Row],[BATERIA]]</f>
        <v>418.7</v>
      </c>
      <c r="AB445" s="19" t="s">
        <v>27</v>
      </c>
      <c r="AC445" s="30">
        <v>0</v>
      </c>
      <c r="AD445" s="162">
        <v>0</v>
      </c>
      <c r="AE445" s="162">
        <v>0</v>
      </c>
      <c r="AF445" s="162">
        <v>0</v>
      </c>
      <c r="AG445" s="162">
        <v>0</v>
      </c>
      <c r="AH445" s="162">
        <v>0</v>
      </c>
      <c r="AI445" s="162">
        <v>0</v>
      </c>
      <c r="AJ445" s="162">
        <v>0</v>
      </c>
    </row>
    <row r="446" spans="1:36" x14ac:dyDescent="0.25">
      <c r="A446" t="s">
        <v>224</v>
      </c>
      <c r="B446" t="s">
        <v>904</v>
      </c>
      <c r="C446" s="143">
        <v>45370</v>
      </c>
      <c r="D446" s="142">
        <v>45370</v>
      </c>
      <c r="E446">
        <f>Tabela4[[#This Row],[DATA FATURAMENTO]]-Tabela4[[#This Row],[DATA ORÇAMENTO]]</f>
        <v>0</v>
      </c>
      <c r="F446">
        <v>10962</v>
      </c>
      <c r="G446" s="15" t="s">
        <v>31</v>
      </c>
      <c r="H446" s="54"/>
      <c r="I446" s="151">
        <v>396.5</v>
      </c>
      <c r="J446" s="154">
        <f>Tabela4[[#This Row],[VALOR]]-Tabela4[[#This Row],[PECAS]]</f>
        <v>190</v>
      </c>
      <c r="K446" s="150">
        <v>586.5</v>
      </c>
      <c r="L446" s="151">
        <v>0</v>
      </c>
      <c r="M446" s="151">
        <v>0</v>
      </c>
      <c r="N446" s="24"/>
      <c r="O446" s="151">
        <v>0</v>
      </c>
      <c r="P446" s="151">
        <v>68.8</v>
      </c>
      <c r="Q446" s="151">
        <v>0</v>
      </c>
      <c r="R446" s="151">
        <v>0</v>
      </c>
      <c r="S446" s="149">
        <v>0</v>
      </c>
      <c r="T446" s="151">
        <v>0</v>
      </c>
      <c r="U446" s="151">
        <v>0</v>
      </c>
      <c r="V446" s="15"/>
      <c r="W446" s="22">
        <v>0</v>
      </c>
      <c r="X446" s="149">
        <v>0</v>
      </c>
      <c r="Y446" s="15"/>
      <c r="Z446" s="155">
        <v>0</v>
      </c>
      <c r="AA446" s="149">
        <f>Tabela4[[#This Row],[VALOR]]-Tabela4[[#This Row],[PNEUS]]-Tabela4[[#This Row],[BATERIA]]</f>
        <v>586.5</v>
      </c>
      <c r="AB446" s="19" t="s">
        <v>30</v>
      </c>
      <c r="AC446" s="30">
        <v>0</v>
      </c>
      <c r="AD446" s="162">
        <v>0</v>
      </c>
      <c r="AE446" s="162">
        <v>0</v>
      </c>
      <c r="AF446" s="162">
        <v>0</v>
      </c>
      <c r="AG446" s="162">
        <v>0</v>
      </c>
      <c r="AH446" s="162">
        <v>0</v>
      </c>
      <c r="AI446" s="162">
        <v>0</v>
      </c>
      <c r="AJ446" s="162">
        <v>0</v>
      </c>
    </row>
    <row r="447" spans="1:36" x14ac:dyDescent="0.25">
      <c r="A447" t="s">
        <v>393</v>
      </c>
      <c r="B447" t="s">
        <v>898</v>
      </c>
      <c r="C447" s="143">
        <v>45370</v>
      </c>
      <c r="D447" s="142">
        <v>45370</v>
      </c>
      <c r="E447">
        <f>Tabela4[[#This Row],[DATA FATURAMENTO]]-Tabela4[[#This Row],[DATA ORÇAMENTO]]</f>
        <v>0</v>
      </c>
      <c r="F447">
        <v>10964</v>
      </c>
      <c r="G447" s="15" t="s">
        <v>22</v>
      </c>
      <c r="H447" s="54"/>
      <c r="I447" s="151">
        <v>47.4</v>
      </c>
      <c r="J447" s="154">
        <f>Tabela4[[#This Row],[VALOR]]-Tabela4[[#This Row],[PECAS]]</f>
        <v>0</v>
      </c>
      <c r="K447" s="150">
        <v>47.4</v>
      </c>
      <c r="L447" s="151">
        <v>0</v>
      </c>
      <c r="M447" s="151">
        <v>0</v>
      </c>
      <c r="N447" s="24"/>
      <c r="O447" s="151">
        <v>0</v>
      </c>
      <c r="P447" s="151">
        <v>47.4</v>
      </c>
      <c r="Q447" s="151">
        <v>0</v>
      </c>
      <c r="R447" s="151">
        <v>0</v>
      </c>
      <c r="S447" s="149">
        <v>0</v>
      </c>
      <c r="T447" s="151">
        <v>0</v>
      </c>
      <c r="U447" s="151">
        <v>0</v>
      </c>
      <c r="V447" s="15"/>
      <c r="W447" s="22">
        <v>0</v>
      </c>
      <c r="X447" s="149">
        <v>0</v>
      </c>
      <c r="Y447" s="15"/>
      <c r="Z447" s="155">
        <v>0</v>
      </c>
      <c r="AA447" s="149">
        <f>Tabela4[[#This Row],[VALOR]]-Tabela4[[#This Row],[PNEUS]]-Tabela4[[#This Row],[BATERIA]]</f>
        <v>47.4</v>
      </c>
      <c r="AB447" s="19" t="s">
        <v>38</v>
      </c>
      <c r="AC447" s="30">
        <v>0</v>
      </c>
      <c r="AD447" s="162">
        <v>0</v>
      </c>
      <c r="AE447" s="162">
        <v>0</v>
      </c>
      <c r="AF447" s="162">
        <v>0</v>
      </c>
      <c r="AG447" s="162">
        <v>0</v>
      </c>
      <c r="AH447" s="162">
        <v>0</v>
      </c>
      <c r="AI447" s="162">
        <v>0</v>
      </c>
      <c r="AJ447" s="162">
        <v>0</v>
      </c>
    </row>
    <row r="448" spans="1:36" x14ac:dyDescent="0.25">
      <c r="A448" t="s">
        <v>228</v>
      </c>
      <c r="B448" t="s">
        <v>905</v>
      </c>
      <c r="C448" s="143">
        <v>45370</v>
      </c>
      <c r="D448" s="142">
        <v>45371</v>
      </c>
      <c r="E448">
        <f>Tabela4[[#This Row],[DATA FATURAMENTO]]-Tabela4[[#This Row],[DATA ORÇAMENTO]]</f>
        <v>1</v>
      </c>
      <c r="F448">
        <v>10966</v>
      </c>
      <c r="G448" s="25" t="s">
        <v>31</v>
      </c>
      <c r="H448" s="25"/>
      <c r="I448" s="155">
        <v>913.6</v>
      </c>
      <c r="J448" s="154">
        <f>Tabela4[[#This Row],[VALOR]]-Tabela4[[#This Row],[PECAS]]</f>
        <v>534.99999999999989</v>
      </c>
      <c r="K448" s="150">
        <v>1448.6</v>
      </c>
      <c r="L448" s="155">
        <v>0</v>
      </c>
      <c r="M448" s="155">
        <v>0</v>
      </c>
      <c r="N448" s="67"/>
      <c r="O448" s="155">
        <v>290</v>
      </c>
      <c r="P448" s="155">
        <v>0</v>
      </c>
      <c r="Q448" s="155">
        <v>0</v>
      </c>
      <c r="R448" s="155">
        <v>0</v>
      </c>
      <c r="S448" s="154">
        <v>0</v>
      </c>
      <c r="T448" s="155">
        <v>0</v>
      </c>
      <c r="U448" s="155">
        <v>0</v>
      </c>
      <c r="V448" s="25"/>
      <c r="W448" s="22">
        <v>0</v>
      </c>
      <c r="X448" s="149">
        <v>0</v>
      </c>
      <c r="Y448" s="25"/>
      <c r="Z448" s="155">
        <v>0</v>
      </c>
      <c r="AA448" s="149">
        <f>Tabela4[[#This Row],[VALOR]]-Tabela4[[#This Row],[PNEUS]]-Tabela4[[#This Row],[BATERIA]]</f>
        <v>1448.6</v>
      </c>
      <c r="AB448" s="27" t="s">
        <v>24</v>
      </c>
      <c r="AC448" s="30">
        <v>0</v>
      </c>
      <c r="AD448" s="162">
        <v>0</v>
      </c>
      <c r="AE448" s="162">
        <v>0</v>
      </c>
      <c r="AF448" s="162">
        <v>0</v>
      </c>
      <c r="AG448" s="162">
        <v>0</v>
      </c>
      <c r="AH448" s="162">
        <v>0</v>
      </c>
      <c r="AI448" s="162">
        <v>0</v>
      </c>
      <c r="AJ448" s="162">
        <v>0</v>
      </c>
    </row>
    <row r="449" spans="1:36" x14ac:dyDescent="0.25">
      <c r="A449" t="s">
        <v>233</v>
      </c>
      <c r="B449" t="s">
        <v>906</v>
      </c>
      <c r="C449" s="143">
        <v>45371</v>
      </c>
      <c r="D449" s="142">
        <v>45371</v>
      </c>
      <c r="E449">
        <f>Tabela4[[#This Row],[DATA FATURAMENTO]]-Tabela4[[#This Row],[DATA ORÇAMENTO]]</f>
        <v>0</v>
      </c>
      <c r="F449">
        <v>10970</v>
      </c>
      <c r="G449" s="15" t="s">
        <v>39</v>
      </c>
      <c r="H449" s="25" t="s">
        <v>44</v>
      </c>
      <c r="I449" s="151">
        <v>30</v>
      </c>
      <c r="J449" s="154">
        <f>Tabela4[[#This Row],[VALOR]]-Tabela4[[#This Row],[PECAS]]</f>
        <v>160</v>
      </c>
      <c r="K449" s="150">
        <v>190</v>
      </c>
      <c r="L449" s="151">
        <v>0</v>
      </c>
      <c r="M449" s="151">
        <v>0</v>
      </c>
      <c r="N449" s="24"/>
      <c r="O449" s="151">
        <v>0</v>
      </c>
      <c r="P449" s="151">
        <v>0</v>
      </c>
      <c r="Q449" s="151">
        <v>0</v>
      </c>
      <c r="R449" s="151">
        <v>0</v>
      </c>
      <c r="S449" s="149">
        <v>0</v>
      </c>
      <c r="T449" s="151">
        <v>0</v>
      </c>
      <c r="U449" s="151">
        <v>0</v>
      </c>
      <c r="V449" s="15"/>
      <c r="W449" s="22">
        <v>0</v>
      </c>
      <c r="X449" s="149">
        <v>0</v>
      </c>
      <c r="Y449" s="15"/>
      <c r="Z449" s="155">
        <v>0</v>
      </c>
      <c r="AA449" s="149">
        <f>Tabela4[[#This Row],[VALOR]]-Tabela4[[#This Row],[PNEUS]]-Tabela4[[#This Row],[BATERIA]]</f>
        <v>190</v>
      </c>
      <c r="AB449" s="19" t="s">
        <v>27</v>
      </c>
      <c r="AC449" s="30">
        <v>0</v>
      </c>
      <c r="AD449" s="162">
        <v>0</v>
      </c>
      <c r="AE449" s="162">
        <v>0</v>
      </c>
      <c r="AF449" s="162">
        <v>0</v>
      </c>
      <c r="AG449" s="162">
        <v>0</v>
      </c>
      <c r="AH449" s="162">
        <v>0</v>
      </c>
      <c r="AI449" s="162">
        <v>0</v>
      </c>
      <c r="AJ449" s="162">
        <v>0</v>
      </c>
    </row>
    <row r="450" spans="1:36" x14ac:dyDescent="0.25">
      <c r="A450" t="s">
        <v>235</v>
      </c>
      <c r="B450" t="s">
        <v>907</v>
      </c>
      <c r="C450" s="143">
        <v>45371</v>
      </c>
      <c r="D450" s="142">
        <v>45371</v>
      </c>
      <c r="E450">
        <f>Tabela4[[#This Row],[DATA FATURAMENTO]]-Tabela4[[#This Row],[DATA ORÇAMENTO]]</f>
        <v>0</v>
      </c>
      <c r="F450">
        <v>10971</v>
      </c>
      <c r="G450" s="15" t="s">
        <v>35</v>
      </c>
      <c r="H450" s="54"/>
      <c r="I450" s="151">
        <v>345</v>
      </c>
      <c r="J450" s="154">
        <f>Tabela4[[#This Row],[VALOR]]-Tabela4[[#This Row],[PECAS]]</f>
        <v>0</v>
      </c>
      <c r="K450" s="150">
        <v>345</v>
      </c>
      <c r="L450" s="151">
        <v>0</v>
      </c>
      <c r="M450" s="151">
        <v>0</v>
      </c>
      <c r="N450" s="24"/>
      <c r="O450" s="151">
        <v>0</v>
      </c>
      <c r="P450" s="151">
        <v>0</v>
      </c>
      <c r="Q450" s="151">
        <v>0</v>
      </c>
      <c r="R450" s="151">
        <v>0</v>
      </c>
      <c r="S450" s="149">
        <v>0</v>
      </c>
      <c r="T450" s="151">
        <v>0</v>
      </c>
      <c r="U450" s="151">
        <v>0</v>
      </c>
      <c r="V450" s="15"/>
      <c r="W450" s="22">
        <v>4</v>
      </c>
      <c r="X450" s="149">
        <v>0</v>
      </c>
      <c r="Y450" s="15" t="s">
        <v>654</v>
      </c>
      <c r="Z450" s="155">
        <v>0</v>
      </c>
      <c r="AA450" s="149">
        <f>Tabela4[[#This Row],[VALOR]]-Tabela4[[#This Row],[PNEUS]]-Tabela4[[#This Row],[BATERIA]]</f>
        <v>345</v>
      </c>
      <c r="AB450" s="19" t="s">
        <v>34</v>
      </c>
      <c r="AC450" s="30">
        <v>0</v>
      </c>
      <c r="AD450" s="162">
        <v>0</v>
      </c>
      <c r="AE450" s="162">
        <v>0</v>
      </c>
      <c r="AF450" s="162">
        <v>0</v>
      </c>
      <c r="AG450" s="162">
        <v>0</v>
      </c>
      <c r="AH450" s="162">
        <v>0</v>
      </c>
      <c r="AI450" s="162">
        <v>0</v>
      </c>
      <c r="AJ450" s="162">
        <v>0</v>
      </c>
    </row>
    <row r="451" spans="1:36" x14ac:dyDescent="0.25">
      <c r="A451" t="s">
        <v>908</v>
      </c>
      <c r="B451" t="s">
        <v>909</v>
      </c>
      <c r="C451" s="143">
        <v>45371</v>
      </c>
      <c r="D451" s="142">
        <v>45371</v>
      </c>
      <c r="E451">
        <f>Tabela4[[#This Row],[DATA FATURAMENTO]]-Tabela4[[#This Row],[DATA ORÇAMENTO]]</f>
        <v>0</v>
      </c>
      <c r="F451">
        <v>10975</v>
      </c>
      <c r="G451" s="15" t="s">
        <v>6</v>
      </c>
      <c r="H451" s="54"/>
      <c r="I451" s="151">
        <v>895.4</v>
      </c>
      <c r="J451" s="154">
        <f>Tabela4[[#This Row],[VALOR]]-Tabela4[[#This Row],[PECAS]]</f>
        <v>9.9999999999909051E-3</v>
      </c>
      <c r="K451" s="150">
        <v>895.41</v>
      </c>
      <c r="L451" s="151">
        <v>0</v>
      </c>
      <c r="M451" s="151">
        <v>0</v>
      </c>
      <c r="N451" s="24"/>
      <c r="O451" s="151">
        <v>0</v>
      </c>
      <c r="P451" s="151">
        <v>0</v>
      </c>
      <c r="Q451" s="151">
        <v>0</v>
      </c>
      <c r="R451" s="151">
        <v>0</v>
      </c>
      <c r="S451" s="149">
        <v>0</v>
      </c>
      <c r="T451" s="151">
        <v>0</v>
      </c>
      <c r="U451" s="151">
        <v>895.41</v>
      </c>
      <c r="V451" s="15" t="s">
        <v>700</v>
      </c>
      <c r="W451" s="22">
        <v>0</v>
      </c>
      <c r="X451" s="149">
        <v>0</v>
      </c>
      <c r="Y451" s="15"/>
      <c r="Z451" s="155">
        <v>0</v>
      </c>
      <c r="AA451" s="149">
        <f>Tabela4[[#This Row],[VALOR]]-Tabela4[[#This Row],[PNEUS]]-Tabela4[[#This Row],[BATERIA]]</f>
        <v>0</v>
      </c>
      <c r="AB451" s="19" t="s">
        <v>6</v>
      </c>
      <c r="AC451" s="30">
        <v>0</v>
      </c>
      <c r="AD451" s="162">
        <v>0</v>
      </c>
      <c r="AE451" s="162">
        <v>0</v>
      </c>
      <c r="AF451" s="162">
        <v>0</v>
      </c>
      <c r="AG451" s="162">
        <v>0</v>
      </c>
      <c r="AH451" s="162">
        <v>0</v>
      </c>
      <c r="AI451" s="162">
        <v>0</v>
      </c>
      <c r="AJ451" s="162">
        <v>0</v>
      </c>
    </row>
    <row r="452" spans="1:36" x14ac:dyDescent="0.25">
      <c r="A452" t="s">
        <v>523</v>
      </c>
      <c r="B452" t="s">
        <v>910</v>
      </c>
      <c r="C452" s="143">
        <v>45358</v>
      </c>
      <c r="D452" s="142">
        <v>45372</v>
      </c>
      <c r="E452">
        <f>Tabela4[[#This Row],[DATA FATURAMENTO]]-Tabela4[[#This Row],[DATA ORÇAMENTO]]</f>
        <v>14</v>
      </c>
      <c r="F452">
        <v>10852</v>
      </c>
      <c r="G452" s="25" t="s">
        <v>31</v>
      </c>
      <c r="H452" s="25"/>
      <c r="I452" s="155">
        <v>188.4</v>
      </c>
      <c r="J452" s="154">
        <f>Tabela4[[#This Row],[VALOR]]-Tabela4[[#This Row],[PECAS]]</f>
        <v>261.60000000000002</v>
      </c>
      <c r="K452" s="150">
        <v>450</v>
      </c>
      <c r="L452" s="155">
        <v>0</v>
      </c>
      <c r="M452" s="155">
        <v>0</v>
      </c>
      <c r="N452" s="67"/>
      <c r="O452" s="155">
        <v>144.6</v>
      </c>
      <c r="P452" s="155">
        <v>0</v>
      </c>
      <c r="Q452" s="155">
        <v>0</v>
      </c>
      <c r="R452" s="155">
        <v>0</v>
      </c>
      <c r="S452" s="154">
        <v>0</v>
      </c>
      <c r="T452" s="155">
        <v>0</v>
      </c>
      <c r="U452" s="155">
        <v>0</v>
      </c>
      <c r="V452" s="25"/>
      <c r="W452" s="22">
        <v>0</v>
      </c>
      <c r="X452" s="149">
        <v>0</v>
      </c>
      <c r="Y452" s="25"/>
      <c r="Z452" s="155">
        <v>0</v>
      </c>
      <c r="AA452" s="149">
        <f>Tabela4[[#This Row],[VALOR]]-Tabela4[[#This Row],[PNEUS]]-Tabela4[[#This Row],[BATERIA]]</f>
        <v>450</v>
      </c>
      <c r="AB452" s="27" t="s">
        <v>24</v>
      </c>
      <c r="AC452" s="30">
        <v>0</v>
      </c>
      <c r="AD452" s="162">
        <v>0</v>
      </c>
      <c r="AE452" s="162">
        <v>0</v>
      </c>
      <c r="AF452" s="162">
        <v>0</v>
      </c>
      <c r="AG452" s="162">
        <v>0</v>
      </c>
      <c r="AH452" s="162">
        <v>0</v>
      </c>
      <c r="AI452" s="162">
        <v>0</v>
      </c>
      <c r="AJ452" s="162">
        <v>0</v>
      </c>
    </row>
    <row r="453" spans="1:36" x14ac:dyDescent="0.25">
      <c r="A453" t="s">
        <v>223</v>
      </c>
      <c r="B453" t="s">
        <v>911</v>
      </c>
      <c r="C453" s="143">
        <v>45370</v>
      </c>
      <c r="D453" s="142">
        <v>45372</v>
      </c>
      <c r="E453">
        <f>Tabela4[[#This Row],[DATA FATURAMENTO]]-Tabela4[[#This Row],[DATA ORÇAMENTO]]</f>
        <v>2</v>
      </c>
      <c r="F453">
        <v>10954</v>
      </c>
      <c r="G453" s="15" t="s">
        <v>39</v>
      </c>
      <c r="H453" s="25" t="s">
        <v>44</v>
      </c>
      <c r="I453" s="151">
        <v>20</v>
      </c>
      <c r="J453" s="154">
        <f>Tabela4[[#This Row],[VALOR]]-Tabela4[[#This Row],[PECAS]]</f>
        <v>120</v>
      </c>
      <c r="K453" s="150">
        <v>140</v>
      </c>
      <c r="L453" s="151">
        <v>0</v>
      </c>
      <c r="M453" s="151">
        <v>0</v>
      </c>
      <c r="N453" s="24"/>
      <c r="O453" s="151">
        <v>0</v>
      </c>
      <c r="P453" s="151">
        <v>0</v>
      </c>
      <c r="Q453" s="151">
        <v>0</v>
      </c>
      <c r="R453" s="151">
        <v>0</v>
      </c>
      <c r="S453" s="149">
        <v>0</v>
      </c>
      <c r="T453" s="151">
        <v>0</v>
      </c>
      <c r="U453" s="151">
        <v>0</v>
      </c>
      <c r="V453" s="15"/>
      <c r="W453" s="22">
        <v>0</v>
      </c>
      <c r="X453" s="149">
        <v>0</v>
      </c>
      <c r="Y453" s="15"/>
      <c r="Z453" s="155">
        <v>0</v>
      </c>
      <c r="AA453" s="149">
        <f>Tabela4[[#This Row],[VALOR]]-Tabela4[[#This Row],[PNEUS]]-Tabela4[[#This Row],[BATERIA]]</f>
        <v>140</v>
      </c>
      <c r="AB453" s="19" t="s">
        <v>27</v>
      </c>
      <c r="AC453" s="30">
        <v>0</v>
      </c>
      <c r="AD453" s="162">
        <v>0</v>
      </c>
      <c r="AE453" s="162">
        <v>0</v>
      </c>
      <c r="AF453" s="162">
        <v>0</v>
      </c>
      <c r="AG453" s="162">
        <v>0</v>
      </c>
      <c r="AH453" s="162">
        <v>0</v>
      </c>
      <c r="AI453" s="162">
        <v>0</v>
      </c>
      <c r="AJ453" s="162">
        <v>0</v>
      </c>
    </row>
    <row r="454" spans="1:36" x14ac:dyDescent="0.25">
      <c r="A454" t="s">
        <v>242</v>
      </c>
      <c r="B454" t="s">
        <v>912</v>
      </c>
      <c r="C454" s="143">
        <v>45371</v>
      </c>
      <c r="D454" s="142">
        <v>45372</v>
      </c>
      <c r="E454">
        <f>Tabela4[[#This Row],[DATA FATURAMENTO]]-Tabela4[[#This Row],[DATA ORÇAMENTO]]</f>
        <v>1</v>
      </c>
      <c r="F454">
        <v>10979</v>
      </c>
      <c r="G454" s="15" t="s">
        <v>22</v>
      </c>
      <c r="H454" s="54"/>
      <c r="I454" s="151">
        <v>330</v>
      </c>
      <c r="J454" s="154">
        <f>Tabela4[[#This Row],[VALOR]]-Tabela4[[#This Row],[PECAS]]</f>
        <v>110</v>
      </c>
      <c r="K454" s="150">
        <v>440</v>
      </c>
      <c r="L454" s="151">
        <v>0</v>
      </c>
      <c r="M454" s="151">
        <v>0</v>
      </c>
      <c r="N454" s="24"/>
      <c r="O454" s="151">
        <v>0</v>
      </c>
      <c r="P454" s="151">
        <v>0</v>
      </c>
      <c r="Q454" s="151">
        <v>0</v>
      </c>
      <c r="R454" s="151">
        <v>0</v>
      </c>
      <c r="S454" s="149">
        <v>0</v>
      </c>
      <c r="T454" s="151">
        <v>0</v>
      </c>
      <c r="U454" s="151">
        <v>0</v>
      </c>
      <c r="V454" s="15"/>
      <c r="W454" s="22">
        <v>0</v>
      </c>
      <c r="X454" s="149">
        <v>0</v>
      </c>
      <c r="Y454" s="15"/>
      <c r="Z454" s="155">
        <v>0</v>
      </c>
      <c r="AA454" s="149">
        <f>Tabela4[[#This Row],[VALOR]]-Tabela4[[#This Row],[PNEUS]]-Tabela4[[#This Row],[BATERIA]]</f>
        <v>440</v>
      </c>
      <c r="AB454" s="19" t="s">
        <v>24</v>
      </c>
      <c r="AC454" s="30">
        <v>0</v>
      </c>
      <c r="AD454" s="162">
        <v>0</v>
      </c>
      <c r="AE454" s="162">
        <v>0</v>
      </c>
      <c r="AF454" s="162">
        <v>0</v>
      </c>
      <c r="AG454" s="162">
        <v>0</v>
      </c>
      <c r="AH454" s="162">
        <v>0</v>
      </c>
      <c r="AI454" s="162">
        <v>0</v>
      </c>
      <c r="AJ454" s="162">
        <v>0</v>
      </c>
    </row>
    <row r="455" spans="1:36" x14ac:dyDescent="0.25">
      <c r="A455" t="s">
        <v>243</v>
      </c>
      <c r="B455" t="s">
        <v>913</v>
      </c>
      <c r="C455" s="143">
        <v>45372</v>
      </c>
      <c r="D455" s="142">
        <v>45372</v>
      </c>
      <c r="E455">
        <f>Tabela4[[#This Row],[DATA FATURAMENTO]]-Tabela4[[#This Row],[DATA ORÇAMENTO]]</f>
        <v>0</v>
      </c>
      <c r="F455">
        <v>10982</v>
      </c>
      <c r="G455" s="15" t="s">
        <v>35</v>
      </c>
      <c r="H455" s="54"/>
      <c r="I455" s="151">
        <v>0</v>
      </c>
      <c r="J455" s="154">
        <f>Tabela4[[#This Row],[VALOR]]-Tabela4[[#This Row],[PECAS]]</f>
        <v>30</v>
      </c>
      <c r="K455" s="150">
        <v>30</v>
      </c>
      <c r="L455" s="151">
        <v>0</v>
      </c>
      <c r="M455" s="151">
        <v>0</v>
      </c>
      <c r="N455" s="24"/>
      <c r="O455" s="151">
        <v>0</v>
      </c>
      <c r="P455" s="151">
        <v>0</v>
      </c>
      <c r="Q455" s="151">
        <v>0</v>
      </c>
      <c r="R455" s="151">
        <v>0</v>
      </c>
      <c r="S455" s="149">
        <v>0</v>
      </c>
      <c r="T455" s="151">
        <v>0</v>
      </c>
      <c r="U455" s="151">
        <v>0</v>
      </c>
      <c r="V455" s="15"/>
      <c r="W455" s="22">
        <v>0</v>
      </c>
      <c r="X455" s="149">
        <v>0</v>
      </c>
      <c r="Y455" s="15"/>
      <c r="Z455" s="155">
        <v>0</v>
      </c>
      <c r="AA455" s="149">
        <f>Tabela4[[#This Row],[VALOR]]-Tabela4[[#This Row],[PNEUS]]-Tabela4[[#This Row],[BATERIA]]</f>
        <v>30</v>
      </c>
      <c r="AB455" s="19" t="s">
        <v>24</v>
      </c>
      <c r="AC455" s="30">
        <v>0</v>
      </c>
      <c r="AD455" s="162">
        <v>0</v>
      </c>
      <c r="AE455" s="162">
        <v>0</v>
      </c>
      <c r="AF455" s="162">
        <v>0</v>
      </c>
      <c r="AG455" s="162">
        <v>0</v>
      </c>
      <c r="AH455" s="162">
        <v>0</v>
      </c>
      <c r="AI455" s="162">
        <v>0</v>
      </c>
      <c r="AJ455" s="162">
        <v>0</v>
      </c>
    </row>
    <row r="456" spans="1:36" x14ac:dyDescent="0.25">
      <c r="A456" t="s">
        <v>245</v>
      </c>
      <c r="B456" t="s">
        <v>914</v>
      </c>
      <c r="C456" s="143">
        <v>45372</v>
      </c>
      <c r="D456" s="142">
        <v>45372</v>
      </c>
      <c r="E456">
        <f>Tabela4[[#This Row],[DATA FATURAMENTO]]-Tabela4[[#This Row],[DATA ORÇAMENTO]]</f>
        <v>0</v>
      </c>
      <c r="F456">
        <v>10985</v>
      </c>
      <c r="G456" s="15" t="s">
        <v>22</v>
      </c>
      <c r="H456" s="54"/>
      <c r="I456" s="151">
        <v>548.79999999999995</v>
      </c>
      <c r="J456" s="154">
        <f>Tabela4[[#This Row],[VALOR]]-Tabela4[[#This Row],[PECAS]]</f>
        <v>280.20000000000005</v>
      </c>
      <c r="K456" s="150">
        <v>829</v>
      </c>
      <c r="L456" s="151">
        <v>0</v>
      </c>
      <c r="M456" s="151">
        <v>0</v>
      </c>
      <c r="N456" s="24"/>
      <c r="O456" s="151">
        <v>0</v>
      </c>
      <c r="P456" s="151">
        <v>0</v>
      </c>
      <c r="Q456" s="151">
        <v>0</v>
      </c>
      <c r="R456" s="151">
        <v>0</v>
      </c>
      <c r="S456" s="149">
        <v>170</v>
      </c>
      <c r="T456" s="151">
        <v>0</v>
      </c>
      <c r="U456" s="151">
        <v>0</v>
      </c>
      <c r="V456" s="15"/>
      <c r="W456" s="22">
        <v>4</v>
      </c>
      <c r="X456" s="149">
        <v>0</v>
      </c>
      <c r="Y456" s="15" t="s">
        <v>804</v>
      </c>
      <c r="Z456" s="155">
        <v>0</v>
      </c>
      <c r="AA456" s="149">
        <f>Tabela4[[#This Row],[VALOR]]-Tabela4[[#This Row],[PNEUS]]-Tabela4[[#This Row],[BATERIA]]</f>
        <v>829</v>
      </c>
      <c r="AB456" s="19" t="s">
        <v>27</v>
      </c>
      <c r="AC456" s="30">
        <v>0</v>
      </c>
      <c r="AD456" s="162">
        <v>0</v>
      </c>
      <c r="AE456" s="162">
        <v>0</v>
      </c>
      <c r="AF456" s="162">
        <v>0</v>
      </c>
      <c r="AG456" s="162">
        <v>0</v>
      </c>
      <c r="AH456" s="162">
        <v>0</v>
      </c>
      <c r="AI456" s="162">
        <v>0</v>
      </c>
      <c r="AJ456" s="162">
        <v>0</v>
      </c>
    </row>
    <row r="457" spans="1:36" x14ac:dyDescent="0.25">
      <c r="A457" t="s">
        <v>248</v>
      </c>
      <c r="B457" t="s">
        <v>915</v>
      </c>
      <c r="C457" s="143">
        <v>45372</v>
      </c>
      <c r="D457" s="142">
        <v>45372</v>
      </c>
      <c r="E457">
        <f>Tabela4[[#This Row],[DATA FATURAMENTO]]-Tabela4[[#This Row],[DATA ORÇAMENTO]]</f>
        <v>0</v>
      </c>
      <c r="F457">
        <v>10993</v>
      </c>
      <c r="G457" s="15" t="s">
        <v>31</v>
      </c>
      <c r="H457" s="54"/>
      <c r="I457" s="151">
        <v>300</v>
      </c>
      <c r="J457" s="154">
        <f>Tabela4[[#This Row],[VALOR]]-Tabela4[[#This Row],[PECAS]]</f>
        <v>0</v>
      </c>
      <c r="K457" s="150">
        <v>300</v>
      </c>
      <c r="L457" s="151">
        <v>0</v>
      </c>
      <c r="M457" s="151">
        <v>0</v>
      </c>
      <c r="N457" s="24"/>
      <c r="O457" s="151">
        <v>0</v>
      </c>
      <c r="P457" s="151">
        <v>0</v>
      </c>
      <c r="Q457" s="151">
        <v>0</v>
      </c>
      <c r="R457" s="151">
        <v>0</v>
      </c>
      <c r="S457" s="149">
        <v>0</v>
      </c>
      <c r="T457" s="151">
        <v>0</v>
      </c>
      <c r="U457" s="151">
        <v>0</v>
      </c>
      <c r="V457" s="15"/>
      <c r="W457" s="22">
        <v>4</v>
      </c>
      <c r="X457" s="149">
        <v>0</v>
      </c>
      <c r="Y457" s="15" t="s">
        <v>807</v>
      </c>
      <c r="Z457" s="155">
        <v>0</v>
      </c>
      <c r="AA457" s="149">
        <f>Tabela4[[#This Row],[VALOR]]-Tabela4[[#This Row],[PNEUS]]-Tabela4[[#This Row],[BATERIA]]</f>
        <v>300</v>
      </c>
      <c r="AB457" s="19" t="s">
        <v>27</v>
      </c>
      <c r="AC457" s="30">
        <v>0</v>
      </c>
      <c r="AD457" s="162">
        <v>0</v>
      </c>
      <c r="AE457" s="162">
        <v>0</v>
      </c>
      <c r="AF457" s="162">
        <v>0</v>
      </c>
      <c r="AG457" s="162">
        <v>0</v>
      </c>
      <c r="AH457" s="162">
        <v>0</v>
      </c>
      <c r="AI457" s="162">
        <v>0</v>
      </c>
      <c r="AJ457" s="162">
        <v>0</v>
      </c>
    </row>
    <row r="458" spans="1:36" x14ac:dyDescent="0.25">
      <c r="A458" t="s">
        <v>99</v>
      </c>
      <c r="B458" t="s">
        <v>916</v>
      </c>
      <c r="C458" s="143">
        <v>45372</v>
      </c>
      <c r="D458" s="142">
        <v>45373</v>
      </c>
      <c r="E458">
        <f>Tabela4[[#This Row],[DATA FATURAMENTO]]-Tabela4[[#This Row],[DATA ORÇAMENTO]]</f>
        <v>1</v>
      </c>
      <c r="F458">
        <v>10990</v>
      </c>
      <c r="G458" s="25" t="s">
        <v>22</v>
      </c>
      <c r="H458" s="25"/>
      <c r="I458" s="155">
        <v>603.20000000000005</v>
      </c>
      <c r="J458" s="154">
        <f>Tabela4[[#This Row],[VALOR]]-Tabela4[[#This Row],[PECAS]]</f>
        <v>396.79999999999995</v>
      </c>
      <c r="K458" s="150">
        <v>1000</v>
      </c>
      <c r="L458" s="155">
        <v>0</v>
      </c>
      <c r="M458" s="155">
        <v>0</v>
      </c>
      <c r="N458" s="67"/>
      <c r="O458" s="155">
        <v>0</v>
      </c>
      <c r="P458" s="155">
        <v>0</v>
      </c>
      <c r="Q458" s="155">
        <v>0</v>
      </c>
      <c r="R458" s="155">
        <v>0</v>
      </c>
      <c r="S458" s="154">
        <v>260</v>
      </c>
      <c r="T458" s="155">
        <v>0</v>
      </c>
      <c r="U458" s="155">
        <v>0</v>
      </c>
      <c r="V458" s="25"/>
      <c r="W458" s="28">
        <v>5</v>
      </c>
      <c r="X458" s="149">
        <v>0</v>
      </c>
      <c r="Y458" s="25" t="s">
        <v>807</v>
      </c>
      <c r="Z458" s="155">
        <v>0</v>
      </c>
      <c r="AA458" s="149">
        <f>Tabela4[[#This Row],[VALOR]]-Tabela4[[#This Row],[PNEUS]]-Tabela4[[#This Row],[BATERIA]]</f>
        <v>1000</v>
      </c>
      <c r="AB458" s="27" t="s">
        <v>24</v>
      </c>
      <c r="AC458" s="30">
        <v>0</v>
      </c>
      <c r="AD458" s="162">
        <v>0</v>
      </c>
      <c r="AE458" s="162">
        <v>0</v>
      </c>
      <c r="AF458" s="162">
        <v>0</v>
      </c>
      <c r="AG458" s="162">
        <v>0</v>
      </c>
      <c r="AH458" s="162">
        <v>0</v>
      </c>
      <c r="AI458" s="162">
        <v>0</v>
      </c>
      <c r="AJ458" s="162">
        <v>0</v>
      </c>
    </row>
    <row r="459" spans="1:36" x14ac:dyDescent="0.25">
      <c r="A459" t="s">
        <v>216</v>
      </c>
      <c r="B459" t="s">
        <v>917</v>
      </c>
      <c r="C459" s="143">
        <v>45369</v>
      </c>
      <c r="D459" s="142">
        <v>45373</v>
      </c>
      <c r="E459">
        <f>Tabela4[[#This Row],[DATA FATURAMENTO]]-Tabela4[[#This Row],[DATA ORÇAMENTO]]</f>
        <v>4</v>
      </c>
      <c r="F459">
        <v>10936</v>
      </c>
      <c r="G459" s="15" t="s">
        <v>22</v>
      </c>
      <c r="H459" s="54"/>
      <c r="I459" s="151">
        <v>207.7</v>
      </c>
      <c r="J459" s="154">
        <f>Tabela4[[#This Row],[VALOR]]-Tabela4[[#This Row],[PECAS]]</f>
        <v>192.3</v>
      </c>
      <c r="K459" s="150">
        <v>400</v>
      </c>
      <c r="L459" s="151">
        <v>0</v>
      </c>
      <c r="M459" s="151">
        <v>0</v>
      </c>
      <c r="N459" s="24"/>
      <c r="O459" s="151">
        <v>0</v>
      </c>
      <c r="P459" s="151">
        <v>0</v>
      </c>
      <c r="Q459" s="151">
        <v>0</v>
      </c>
      <c r="R459" s="151">
        <v>0</v>
      </c>
      <c r="S459" s="149">
        <v>0</v>
      </c>
      <c r="T459" s="151">
        <v>0</v>
      </c>
      <c r="U459" s="151">
        <v>0</v>
      </c>
      <c r="V459" s="15"/>
      <c r="W459" s="22">
        <v>0</v>
      </c>
      <c r="X459" s="149">
        <v>0</v>
      </c>
      <c r="Y459" s="15"/>
      <c r="Z459" s="155">
        <v>0</v>
      </c>
      <c r="AA459" s="149">
        <f>Tabela4[[#This Row],[VALOR]]-Tabela4[[#This Row],[PNEUS]]-Tabela4[[#This Row],[BATERIA]]</f>
        <v>400</v>
      </c>
      <c r="AB459" s="19" t="s">
        <v>32</v>
      </c>
      <c r="AC459" s="30">
        <v>0</v>
      </c>
      <c r="AD459" s="162">
        <v>0</v>
      </c>
      <c r="AE459" s="162">
        <v>0</v>
      </c>
      <c r="AF459" s="162">
        <v>0</v>
      </c>
      <c r="AG459" s="162">
        <v>0</v>
      </c>
      <c r="AH459" s="162">
        <v>0</v>
      </c>
      <c r="AI459" s="162">
        <v>0</v>
      </c>
      <c r="AJ459" s="162">
        <v>0</v>
      </c>
    </row>
    <row r="460" spans="1:36" x14ac:dyDescent="0.25">
      <c r="A460" t="s">
        <v>918</v>
      </c>
      <c r="B460" t="s">
        <v>919</v>
      </c>
      <c r="C460" s="143">
        <v>45369</v>
      </c>
      <c r="D460" s="142">
        <v>45373</v>
      </c>
      <c r="E460">
        <f>Tabela4[[#This Row],[DATA FATURAMENTO]]-Tabela4[[#This Row],[DATA ORÇAMENTO]]</f>
        <v>4</v>
      </c>
      <c r="F460">
        <v>10942</v>
      </c>
      <c r="G460" s="15" t="s">
        <v>6</v>
      </c>
      <c r="H460" s="54"/>
      <c r="I460" s="151">
        <v>799.7</v>
      </c>
      <c r="J460" s="154">
        <f>Tabela4[[#This Row],[VALOR]]-Tabela4[[#This Row],[PECAS]]</f>
        <v>9.9999999999909051E-3</v>
      </c>
      <c r="K460" s="150">
        <v>799.71</v>
      </c>
      <c r="L460" s="151">
        <v>0</v>
      </c>
      <c r="M460" s="151">
        <v>0</v>
      </c>
      <c r="N460" s="24"/>
      <c r="O460" s="151">
        <v>0</v>
      </c>
      <c r="P460" s="151">
        <v>0</v>
      </c>
      <c r="Q460" s="151">
        <v>0</v>
      </c>
      <c r="R460" s="151">
        <v>0</v>
      </c>
      <c r="S460" s="149">
        <v>0</v>
      </c>
      <c r="T460" s="151">
        <v>0</v>
      </c>
      <c r="U460" s="151">
        <v>799.71</v>
      </c>
      <c r="V460" s="15" t="s">
        <v>808</v>
      </c>
      <c r="W460" s="22">
        <v>0</v>
      </c>
      <c r="X460" s="149">
        <v>0</v>
      </c>
      <c r="Y460" s="15"/>
      <c r="Z460" s="155">
        <v>0</v>
      </c>
      <c r="AA460" s="149">
        <f>Tabela4[[#This Row],[VALOR]]-Tabela4[[#This Row],[PNEUS]]-Tabela4[[#This Row],[BATERIA]]</f>
        <v>0</v>
      </c>
      <c r="AB460" s="19" t="s">
        <v>6</v>
      </c>
      <c r="AC460" s="30">
        <v>0</v>
      </c>
      <c r="AD460" s="162">
        <v>0</v>
      </c>
      <c r="AE460" s="162">
        <v>0</v>
      </c>
      <c r="AF460" s="162">
        <v>0</v>
      </c>
      <c r="AG460" s="162">
        <v>0</v>
      </c>
      <c r="AH460" s="162">
        <v>0</v>
      </c>
      <c r="AI460" s="162">
        <v>0</v>
      </c>
      <c r="AJ460" s="162">
        <v>0</v>
      </c>
    </row>
    <row r="461" spans="1:36" x14ac:dyDescent="0.25">
      <c r="A461" t="s">
        <v>920</v>
      </c>
      <c r="B461" t="s">
        <v>921</v>
      </c>
      <c r="C461" s="143">
        <v>45369</v>
      </c>
      <c r="D461" s="142">
        <v>45373</v>
      </c>
      <c r="E461">
        <f>Tabela4[[#This Row],[DATA FATURAMENTO]]-Tabela4[[#This Row],[DATA ORÇAMENTO]]</f>
        <v>4</v>
      </c>
      <c r="F461">
        <v>10946</v>
      </c>
      <c r="G461" s="15" t="s">
        <v>6</v>
      </c>
      <c r="H461" s="54"/>
      <c r="I461" s="151">
        <v>533.5</v>
      </c>
      <c r="J461" s="154">
        <f>Tabela4[[#This Row],[VALOR]]-Tabela4[[#This Row],[PECAS]]</f>
        <v>9.9999999999909051E-3</v>
      </c>
      <c r="K461" s="150">
        <v>533.51</v>
      </c>
      <c r="L461" s="151">
        <v>0</v>
      </c>
      <c r="M461" s="151">
        <v>0</v>
      </c>
      <c r="N461" s="24"/>
      <c r="O461" s="151">
        <v>0</v>
      </c>
      <c r="P461" s="151">
        <v>0</v>
      </c>
      <c r="Q461" s="151">
        <v>0</v>
      </c>
      <c r="R461" s="151">
        <v>0</v>
      </c>
      <c r="S461" s="149">
        <v>0</v>
      </c>
      <c r="T461" s="151">
        <v>0</v>
      </c>
      <c r="U461" s="151">
        <v>533.51</v>
      </c>
      <c r="V461" s="15" t="s">
        <v>711</v>
      </c>
      <c r="W461" s="22">
        <v>0</v>
      </c>
      <c r="X461" s="149">
        <v>0</v>
      </c>
      <c r="Y461" s="15"/>
      <c r="Z461" s="155">
        <v>0</v>
      </c>
      <c r="AA461" s="149">
        <f>Tabela4[[#This Row],[VALOR]]-Tabela4[[#This Row],[PNEUS]]-Tabela4[[#This Row],[BATERIA]]</f>
        <v>0</v>
      </c>
      <c r="AB461" s="19" t="s">
        <v>6</v>
      </c>
      <c r="AC461" s="30">
        <v>0</v>
      </c>
      <c r="AD461" s="162">
        <v>0</v>
      </c>
      <c r="AE461" s="162">
        <v>0</v>
      </c>
      <c r="AF461" s="162">
        <v>0</v>
      </c>
      <c r="AG461" s="162">
        <v>0</v>
      </c>
      <c r="AH461" s="162">
        <v>0</v>
      </c>
      <c r="AI461" s="162">
        <v>0</v>
      </c>
      <c r="AJ461" s="162">
        <v>0</v>
      </c>
    </row>
    <row r="462" spans="1:36" x14ac:dyDescent="0.25">
      <c r="A462" t="s">
        <v>922</v>
      </c>
      <c r="B462" t="s">
        <v>923</v>
      </c>
      <c r="C462" s="143">
        <v>45370</v>
      </c>
      <c r="D462" s="142">
        <v>45373</v>
      </c>
      <c r="E462">
        <f>Tabela4[[#This Row],[DATA FATURAMENTO]]-Tabela4[[#This Row],[DATA ORÇAMENTO]]</f>
        <v>3</v>
      </c>
      <c r="F462">
        <v>10967</v>
      </c>
      <c r="G462" s="15" t="s">
        <v>6</v>
      </c>
      <c r="H462" s="54"/>
      <c r="I462" s="151">
        <v>522.5</v>
      </c>
      <c r="J462" s="154">
        <f>Tabela4[[#This Row],[VALOR]]-Tabela4[[#This Row],[PECAS]]</f>
        <v>9.9999999999909051E-3</v>
      </c>
      <c r="K462" s="150">
        <v>522.51</v>
      </c>
      <c r="L462" s="151">
        <v>0</v>
      </c>
      <c r="M462" s="151">
        <v>0</v>
      </c>
      <c r="N462" s="24"/>
      <c r="O462" s="151">
        <v>0</v>
      </c>
      <c r="P462" s="151">
        <v>0</v>
      </c>
      <c r="Q462" s="151">
        <v>0</v>
      </c>
      <c r="R462" s="151">
        <v>0</v>
      </c>
      <c r="S462" s="149">
        <v>0</v>
      </c>
      <c r="T462" s="151">
        <v>0</v>
      </c>
      <c r="U462" s="151">
        <v>522.51</v>
      </c>
      <c r="V462" s="15" t="s">
        <v>640</v>
      </c>
      <c r="W462" s="22">
        <v>0</v>
      </c>
      <c r="X462" s="149">
        <v>0</v>
      </c>
      <c r="Y462" s="15"/>
      <c r="Z462" s="155">
        <v>0</v>
      </c>
      <c r="AA462" s="149">
        <f>Tabela4[[#This Row],[VALOR]]-Tabela4[[#This Row],[PNEUS]]-Tabela4[[#This Row],[BATERIA]]</f>
        <v>0</v>
      </c>
      <c r="AB462" s="19" t="s">
        <v>6</v>
      </c>
      <c r="AC462" s="30">
        <v>0</v>
      </c>
      <c r="AD462" s="162">
        <v>0</v>
      </c>
      <c r="AE462" s="162">
        <v>0</v>
      </c>
      <c r="AF462" s="162">
        <v>0</v>
      </c>
      <c r="AG462" s="162">
        <v>0</v>
      </c>
      <c r="AH462" s="162">
        <v>0</v>
      </c>
      <c r="AI462" s="162">
        <v>0</v>
      </c>
      <c r="AJ462" s="162">
        <v>0</v>
      </c>
    </row>
    <row r="463" spans="1:36" x14ac:dyDescent="0.25">
      <c r="A463" t="s">
        <v>924</v>
      </c>
      <c r="B463" t="s">
        <v>925</v>
      </c>
      <c r="C463" s="143">
        <v>45371</v>
      </c>
      <c r="D463" s="142">
        <v>45373</v>
      </c>
      <c r="E463">
        <f>Tabela4[[#This Row],[DATA FATURAMENTO]]-Tabela4[[#This Row],[DATA ORÇAMENTO]]</f>
        <v>2</v>
      </c>
      <c r="F463">
        <v>10978</v>
      </c>
      <c r="G463" s="15" t="s">
        <v>6</v>
      </c>
      <c r="H463" s="54"/>
      <c r="I463" s="151">
        <v>511.5</v>
      </c>
      <c r="J463" s="154">
        <f>Tabela4[[#This Row],[VALOR]]-Tabela4[[#This Row],[PECAS]]</f>
        <v>9.9999999999909051E-3</v>
      </c>
      <c r="K463" s="150">
        <v>511.51</v>
      </c>
      <c r="L463" s="151">
        <v>0</v>
      </c>
      <c r="M463" s="151">
        <v>0</v>
      </c>
      <c r="N463" s="24"/>
      <c r="O463" s="151">
        <v>0</v>
      </c>
      <c r="P463" s="151">
        <v>0</v>
      </c>
      <c r="Q463" s="151">
        <v>0</v>
      </c>
      <c r="R463" s="151">
        <v>0</v>
      </c>
      <c r="S463" s="149">
        <v>0</v>
      </c>
      <c r="T463" s="151">
        <v>0</v>
      </c>
      <c r="U463" s="151">
        <v>511.51</v>
      </c>
      <c r="V463" s="15" t="s">
        <v>637</v>
      </c>
      <c r="W463" s="22">
        <v>0</v>
      </c>
      <c r="X463" s="149">
        <v>0</v>
      </c>
      <c r="Y463" s="15"/>
      <c r="Z463" s="155">
        <v>0</v>
      </c>
      <c r="AA463" s="149">
        <f>Tabela4[[#This Row],[VALOR]]-Tabela4[[#This Row],[PNEUS]]-Tabela4[[#This Row],[BATERIA]]</f>
        <v>0</v>
      </c>
      <c r="AB463" s="19" t="s">
        <v>6</v>
      </c>
      <c r="AC463" s="30">
        <v>0</v>
      </c>
      <c r="AD463" s="162">
        <v>0</v>
      </c>
      <c r="AE463" s="162">
        <v>0</v>
      </c>
      <c r="AF463" s="162">
        <v>0</v>
      </c>
      <c r="AG463" s="162">
        <v>0</v>
      </c>
      <c r="AH463" s="162">
        <v>0</v>
      </c>
      <c r="AI463" s="162">
        <v>0</v>
      </c>
      <c r="AJ463" s="162">
        <v>0</v>
      </c>
    </row>
    <row r="464" spans="1:36" x14ac:dyDescent="0.25">
      <c r="A464" t="s">
        <v>926</v>
      </c>
      <c r="B464" t="s">
        <v>927</v>
      </c>
      <c r="C464" s="143">
        <v>45372</v>
      </c>
      <c r="D464" s="142">
        <v>45373</v>
      </c>
      <c r="E464">
        <f>Tabela4[[#This Row],[DATA FATURAMENTO]]-Tabela4[[#This Row],[DATA ORÇAMENTO]]</f>
        <v>1</v>
      </c>
      <c r="F464">
        <v>10986</v>
      </c>
      <c r="G464" s="15" t="s">
        <v>6</v>
      </c>
      <c r="H464" s="54"/>
      <c r="I464" s="151">
        <v>522.5</v>
      </c>
      <c r="J464" s="154">
        <f>Tabela4[[#This Row],[VALOR]]-Tabela4[[#This Row],[PECAS]]</f>
        <v>9.9999999999909051E-3</v>
      </c>
      <c r="K464" s="150">
        <v>522.51</v>
      </c>
      <c r="L464" s="151">
        <v>0</v>
      </c>
      <c r="M464" s="151">
        <v>0</v>
      </c>
      <c r="N464" s="24"/>
      <c r="O464" s="151">
        <v>0</v>
      </c>
      <c r="P464" s="151">
        <v>0</v>
      </c>
      <c r="Q464" s="151">
        <v>0</v>
      </c>
      <c r="R464" s="151">
        <v>0</v>
      </c>
      <c r="S464" s="149">
        <v>0</v>
      </c>
      <c r="T464" s="151">
        <v>0</v>
      </c>
      <c r="U464" s="151">
        <v>522.51</v>
      </c>
      <c r="V464" s="15" t="s">
        <v>707</v>
      </c>
      <c r="W464" s="22">
        <v>0</v>
      </c>
      <c r="X464" s="149">
        <v>0</v>
      </c>
      <c r="Y464" s="15"/>
      <c r="Z464" s="155">
        <v>0</v>
      </c>
      <c r="AA464" s="149">
        <f>Tabela4[[#This Row],[VALOR]]-Tabela4[[#This Row],[PNEUS]]-Tabela4[[#This Row],[BATERIA]]</f>
        <v>0</v>
      </c>
      <c r="AB464" s="19" t="s">
        <v>6</v>
      </c>
      <c r="AC464" s="30">
        <v>0</v>
      </c>
      <c r="AD464" s="162">
        <v>0</v>
      </c>
      <c r="AE464" s="162">
        <v>0</v>
      </c>
      <c r="AF464" s="162">
        <v>0</v>
      </c>
      <c r="AG464" s="162">
        <v>0</v>
      </c>
      <c r="AH464" s="162">
        <v>0</v>
      </c>
      <c r="AI464" s="162">
        <v>0</v>
      </c>
      <c r="AJ464" s="162">
        <v>0</v>
      </c>
    </row>
    <row r="465" spans="1:36" x14ac:dyDescent="0.25">
      <c r="A465" t="s">
        <v>928</v>
      </c>
      <c r="B465" t="s">
        <v>929</v>
      </c>
      <c r="C465" s="143">
        <v>45372</v>
      </c>
      <c r="D465" s="142">
        <v>45373</v>
      </c>
      <c r="E465">
        <f>Tabela4[[#This Row],[DATA FATURAMENTO]]-Tabela4[[#This Row],[DATA ORÇAMENTO]]</f>
        <v>1</v>
      </c>
      <c r="F465">
        <v>10992</v>
      </c>
      <c r="G465" s="15" t="s">
        <v>31</v>
      </c>
      <c r="H465" s="54"/>
      <c r="I465" s="151">
        <v>60</v>
      </c>
      <c r="J465" s="154">
        <f>Tabela4[[#This Row],[VALOR]]-Tabela4[[#This Row],[PECAS]]</f>
        <v>170</v>
      </c>
      <c r="K465" s="150">
        <v>230</v>
      </c>
      <c r="L465" s="151">
        <v>0</v>
      </c>
      <c r="M465" s="151">
        <v>0</v>
      </c>
      <c r="N465" s="24"/>
      <c r="O465" s="151">
        <v>0</v>
      </c>
      <c r="P465" s="151">
        <v>0</v>
      </c>
      <c r="Q465" s="151">
        <v>0</v>
      </c>
      <c r="R465" s="151">
        <v>0</v>
      </c>
      <c r="S465" s="149">
        <v>0</v>
      </c>
      <c r="T465" s="151">
        <v>0</v>
      </c>
      <c r="U465" s="151">
        <v>0</v>
      </c>
      <c r="V465" s="15"/>
      <c r="W465" s="22">
        <v>0</v>
      </c>
      <c r="X465" s="149">
        <v>0</v>
      </c>
      <c r="Y465" s="15"/>
      <c r="Z465" s="155">
        <v>0</v>
      </c>
      <c r="AA465" s="149">
        <f>Tabela4[[#This Row],[VALOR]]-Tabela4[[#This Row],[PNEUS]]-Tabela4[[#This Row],[BATERIA]]</f>
        <v>230</v>
      </c>
      <c r="AB465" s="19" t="s">
        <v>27</v>
      </c>
      <c r="AC465" s="30">
        <v>0</v>
      </c>
      <c r="AD465" s="162">
        <v>0</v>
      </c>
      <c r="AE465" s="162">
        <v>0</v>
      </c>
      <c r="AF465" s="162">
        <v>0</v>
      </c>
      <c r="AG465" s="162">
        <v>0</v>
      </c>
      <c r="AH465" s="162">
        <v>0</v>
      </c>
      <c r="AI465" s="162">
        <v>0</v>
      </c>
      <c r="AJ465" s="162">
        <v>0</v>
      </c>
    </row>
    <row r="466" spans="1:36" x14ac:dyDescent="0.25">
      <c r="A466" t="s">
        <v>249</v>
      </c>
      <c r="B466" t="s">
        <v>930</v>
      </c>
      <c r="C466" s="143">
        <v>45372</v>
      </c>
      <c r="D466" s="142">
        <v>45373</v>
      </c>
      <c r="E466">
        <f>Tabela4[[#This Row],[DATA FATURAMENTO]]-Tabela4[[#This Row],[DATA ORÇAMENTO]]</f>
        <v>1</v>
      </c>
      <c r="F466">
        <v>10994</v>
      </c>
      <c r="G466" s="15" t="s">
        <v>31</v>
      </c>
      <c r="H466" s="54"/>
      <c r="I466" s="151">
        <v>0</v>
      </c>
      <c r="J466" s="154">
        <f>Tabela4[[#This Row],[VALOR]]-Tabela4[[#This Row],[PECAS]]</f>
        <v>190</v>
      </c>
      <c r="K466" s="150">
        <v>190</v>
      </c>
      <c r="L466" s="151">
        <v>0</v>
      </c>
      <c r="M466" s="151">
        <v>0</v>
      </c>
      <c r="N466" s="24"/>
      <c r="O466" s="151">
        <v>0</v>
      </c>
      <c r="P466" s="151">
        <v>0</v>
      </c>
      <c r="Q466" s="151">
        <v>0</v>
      </c>
      <c r="R466" s="151">
        <v>0</v>
      </c>
      <c r="S466" s="149">
        <v>0</v>
      </c>
      <c r="T466" s="151">
        <v>0</v>
      </c>
      <c r="U466" s="151">
        <v>0</v>
      </c>
      <c r="V466" s="15"/>
      <c r="W466" s="22">
        <v>0</v>
      </c>
      <c r="X466" s="149">
        <v>0</v>
      </c>
      <c r="Y466" s="15"/>
      <c r="Z466" s="155">
        <v>0</v>
      </c>
      <c r="AA466" s="149">
        <f>Tabela4[[#This Row],[VALOR]]-Tabela4[[#This Row],[PNEUS]]-Tabela4[[#This Row],[BATERIA]]</f>
        <v>190</v>
      </c>
      <c r="AB466" s="19" t="s">
        <v>27</v>
      </c>
      <c r="AC466" s="30">
        <v>0</v>
      </c>
      <c r="AD466" s="162">
        <v>0</v>
      </c>
      <c r="AE466" s="162">
        <v>0</v>
      </c>
      <c r="AF466" s="162">
        <v>0</v>
      </c>
      <c r="AG466" s="162">
        <v>0</v>
      </c>
      <c r="AH466" s="162">
        <v>0</v>
      </c>
      <c r="AI466" s="162">
        <v>0</v>
      </c>
      <c r="AJ466" s="162">
        <v>0</v>
      </c>
    </row>
    <row r="467" spans="1:36" x14ac:dyDescent="0.25">
      <c r="A467" t="s">
        <v>931</v>
      </c>
      <c r="B467" t="s">
        <v>932</v>
      </c>
      <c r="C467" s="143">
        <v>45372</v>
      </c>
      <c r="D467" s="142">
        <v>45373</v>
      </c>
      <c r="E467">
        <f>Tabela4[[#This Row],[DATA FATURAMENTO]]-Tabela4[[#This Row],[DATA ORÇAMENTO]]</f>
        <v>1</v>
      </c>
      <c r="F467">
        <v>10996</v>
      </c>
      <c r="G467" s="15" t="s">
        <v>6</v>
      </c>
      <c r="H467" s="54"/>
      <c r="I467" s="151">
        <v>557.59</v>
      </c>
      <c r="J467" s="154">
        <f>Tabela4[[#This Row],[VALOR]]-Tabela4[[#This Row],[PECAS]]</f>
        <v>9.9999999999909051E-3</v>
      </c>
      <c r="K467" s="150">
        <v>557.6</v>
      </c>
      <c r="L467" s="151">
        <v>0</v>
      </c>
      <c r="M467" s="151">
        <v>0</v>
      </c>
      <c r="N467" s="24"/>
      <c r="O467" s="151">
        <v>0</v>
      </c>
      <c r="P467" s="151">
        <v>0</v>
      </c>
      <c r="Q467" s="151">
        <v>0</v>
      </c>
      <c r="R467" s="151">
        <v>0</v>
      </c>
      <c r="S467" s="149">
        <v>0</v>
      </c>
      <c r="T467" s="151">
        <v>0</v>
      </c>
      <c r="U467" s="151">
        <v>557.6</v>
      </c>
      <c r="V467" s="15" t="s">
        <v>664</v>
      </c>
      <c r="W467" s="22">
        <v>0</v>
      </c>
      <c r="X467" s="149">
        <v>0</v>
      </c>
      <c r="Y467" s="15"/>
      <c r="Z467" s="155">
        <v>0</v>
      </c>
      <c r="AA467" s="149">
        <f>Tabela4[[#This Row],[VALOR]]-Tabela4[[#This Row],[PNEUS]]-Tabela4[[#This Row],[BATERIA]]</f>
        <v>0</v>
      </c>
      <c r="AB467" s="19" t="s">
        <v>6</v>
      </c>
      <c r="AC467" s="30">
        <v>0</v>
      </c>
      <c r="AD467" s="162">
        <v>0</v>
      </c>
      <c r="AE467" s="162">
        <v>0</v>
      </c>
      <c r="AF467" s="162">
        <v>0</v>
      </c>
      <c r="AG467" s="162">
        <v>0</v>
      </c>
      <c r="AH467" s="162">
        <v>0</v>
      </c>
      <c r="AI467" s="162">
        <v>0</v>
      </c>
      <c r="AJ467" s="162">
        <v>0</v>
      </c>
    </row>
    <row r="468" spans="1:36" x14ac:dyDescent="0.25">
      <c r="A468" t="s">
        <v>933</v>
      </c>
      <c r="B468" t="s">
        <v>934</v>
      </c>
      <c r="C468" s="143">
        <v>45372</v>
      </c>
      <c r="D468" s="142">
        <v>45373</v>
      </c>
      <c r="E468">
        <f>Tabela4[[#This Row],[DATA FATURAMENTO]]-Tabela4[[#This Row],[DATA ORÇAMENTO]]</f>
        <v>1</v>
      </c>
      <c r="F468">
        <v>10998</v>
      </c>
      <c r="G468" s="15" t="s">
        <v>6</v>
      </c>
      <c r="H468" s="54"/>
      <c r="I468" s="151">
        <v>1152.8</v>
      </c>
      <c r="J468" s="154">
        <f>Tabela4[[#This Row],[VALOR]]-Tabela4[[#This Row],[PECAS]]</f>
        <v>9.9999999999909051E-3</v>
      </c>
      <c r="K468" s="150">
        <v>1152.81</v>
      </c>
      <c r="L468" s="151">
        <v>0</v>
      </c>
      <c r="M468" s="151">
        <v>0</v>
      </c>
      <c r="N468" s="24"/>
      <c r="O468" s="151">
        <v>0</v>
      </c>
      <c r="P468" s="151">
        <v>0</v>
      </c>
      <c r="Q468" s="151">
        <v>0</v>
      </c>
      <c r="R468" s="151">
        <v>0</v>
      </c>
      <c r="S468" s="149">
        <v>0</v>
      </c>
      <c r="T468" s="151">
        <v>0</v>
      </c>
      <c r="U468" s="151">
        <v>1152.81</v>
      </c>
      <c r="V468" s="15" t="s">
        <v>642</v>
      </c>
      <c r="W468" s="22">
        <v>0</v>
      </c>
      <c r="X468" s="149">
        <v>0</v>
      </c>
      <c r="Y468" s="15"/>
      <c r="Z468" s="155">
        <v>0</v>
      </c>
      <c r="AA468" s="149">
        <f>Tabela4[[#This Row],[VALOR]]-Tabela4[[#This Row],[PNEUS]]-Tabela4[[#This Row],[BATERIA]]</f>
        <v>0</v>
      </c>
      <c r="AB468" s="19" t="s">
        <v>6</v>
      </c>
      <c r="AC468" s="30">
        <v>0</v>
      </c>
      <c r="AD468" s="162">
        <v>0</v>
      </c>
      <c r="AE468" s="162">
        <v>0</v>
      </c>
      <c r="AF468" s="162">
        <v>0</v>
      </c>
      <c r="AG468" s="162">
        <v>0</v>
      </c>
      <c r="AH468" s="162">
        <v>0</v>
      </c>
      <c r="AI468" s="162">
        <v>0</v>
      </c>
      <c r="AJ468" s="162">
        <v>0</v>
      </c>
    </row>
    <row r="469" spans="1:36" x14ac:dyDescent="0.25">
      <c r="A469" t="s">
        <v>254</v>
      </c>
      <c r="B469" t="s">
        <v>891</v>
      </c>
      <c r="C469" s="143">
        <v>45373</v>
      </c>
      <c r="D469" s="142">
        <v>45373</v>
      </c>
      <c r="E469">
        <f>Tabela4[[#This Row],[DATA FATURAMENTO]]-Tabela4[[#This Row],[DATA ORÇAMENTO]]</f>
        <v>0</v>
      </c>
      <c r="F469">
        <v>10999</v>
      </c>
      <c r="G469" s="15" t="s">
        <v>39</v>
      </c>
      <c r="H469" s="54" t="s">
        <v>44</v>
      </c>
      <c r="I469" s="151">
        <v>20</v>
      </c>
      <c r="J469" s="154">
        <f>Tabela4[[#This Row],[VALOR]]-Tabela4[[#This Row],[PECAS]]</f>
        <v>120.00999999999999</v>
      </c>
      <c r="K469" s="150">
        <v>140.01</v>
      </c>
      <c r="L469" s="151">
        <v>0</v>
      </c>
      <c r="M469" s="151">
        <v>0</v>
      </c>
      <c r="N469" s="24"/>
      <c r="O469" s="151">
        <v>0</v>
      </c>
      <c r="P469" s="151">
        <v>0</v>
      </c>
      <c r="Q469" s="151">
        <v>0</v>
      </c>
      <c r="R469" s="151">
        <v>0</v>
      </c>
      <c r="S469" s="149">
        <v>0</v>
      </c>
      <c r="T469" s="151">
        <v>0</v>
      </c>
      <c r="U469" s="151">
        <v>0</v>
      </c>
      <c r="V469" s="15"/>
      <c r="W469" s="22">
        <v>0</v>
      </c>
      <c r="X469" s="149">
        <v>0</v>
      </c>
      <c r="Y469" s="15"/>
      <c r="Z469" s="155">
        <v>0</v>
      </c>
      <c r="AA469" s="149">
        <f>Tabela4[[#This Row],[VALOR]]-Tabela4[[#This Row],[PNEUS]]-Tabela4[[#This Row],[BATERIA]]</f>
        <v>140.01</v>
      </c>
      <c r="AB469" s="19" t="s">
        <v>27</v>
      </c>
      <c r="AC469" s="30">
        <v>0</v>
      </c>
      <c r="AD469" s="162">
        <v>0</v>
      </c>
      <c r="AE469" s="162">
        <v>0</v>
      </c>
      <c r="AF469" s="162">
        <v>0</v>
      </c>
      <c r="AG469" s="162">
        <v>0</v>
      </c>
      <c r="AH469" s="162">
        <v>0</v>
      </c>
      <c r="AI469" s="162">
        <v>0</v>
      </c>
      <c r="AJ469" s="162">
        <v>0</v>
      </c>
    </row>
    <row r="470" spans="1:36" x14ac:dyDescent="0.25">
      <c r="A470" t="s">
        <v>935</v>
      </c>
      <c r="B470" t="s">
        <v>936</v>
      </c>
      <c r="C470" s="143">
        <v>45373</v>
      </c>
      <c r="D470" s="142">
        <v>45373</v>
      </c>
      <c r="E470">
        <f>Tabela4[[#This Row],[DATA FATURAMENTO]]-Tabela4[[#This Row],[DATA ORÇAMENTO]]</f>
        <v>0</v>
      </c>
      <c r="F470">
        <v>11001</v>
      </c>
      <c r="G470" s="15" t="s">
        <v>6</v>
      </c>
      <c r="H470" s="54"/>
      <c r="I470" s="151">
        <v>522.5</v>
      </c>
      <c r="J470" s="154">
        <f>Tabela4[[#This Row],[VALOR]]-Tabela4[[#This Row],[PECAS]]</f>
        <v>9.9999999999909051E-3</v>
      </c>
      <c r="K470" s="150">
        <v>522.51</v>
      </c>
      <c r="L470" s="151">
        <v>0</v>
      </c>
      <c r="M470" s="151">
        <v>0</v>
      </c>
      <c r="N470" s="24"/>
      <c r="O470" s="151">
        <v>0</v>
      </c>
      <c r="P470" s="151">
        <v>0</v>
      </c>
      <c r="Q470" s="151">
        <v>0</v>
      </c>
      <c r="R470" s="151">
        <v>0</v>
      </c>
      <c r="S470" s="149">
        <v>0</v>
      </c>
      <c r="T470" s="151">
        <v>0</v>
      </c>
      <c r="U470" s="151">
        <v>522.51</v>
      </c>
      <c r="V470" s="15" t="s">
        <v>640</v>
      </c>
      <c r="W470" s="22">
        <v>0</v>
      </c>
      <c r="X470" s="149">
        <v>0</v>
      </c>
      <c r="Y470" s="15"/>
      <c r="Z470" s="155">
        <v>0</v>
      </c>
      <c r="AA470" s="149">
        <f>Tabela4[[#This Row],[VALOR]]-Tabela4[[#This Row],[PNEUS]]-Tabela4[[#This Row],[BATERIA]]</f>
        <v>0</v>
      </c>
      <c r="AB470" s="19" t="s">
        <v>6</v>
      </c>
      <c r="AC470" s="30">
        <v>0</v>
      </c>
      <c r="AD470" s="162">
        <v>0</v>
      </c>
      <c r="AE470" s="162">
        <v>0</v>
      </c>
      <c r="AF470" s="162">
        <v>0</v>
      </c>
      <c r="AG470" s="162">
        <v>0</v>
      </c>
      <c r="AH470" s="162">
        <v>0</v>
      </c>
      <c r="AI470" s="162">
        <v>0</v>
      </c>
      <c r="AJ470" s="162">
        <v>0</v>
      </c>
    </row>
    <row r="471" spans="1:36" x14ac:dyDescent="0.25">
      <c r="A471" t="s">
        <v>937</v>
      </c>
      <c r="B471" t="s">
        <v>938</v>
      </c>
      <c r="C471" s="143">
        <v>45373</v>
      </c>
      <c r="D471" s="142">
        <v>45373</v>
      </c>
      <c r="E471">
        <f>Tabela4[[#This Row],[DATA FATURAMENTO]]-Tabela4[[#This Row],[DATA ORÇAMENTO]]</f>
        <v>0</v>
      </c>
      <c r="F471">
        <v>11005</v>
      </c>
      <c r="G471" s="15" t="s">
        <v>6</v>
      </c>
      <c r="H471" s="54"/>
      <c r="I471" s="151">
        <v>535</v>
      </c>
      <c r="J471" s="154">
        <f>Tabela4[[#This Row],[VALOR]]-Tabela4[[#This Row],[PECAS]]</f>
        <v>9.9999999999909051E-3</v>
      </c>
      <c r="K471" s="150">
        <v>535.01</v>
      </c>
      <c r="L471" s="151">
        <v>0</v>
      </c>
      <c r="M471" s="151">
        <v>0</v>
      </c>
      <c r="N471" s="24"/>
      <c r="O471" s="151">
        <v>0</v>
      </c>
      <c r="P471" s="151">
        <v>0</v>
      </c>
      <c r="Q471" s="151">
        <v>0</v>
      </c>
      <c r="R471" s="151">
        <v>0</v>
      </c>
      <c r="S471" s="149">
        <v>0</v>
      </c>
      <c r="T471" s="151">
        <v>0</v>
      </c>
      <c r="U471" s="151">
        <v>535.01</v>
      </c>
      <c r="V471" s="15" t="s">
        <v>806</v>
      </c>
      <c r="W471" s="22">
        <v>0</v>
      </c>
      <c r="X471" s="149">
        <v>0</v>
      </c>
      <c r="Y471" s="15"/>
      <c r="Z471" s="155">
        <v>0</v>
      </c>
      <c r="AA471" s="149">
        <f>Tabela4[[#This Row],[VALOR]]-Tabela4[[#This Row],[PNEUS]]-Tabela4[[#This Row],[BATERIA]]</f>
        <v>0</v>
      </c>
      <c r="AB471" s="19" t="s">
        <v>6</v>
      </c>
      <c r="AC471" s="30">
        <v>0</v>
      </c>
      <c r="AD471" s="162">
        <v>0</v>
      </c>
      <c r="AE471" s="162">
        <v>0</v>
      </c>
      <c r="AF471" s="162">
        <v>0</v>
      </c>
      <c r="AG471" s="162">
        <v>0</v>
      </c>
      <c r="AH471" s="162">
        <v>0</v>
      </c>
      <c r="AI471" s="162">
        <v>0</v>
      </c>
      <c r="AJ471" s="162">
        <v>0</v>
      </c>
    </row>
    <row r="472" spans="1:36" x14ac:dyDescent="0.25">
      <c r="A472" t="s">
        <v>256</v>
      </c>
      <c r="B472" t="s">
        <v>939</v>
      </c>
      <c r="C472" s="143">
        <v>45373</v>
      </c>
      <c r="D472" s="142">
        <v>45373</v>
      </c>
      <c r="E472">
        <f>Tabela4[[#This Row],[DATA FATURAMENTO]]-Tabela4[[#This Row],[DATA ORÇAMENTO]]</f>
        <v>0</v>
      </c>
      <c r="F472">
        <v>11006</v>
      </c>
      <c r="G472" s="15" t="s">
        <v>22</v>
      </c>
      <c r="H472" s="54"/>
      <c r="I472" s="151">
        <v>280</v>
      </c>
      <c r="J472" s="154">
        <f>Tabela4[[#This Row],[VALOR]]-Tabela4[[#This Row],[PECAS]]</f>
        <v>0</v>
      </c>
      <c r="K472" s="150">
        <v>280</v>
      </c>
      <c r="L472" s="151">
        <v>0</v>
      </c>
      <c r="M472" s="151">
        <v>0</v>
      </c>
      <c r="N472" s="24"/>
      <c r="O472" s="151">
        <v>0</v>
      </c>
      <c r="P472" s="151">
        <v>0</v>
      </c>
      <c r="Q472" s="151">
        <v>0</v>
      </c>
      <c r="R472" s="151">
        <v>0</v>
      </c>
      <c r="S472" s="149">
        <v>0</v>
      </c>
      <c r="T472" s="151">
        <v>0</v>
      </c>
      <c r="U472" s="151">
        <v>0</v>
      </c>
      <c r="V472" s="15"/>
      <c r="W472" s="22">
        <v>4</v>
      </c>
      <c r="X472" s="149">
        <v>0</v>
      </c>
      <c r="Y472" s="15" t="s">
        <v>805</v>
      </c>
      <c r="Z472" s="155">
        <v>0</v>
      </c>
      <c r="AA472" s="149">
        <f>Tabela4[[#This Row],[VALOR]]-Tabela4[[#This Row],[PNEUS]]-Tabela4[[#This Row],[BATERIA]]</f>
        <v>280</v>
      </c>
      <c r="AB472" s="19" t="s">
        <v>24</v>
      </c>
      <c r="AC472" s="30">
        <v>0</v>
      </c>
      <c r="AD472" s="162">
        <v>0</v>
      </c>
      <c r="AE472" s="162">
        <v>0</v>
      </c>
      <c r="AF472" s="162">
        <v>0</v>
      </c>
      <c r="AG472" s="162">
        <v>0</v>
      </c>
      <c r="AH472" s="162">
        <v>0</v>
      </c>
      <c r="AI472" s="162">
        <v>0</v>
      </c>
      <c r="AJ472" s="162">
        <v>0</v>
      </c>
    </row>
    <row r="473" spans="1:36" x14ac:dyDescent="0.25">
      <c r="A473" t="s">
        <v>940</v>
      </c>
      <c r="B473" t="s">
        <v>941</v>
      </c>
      <c r="C473" s="143">
        <v>45373</v>
      </c>
      <c r="D473" s="142">
        <v>45373</v>
      </c>
      <c r="E473">
        <f>Tabela4[[#This Row],[DATA FATURAMENTO]]-Tabela4[[#This Row],[DATA ORÇAMENTO]]</f>
        <v>0</v>
      </c>
      <c r="F473">
        <v>11011</v>
      </c>
      <c r="G473" s="15" t="s">
        <v>6</v>
      </c>
      <c r="H473" s="54"/>
      <c r="I473" s="151">
        <v>530</v>
      </c>
      <c r="J473" s="154">
        <f>Tabela4[[#This Row],[VALOR]]-Tabela4[[#This Row],[PECAS]]</f>
        <v>9.9999999999909051E-3</v>
      </c>
      <c r="K473" s="150">
        <v>530.01</v>
      </c>
      <c r="L473" s="151">
        <v>0</v>
      </c>
      <c r="M473" s="151">
        <v>0</v>
      </c>
      <c r="N473" s="24"/>
      <c r="O473" s="151">
        <v>0</v>
      </c>
      <c r="P473" s="151">
        <v>0</v>
      </c>
      <c r="Q473" s="151">
        <v>0</v>
      </c>
      <c r="R473" s="151">
        <v>0</v>
      </c>
      <c r="S473" s="149">
        <v>0</v>
      </c>
      <c r="T473" s="151">
        <v>0</v>
      </c>
      <c r="U473" s="151">
        <v>530.01</v>
      </c>
      <c r="V473" s="15" t="s">
        <v>884</v>
      </c>
      <c r="W473" s="22">
        <v>0</v>
      </c>
      <c r="X473" s="149">
        <v>0</v>
      </c>
      <c r="Y473" s="15"/>
      <c r="Z473" s="155">
        <v>0</v>
      </c>
      <c r="AA473" s="149">
        <f>Tabela4[[#This Row],[VALOR]]-Tabela4[[#This Row],[PNEUS]]-Tabela4[[#This Row],[BATERIA]]</f>
        <v>0</v>
      </c>
      <c r="AB473" s="19" t="s">
        <v>6</v>
      </c>
      <c r="AC473" s="30">
        <v>0</v>
      </c>
      <c r="AD473" s="162">
        <v>0</v>
      </c>
      <c r="AE473" s="162">
        <v>0</v>
      </c>
      <c r="AF473" s="162">
        <v>0</v>
      </c>
      <c r="AG473" s="162">
        <v>0</v>
      </c>
      <c r="AH473" s="162">
        <v>0</v>
      </c>
      <c r="AI473" s="162">
        <v>0</v>
      </c>
      <c r="AJ473" s="162">
        <v>0</v>
      </c>
    </row>
    <row r="474" spans="1:36" x14ac:dyDescent="0.25">
      <c r="A474" t="s">
        <v>942</v>
      </c>
      <c r="B474" t="s">
        <v>943</v>
      </c>
      <c r="C474" s="143">
        <v>45373</v>
      </c>
      <c r="D474" s="142">
        <v>45373</v>
      </c>
      <c r="E474">
        <f>Tabela4[[#This Row],[DATA FATURAMENTO]]-Tabela4[[#This Row],[DATA ORÇAMENTO]]</f>
        <v>0</v>
      </c>
      <c r="F474">
        <v>11012</v>
      </c>
      <c r="G474" s="15" t="s">
        <v>6</v>
      </c>
      <c r="H474" s="54"/>
      <c r="I474" s="151">
        <v>799.7</v>
      </c>
      <c r="J474" s="154">
        <f>Tabela4[[#This Row],[VALOR]]-Tabela4[[#This Row],[PECAS]]</f>
        <v>9.9999999999909051E-3</v>
      </c>
      <c r="K474" s="150">
        <v>799.71</v>
      </c>
      <c r="L474" s="151">
        <v>0</v>
      </c>
      <c r="M474" s="151">
        <v>0</v>
      </c>
      <c r="N474" s="24"/>
      <c r="O474" s="151">
        <v>0</v>
      </c>
      <c r="P474" s="151">
        <v>0</v>
      </c>
      <c r="Q474" s="151">
        <v>0</v>
      </c>
      <c r="R474" s="151">
        <v>0</v>
      </c>
      <c r="S474" s="149">
        <v>0</v>
      </c>
      <c r="T474" s="151">
        <v>0</v>
      </c>
      <c r="U474" s="151">
        <v>799.71</v>
      </c>
      <c r="V474" s="15" t="s">
        <v>808</v>
      </c>
      <c r="W474" s="22">
        <v>0</v>
      </c>
      <c r="X474" s="149">
        <v>0</v>
      </c>
      <c r="Y474" s="15"/>
      <c r="Z474" s="155">
        <v>0</v>
      </c>
      <c r="AA474" s="149">
        <f>Tabela4[[#This Row],[VALOR]]-Tabela4[[#This Row],[PNEUS]]-Tabela4[[#This Row],[BATERIA]]</f>
        <v>0</v>
      </c>
      <c r="AB474" s="19" t="s">
        <v>6</v>
      </c>
      <c r="AC474" s="30">
        <v>0</v>
      </c>
      <c r="AD474" s="162">
        <v>0</v>
      </c>
      <c r="AE474" s="162">
        <v>0</v>
      </c>
      <c r="AF474" s="162">
        <v>0</v>
      </c>
      <c r="AG474" s="162">
        <v>0</v>
      </c>
      <c r="AH474" s="162">
        <v>0</v>
      </c>
      <c r="AI474" s="162">
        <v>0</v>
      </c>
      <c r="AJ474" s="162">
        <v>0</v>
      </c>
    </row>
    <row r="475" spans="1:36" x14ac:dyDescent="0.25">
      <c r="A475" t="s">
        <v>259</v>
      </c>
      <c r="B475" t="s">
        <v>944</v>
      </c>
      <c r="C475" s="143">
        <v>45374</v>
      </c>
      <c r="D475" s="141">
        <v>45374</v>
      </c>
      <c r="E475">
        <f>Tabela4[[#This Row],[DATA FATURAMENTO]]-Tabela4[[#This Row],[DATA ORÇAMENTO]]</f>
        <v>0</v>
      </c>
      <c r="F475">
        <v>11017</v>
      </c>
      <c r="G475" s="25" t="s">
        <v>22</v>
      </c>
      <c r="H475" s="25"/>
      <c r="I475" s="155">
        <v>1155.4000000000001</v>
      </c>
      <c r="J475" s="154">
        <f>Tabela4[[#This Row],[VALOR]]-Tabela4[[#This Row],[PECAS]]</f>
        <v>2.9999999999972715E-2</v>
      </c>
      <c r="K475" s="150">
        <v>1155.43</v>
      </c>
      <c r="L475" s="155">
        <v>0</v>
      </c>
      <c r="M475" s="155">
        <v>0</v>
      </c>
      <c r="N475" s="67"/>
      <c r="O475" s="155">
        <v>0</v>
      </c>
      <c r="P475" s="155">
        <v>0</v>
      </c>
      <c r="Q475" s="155">
        <v>0</v>
      </c>
      <c r="R475" s="155">
        <v>0</v>
      </c>
      <c r="S475" s="154">
        <v>90</v>
      </c>
      <c r="T475" s="155">
        <v>0</v>
      </c>
      <c r="U475" s="155">
        <v>522.5</v>
      </c>
      <c r="V475" s="25" t="s">
        <v>664</v>
      </c>
      <c r="W475" s="28">
        <v>4</v>
      </c>
      <c r="X475" s="149">
        <v>0</v>
      </c>
      <c r="Y475" s="25" t="s">
        <v>645</v>
      </c>
      <c r="Z475" s="155">
        <v>0</v>
      </c>
      <c r="AA475" s="149">
        <f>Tabela4[[#This Row],[VALOR]]-Tabela4[[#This Row],[PNEUS]]-Tabela4[[#This Row],[BATERIA]]</f>
        <v>632.93000000000006</v>
      </c>
      <c r="AB475" s="27" t="s">
        <v>32</v>
      </c>
      <c r="AC475" s="30">
        <v>0</v>
      </c>
      <c r="AD475" s="162">
        <v>0</v>
      </c>
      <c r="AE475" s="162">
        <v>0</v>
      </c>
      <c r="AF475" s="162">
        <v>0</v>
      </c>
      <c r="AG475" s="162">
        <v>0</v>
      </c>
      <c r="AH475" s="162">
        <v>0</v>
      </c>
      <c r="AI475" s="162">
        <v>0</v>
      </c>
      <c r="AJ475" s="162">
        <v>0</v>
      </c>
    </row>
    <row r="476" spans="1:36" x14ac:dyDescent="0.25">
      <c r="A476" t="s">
        <v>945</v>
      </c>
      <c r="B476" t="s">
        <v>946</v>
      </c>
      <c r="C476" s="143">
        <v>45374</v>
      </c>
      <c r="D476" s="142">
        <v>45374</v>
      </c>
      <c r="E476">
        <f>Tabela4[[#This Row],[DATA FATURAMENTO]]-Tabela4[[#This Row],[DATA ORÇAMENTO]]</f>
        <v>0</v>
      </c>
      <c r="F476">
        <v>11018</v>
      </c>
      <c r="G476" s="15" t="s">
        <v>6</v>
      </c>
      <c r="H476" s="25"/>
      <c r="I476" s="151">
        <v>1152.8</v>
      </c>
      <c r="J476" s="154">
        <f>Tabela4[[#This Row],[VALOR]]-Tabela4[[#This Row],[PECAS]]</f>
        <v>0</v>
      </c>
      <c r="K476" s="150">
        <v>1152.8</v>
      </c>
      <c r="L476" s="151">
        <v>0</v>
      </c>
      <c r="M476" s="151">
        <v>0</v>
      </c>
      <c r="N476" s="24"/>
      <c r="O476" s="151">
        <v>0</v>
      </c>
      <c r="P476" s="151">
        <v>0</v>
      </c>
      <c r="Q476" s="151">
        <v>0</v>
      </c>
      <c r="R476" s="151">
        <v>0</v>
      </c>
      <c r="S476" s="149">
        <v>0</v>
      </c>
      <c r="T476" s="151">
        <v>0</v>
      </c>
      <c r="U476" s="151">
        <v>1152.8</v>
      </c>
      <c r="V476" s="15" t="s">
        <v>642</v>
      </c>
      <c r="W476" s="22">
        <v>0</v>
      </c>
      <c r="X476" s="149">
        <v>0</v>
      </c>
      <c r="Y476" s="15"/>
      <c r="Z476" s="155">
        <v>0</v>
      </c>
      <c r="AA476" s="149">
        <f>Tabela4[[#This Row],[VALOR]]-Tabela4[[#This Row],[PNEUS]]-Tabela4[[#This Row],[BATERIA]]</f>
        <v>0</v>
      </c>
      <c r="AB476" s="19" t="s">
        <v>6</v>
      </c>
      <c r="AC476" s="30">
        <v>0</v>
      </c>
      <c r="AD476" s="162">
        <v>0</v>
      </c>
      <c r="AE476" s="162">
        <v>0</v>
      </c>
      <c r="AF476" s="162">
        <v>0</v>
      </c>
      <c r="AG476" s="162">
        <v>0</v>
      </c>
      <c r="AH476" s="162">
        <v>0</v>
      </c>
      <c r="AI476" s="162">
        <v>0</v>
      </c>
      <c r="AJ476" s="162">
        <v>0</v>
      </c>
    </row>
    <row r="477" spans="1:36" x14ac:dyDescent="0.25">
      <c r="A477" t="s">
        <v>206</v>
      </c>
      <c r="B477" t="s">
        <v>947</v>
      </c>
      <c r="C477" s="144">
        <v>45366</v>
      </c>
      <c r="D477" s="142">
        <v>45376</v>
      </c>
      <c r="E477">
        <f>Tabela4[[#This Row],[DATA FATURAMENTO]]-Tabela4[[#This Row],[DATA ORÇAMENTO]]</f>
        <v>10</v>
      </c>
      <c r="F477">
        <v>10923</v>
      </c>
      <c r="G477" s="25" t="s">
        <v>35</v>
      </c>
      <c r="H477" s="25"/>
      <c r="I477" s="155">
        <v>2803.3</v>
      </c>
      <c r="J477" s="154">
        <f>Tabela4[[#This Row],[VALOR]]-Tabela4[[#This Row],[PECAS]]</f>
        <v>2346.6999999999998</v>
      </c>
      <c r="K477" s="150">
        <v>5150</v>
      </c>
      <c r="L477" s="155">
        <v>90</v>
      </c>
      <c r="M477" s="155">
        <f>116.4</f>
        <v>116.4</v>
      </c>
      <c r="N477" s="67"/>
      <c r="O477" s="155">
        <v>0</v>
      </c>
      <c r="P477" s="155">
        <v>108</v>
      </c>
      <c r="Q477" s="155">
        <v>0</v>
      </c>
      <c r="R477" s="155">
        <v>0</v>
      </c>
      <c r="S477" s="154">
        <v>0</v>
      </c>
      <c r="T477" s="155">
        <v>0</v>
      </c>
      <c r="U477" s="155">
        <v>0</v>
      </c>
      <c r="V477" s="25"/>
      <c r="W477" s="28">
        <v>4</v>
      </c>
      <c r="X477" s="149">
        <v>0</v>
      </c>
      <c r="Y477" s="25" t="s">
        <v>807</v>
      </c>
      <c r="Z477" s="155">
        <v>0</v>
      </c>
      <c r="AA477" s="149">
        <f>Tabela4[[#This Row],[VALOR]]-Tabela4[[#This Row],[PNEUS]]-Tabela4[[#This Row],[BATERIA]]</f>
        <v>5150</v>
      </c>
      <c r="AB477" s="27" t="s">
        <v>30</v>
      </c>
      <c r="AC477" s="30">
        <v>0</v>
      </c>
      <c r="AD477" s="162">
        <v>0</v>
      </c>
      <c r="AE477" s="162">
        <v>0</v>
      </c>
      <c r="AF477" s="162">
        <v>0</v>
      </c>
      <c r="AG477" s="162">
        <v>0</v>
      </c>
      <c r="AH477" s="162">
        <v>0</v>
      </c>
      <c r="AI477" s="162">
        <v>0</v>
      </c>
      <c r="AJ477" s="162">
        <v>0</v>
      </c>
    </row>
    <row r="478" spans="1:36" x14ac:dyDescent="0.25">
      <c r="A478" t="s">
        <v>210</v>
      </c>
      <c r="B478" t="s">
        <v>891</v>
      </c>
      <c r="C478" s="145">
        <v>45374</v>
      </c>
      <c r="D478" s="142">
        <v>45376</v>
      </c>
      <c r="E478">
        <f>Tabela4[[#This Row],[DATA FATURAMENTO]]-Tabela4[[#This Row],[DATA ORÇAMENTO]]</f>
        <v>2</v>
      </c>
      <c r="F478">
        <v>11014</v>
      </c>
      <c r="G478" s="15" t="s">
        <v>35</v>
      </c>
      <c r="H478" s="25"/>
      <c r="I478" s="151">
        <v>675.25</v>
      </c>
      <c r="J478" s="154">
        <v>590</v>
      </c>
      <c r="K478" s="150">
        <f>Tabela4[[#This Row],[PECAS]]+Tabela4[[#This Row],[SERVICOS]]</f>
        <v>1265.25</v>
      </c>
      <c r="L478" s="151">
        <v>0</v>
      </c>
      <c r="M478" s="151">
        <v>0</v>
      </c>
      <c r="N478" s="24"/>
      <c r="O478" s="151">
        <v>240</v>
      </c>
      <c r="P478" s="151">
        <v>0</v>
      </c>
      <c r="Q478" s="151">
        <v>0</v>
      </c>
      <c r="R478" s="151">
        <v>0</v>
      </c>
      <c r="S478" s="149">
        <v>0</v>
      </c>
      <c r="T478" s="151">
        <v>0</v>
      </c>
      <c r="U478" s="151">
        <v>0</v>
      </c>
      <c r="V478" s="15"/>
      <c r="W478" s="22">
        <v>0</v>
      </c>
      <c r="X478" s="149">
        <v>0</v>
      </c>
      <c r="Y478" s="15"/>
      <c r="Z478" s="155">
        <v>0</v>
      </c>
      <c r="AA478" s="149">
        <f>Tabela4[[#This Row],[VALOR]]-Tabela4[[#This Row],[PNEUS]]-Tabela4[[#This Row],[BATERIA]]</f>
        <v>1265.25</v>
      </c>
      <c r="AB478" s="19" t="s">
        <v>27</v>
      </c>
      <c r="AC478" s="30">
        <v>0</v>
      </c>
      <c r="AD478" s="162">
        <v>0</v>
      </c>
      <c r="AE478" s="162">
        <v>0</v>
      </c>
      <c r="AF478" s="162">
        <v>0</v>
      </c>
      <c r="AG478" s="162">
        <v>0</v>
      </c>
      <c r="AH478" s="162">
        <v>0</v>
      </c>
      <c r="AI478" s="162">
        <v>0</v>
      </c>
      <c r="AJ478" s="162">
        <v>0</v>
      </c>
    </row>
    <row r="479" spans="1:36" x14ac:dyDescent="0.25">
      <c r="A479" t="s">
        <v>255</v>
      </c>
      <c r="B479" t="s">
        <v>948</v>
      </c>
      <c r="C479" s="145">
        <v>45372</v>
      </c>
      <c r="D479" s="142">
        <v>45376</v>
      </c>
      <c r="E479">
        <f>Tabela4[[#This Row],[DATA FATURAMENTO]]-Tabela4[[#This Row],[DATA ORÇAMENTO]]</f>
        <v>4</v>
      </c>
      <c r="F479">
        <v>10997</v>
      </c>
      <c r="G479" s="15" t="s">
        <v>22</v>
      </c>
      <c r="H479" s="54"/>
      <c r="I479" s="151">
        <v>1124.05</v>
      </c>
      <c r="J479" s="154">
        <f>Tabela4[[#This Row],[VALOR]]-Tabela4[[#This Row],[PECAS]]</f>
        <v>413.95000000000005</v>
      </c>
      <c r="K479" s="150">
        <v>1538</v>
      </c>
      <c r="L479" s="151">
        <v>0</v>
      </c>
      <c r="M479" s="151">
        <v>97.5</v>
      </c>
      <c r="N479" s="24"/>
      <c r="O479" s="151">
        <v>0</v>
      </c>
      <c r="P479" s="151">
        <v>0</v>
      </c>
      <c r="Q479" s="151">
        <v>0</v>
      </c>
      <c r="R479" s="151">
        <v>0</v>
      </c>
      <c r="S479" s="149">
        <v>0</v>
      </c>
      <c r="T479" s="151">
        <v>0</v>
      </c>
      <c r="U479" s="151">
        <v>0</v>
      </c>
      <c r="V479" s="15"/>
      <c r="W479" s="22">
        <v>4</v>
      </c>
      <c r="X479" s="149">
        <v>0</v>
      </c>
      <c r="Y479" s="15" t="s">
        <v>807</v>
      </c>
      <c r="Z479" s="155">
        <v>0</v>
      </c>
      <c r="AA479" s="149">
        <f>Tabela4[[#This Row],[VALOR]]-Tabela4[[#This Row],[PNEUS]]-Tabela4[[#This Row],[BATERIA]]</f>
        <v>1538</v>
      </c>
      <c r="AB479" s="19" t="s">
        <v>30</v>
      </c>
      <c r="AC479" s="30">
        <v>0</v>
      </c>
      <c r="AD479" s="162">
        <v>0</v>
      </c>
      <c r="AE479" s="162">
        <v>0</v>
      </c>
      <c r="AF479" s="162">
        <v>0</v>
      </c>
      <c r="AG479" s="162">
        <v>0</v>
      </c>
      <c r="AH479" s="162">
        <v>0</v>
      </c>
      <c r="AI479" s="162">
        <v>0</v>
      </c>
      <c r="AJ479" s="162">
        <v>0</v>
      </c>
    </row>
    <row r="480" spans="1:36" x14ac:dyDescent="0.25">
      <c r="A480" t="s">
        <v>257</v>
      </c>
      <c r="B480" t="s">
        <v>949</v>
      </c>
      <c r="C480" s="145">
        <v>45373</v>
      </c>
      <c r="D480" s="142">
        <v>45376</v>
      </c>
      <c r="E480">
        <f>Tabela4[[#This Row],[DATA FATURAMENTO]]-Tabela4[[#This Row],[DATA ORÇAMENTO]]</f>
        <v>3</v>
      </c>
      <c r="F480">
        <v>11004</v>
      </c>
      <c r="G480" s="15" t="s">
        <v>22</v>
      </c>
      <c r="H480" s="54"/>
      <c r="I480" s="151">
        <v>1009.3</v>
      </c>
      <c r="J480" s="154">
        <f>Tabela4[[#This Row],[VALOR]]-Tabela4[[#This Row],[PECAS]]</f>
        <v>550.70000000000005</v>
      </c>
      <c r="K480" s="150">
        <v>1560</v>
      </c>
      <c r="L480" s="151">
        <v>0</v>
      </c>
      <c r="M480" s="151">
        <v>106.5</v>
      </c>
      <c r="N480" s="24"/>
      <c r="O480" s="151">
        <v>0</v>
      </c>
      <c r="P480" s="151">
        <v>0</v>
      </c>
      <c r="Q480" s="151">
        <v>160</v>
      </c>
      <c r="R480" s="151">
        <v>0</v>
      </c>
      <c r="S480" s="149">
        <v>0</v>
      </c>
      <c r="T480" s="151">
        <v>0</v>
      </c>
      <c r="U480" s="151">
        <v>0</v>
      </c>
      <c r="V480" s="15"/>
      <c r="W480" s="22">
        <v>0</v>
      </c>
      <c r="X480" s="149">
        <v>0</v>
      </c>
      <c r="Y480" s="15"/>
      <c r="Z480" s="155">
        <v>0</v>
      </c>
      <c r="AA480" s="149">
        <f>Tabela4[[#This Row],[VALOR]]-Tabela4[[#This Row],[PNEUS]]-Tabela4[[#This Row],[BATERIA]]</f>
        <v>1560</v>
      </c>
      <c r="AB480" s="19" t="s">
        <v>34</v>
      </c>
      <c r="AC480" s="30">
        <v>0</v>
      </c>
      <c r="AD480" s="162">
        <v>0</v>
      </c>
      <c r="AE480" s="162">
        <v>0</v>
      </c>
      <c r="AF480" s="162">
        <v>0</v>
      </c>
      <c r="AG480" s="162">
        <v>0</v>
      </c>
      <c r="AH480" s="162">
        <v>0</v>
      </c>
      <c r="AI480" s="162">
        <v>0</v>
      </c>
      <c r="AJ480" s="162">
        <v>0</v>
      </c>
    </row>
    <row r="481" spans="1:36" x14ac:dyDescent="0.25">
      <c r="A481" t="s">
        <v>735</v>
      </c>
      <c r="B481" t="s">
        <v>950</v>
      </c>
      <c r="C481" s="145">
        <v>45376</v>
      </c>
      <c r="D481" s="142">
        <v>45376</v>
      </c>
      <c r="E481">
        <f>Tabela4[[#This Row],[DATA FATURAMENTO]]-Tabela4[[#This Row],[DATA ORÇAMENTO]]</f>
        <v>0</v>
      </c>
      <c r="F481">
        <v>11020</v>
      </c>
      <c r="G481" s="15" t="s">
        <v>39</v>
      </c>
      <c r="H481" s="54" t="s">
        <v>44</v>
      </c>
      <c r="I481" s="151">
        <v>40</v>
      </c>
      <c r="J481" s="154">
        <f>Tabela4[[#This Row],[VALOR]]-Tabela4[[#This Row],[PECAS]]</f>
        <v>120.02000000000001</v>
      </c>
      <c r="K481" s="150">
        <v>160.02000000000001</v>
      </c>
      <c r="L481" s="151">
        <v>0</v>
      </c>
      <c r="M481" s="151">
        <v>0</v>
      </c>
      <c r="N481" s="24"/>
      <c r="O481" s="151">
        <v>0</v>
      </c>
      <c r="P481" s="151">
        <v>0</v>
      </c>
      <c r="Q481" s="151">
        <v>0</v>
      </c>
      <c r="R481" s="151">
        <v>0</v>
      </c>
      <c r="S481" s="149">
        <v>0</v>
      </c>
      <c r="T481" s="151">
        <v>0</v>
      </c>
      <c r="U481" s="151">
        <v>0</v>
      </c>
      <c r="V481" s="15"/>
      <c r="W481" s="22">
        <v>0</v>
      </c>
      <c r="X481" s="149">
        <v>0</v>
      </c>
      <c r="Y481" s="15"/>
      <c r="Z481" s="155">
        <v>0</v>
      </c>
      <c r="AA481" s="149">
        <f>Tabela4[[#This Row],[VALOR]]-Tabela4[[#This Row],[PNEUS]]-Tabela4[[#This Row],[BATERIA]]</f>
        <v>160.02000000000001</v>
      </c>
      <c r="AB481" s="19" t="s">
        <v>27</v>
      </c>
      <c r="AC481" s="30">
        <v>0</v>
      </c>
      <c r="AD481" s="162">
        <v>0</v>
      </c>
      <c r="AE481" s="162">
        <v>0</v>
      </c>
      <c r="AF481" s="162">
        <v>0</v>
      </c>
      <c r="AG481" s="162">
        <v>0</v>
      </c>
      <c r="AH481" s="162">
        <v>0</v>
      </c>
      <c r="AI481" s="162">
        <v>0</v>
      </c>
      <c r="AJ481" s="162">
        <v>0</v>
      </c>
    </row>
    <row r="482" spans="1:36" x14ac:dyDescent="0.25">
      <c r="A482" t="s">
        <v>263</v>
      </c>
      <c r="B482" t="s">
        <v>951</v>
      </c>
      <c r="C482" s="145">
        <v>45376</v>
      </c>
      <c r="D482" s="142">
        <v>45376</v>
      </c>
      <c r="E482">
        <f>Tabela4[[#This Row],[DATA FATURAMENTO]]-Tabela4[[#This Row],[DATA ORÇAMENTO]]</f>
        <v>0</v>
      </c>
      <c r="F482">
        <v>11021</v>
      </c>
      <c r="G482" s="15" t="s">
        <v>22</v>
      </c>
      <c r="H482" s="54"/>
      <c r="I482" s="151">
        <v>1073.45</v>
      </c>
      <c r="J482" s="154">
        <f>Tabela4[[#This Row],[VALOR]]-Tabela4[[#This Row],[PECAS]]</f>
        <v>515.54999999999995</v>
      </c>
      <c r="K482" s="150">
        <v>1589</v>
      </c>
      <c r="L482" s="151">
        <v>0</v>
      </c>
      <c r="M482" s="151">
        <v>0</v>
      </c>
      <c r="N482" s="24"/>
      <c r="O482" s="151">
        <v>220</v>
      </c>
      <c r="P482" s="151">
        <v>0</v>
      </c>
      <c r="Q482" s="151">
        <v>0</v>
      </c>
      <c r="R482" s="151">
        <v>0</v>
      </c>
      <c r="S482" s="149">
        <v>0</v>
      </c>
      <c r="T482" s="151">
        <v>0</v>
      </c>
      <c r="U482" s="151">
        <v>0</v>
      </c>
      <c r="V482" s="15"/>
      <c r="W482" s="22">
        <v>0</v>
      </c>
      <c r="X482" s="149">
        <v>0</v>
      </c>
      <c r="Y482" s="15"/>
      <c r="Z482" s="155">
        <v>0</v>
      </c>
      <c r="AA482" s="149">
        <f>Tabela4[[#This Row],[VALOR]]-Tabela4[[#This Row],[PNEUS]]-Tabela4[[#This Row],[BATERIA]]</f>
        <v>1589</v>
      </c>
      <c r="AB482" s="19" t="s">
        <v>32</v>
      </c>
      <c r="AC482" s="30">
        <v>0</v>
      </c>
      <c r="AD482" s="162">
        <v>0</v>
      </c>
      <c r="AE482" s="162">
        <v>0</v>
      </c>
      <c r="AF482" s="162">
        <v>0</v>
      </c>
      <c r="AG482" s="162">
        <v>0</v>
      </c>
      <c r="AH482" s="162">
        <v>0</v>
      </c>
      <c r="AI482" s="162">
        <v>0</v>
      </c>
      <c r="AJ482" s="162">
        <v>0</v>
      </c>
    </row>
    <row r="483" spans="1:36" x14ac:dyDescent="0.25">
      <c r="A483" t="s">
        <v>265</v>
      </c>
      <c r="B483" t="s">
        <v>868</v>
      </c>
      <c r="C483" s="145">
        <v>45376</v>
      </c>
      <c r="D483" s="142">
        <v>45376</v>
      </c>
      <c r="E483">
        <f>Tabela4[[#This Row],[DATA FATURAMENTO]]-Tabela4[[#This Row],[DATA ORÇAMENTO]]</f>
        <v>0</v>
      </c>
      <c r="F483">
        <v>11037</v>
      </c>
      <c r="G483" s="15" t="s">
        <v>31</v>
      </c>
      <c r="H483" s="54"/>
      <c r="I483" s="151">
        <v>0</v>
      </c>
      <c r="J483" s="154">
        <f>Tabela4[[#This Row],[VALOR]]-Tabela4[[#This Row],[PECAS]]</f>
        <v>120</v>
      </c>
      <c r="K483" s="150">
        <v>120</v>
      </c>
      <c r="L483" s="151">
        <v>0</v>
      </c>
      <c r="M483" s="151">
        <v>0</v>
      </c>
      <c r="N483" s="24"/>
      <c r="O483" s="151">
        <v>0</v>
      </c>
      <c r="P483" s="151">
        <v>0</v>
      </c>
      <c r="Q483" s="151">
        <v>0</v>
      </c>
      <c r="R483" s="151">
        <v>0</v>
      </c>
      <c r="S483" s="149">
        <v>0</v>
      </c>
      <c r="T483" s="151">
        <v>0</v>
      </c>
      <c r="U483" s="151">
        <v>0</v>
      </c>
      <c r="V483" s="15"/>
      <c r="W483" s="22">
        <v>0</v>
      </c>
      <c r="X483" s="149">
        <v>0</v>
      </c>
      <c r="Y483" s="15"/>
      <c r="Z483" s="155">
        <v>0</v>
      </c>
      <c r="AA483" s="149">
        <f>Tabela4[[#This Row],[VALOR]]-Tabela4[[#This Row],[PNEUS]]-Tabela4[[#This Row],[BATERIA]]</f>
        <v>120</v>
      </c>
      <c r="AB483" s="19" t="s">
        <v>34</v>
      </c>
      <c r="AC483" s="30">
        <v>0</v>
      </c>
      <c r="AD483" s="162">
        <v>0</v>
      </c>
      <c r="AE483" s="162">
        <v>0</v>
      </c>
      <c r="AF483" s="162">
        <v>0</v>
      </c>
      <c r="AG483" s="162">
        <v>0</v>
      </c>
      <c r="AH483" s="162">
        <v>0</v>
      </c>
      <c r="AI483" s="162">
        <v>0</v>
      </c>
      <c r="AJ483" s="162">
        <v>0</v>
      </c>
    </row>
    <row r="484" spans="1:36" x14ac:dyDescent="0.25">
      <c r="A484" t="s">
        <v>154</v>
      </c>
      <c r="B484" t="s">
        <v>952</v>
      </c>
      <c r="C484" s="145">
        <v>45376</v>
      </c>
      <c r="D484" s="142">
        <v>45376</v>
      </c>
      <c r="E484">
        <f>Tabela4[[#This Row],[DATA FATURAMENTO]]-Tabela4[[#This Row],[DATA ORÇAMENTO]]</f>
        <v>0</v>
      </c>
      <c r="F484">
        <v>11029</v>
      </c>
      <c r="G484" s="15" t="s">
        <v>25</v>
      </c>
      <c r="H484" s="54"/>
      <c r="I484" s="151">
        <v>819.62</v>
      </c>
      <c r="J484" s="154">
        <f>Tabela4[[#This Row],[VALOR]]-Tabela4[[#This Row],[PECAS]]</f>
        <v>245.99999999999989</v>
      </c>
      <c r="K484" s="150">
        <v>1065.6199999999999</v>
      </c>
      <c r="L484" s="151">
        <v>0</v>
      </c>
      <c r="M484" s="151">
        <v>0</v>
      </c>
      <c r="N484" s="24"/>
      <c r="O484" s="151">
        <v>0</v>
      </c>
      <c r="P484" s="151">
        <v>0</v>
      </c>
      <c r="Q484" s="151">
        <v>0</v>
      </c>
      <c r="R484" s="151">
        <v>0</v>
      </c>
      <c r="S484" s="149">
        <v>24.33</v>
      </c>
      <c r="T484" s="151">
        <v>0</v>
      </c>
      <c r="U484" s="151">
        <v>0</v>
      </c>
      <c r="V484" s="15"/>
      <c r="W484" s="22">
        <v>4</v>
      </c>
      <c r="X484" s="149">
        <v>0</v>
      </c>
      <c r="Y484" s="15" t="s">
        <v>654</v>
      </c>
      <c r="Z484" s="155">
        <v>0</v>
      </c>
      <c r="AA484" s="149">
        <f>Tabela4[[#This Row],[VALOR]]-Tabela4[[#This Row],[PNEUS]]-Tabela4[[#This Row],[BATERIA]]</f>
        <v>1065.6199999999999</v>
      </c>
      <c r="AB484" s="19" t="s">
        <v>24</v>
      </c>
      <c r="AC484" s="30">
        <v>0</v>
      </c>
      <c r="AD484" s="162">
        <v>0</v>
      </c>
      <c r="AE484" s="162">
        <v>0</v>
      </c>
      <c r="AF484" s="162">
        <v>0</v>
      </c>
      <c r="AG484" s="162">
        <v>0</v>
      </c>
      <c r="AH484" s="162">
        <v>0</v>
      </c>
      <c r="AI484" s="162">
        <v>0</v>
      </c>
      <c r="AJ484" s="162">
        <v>0</v>
      </c>
    </row>
    <row r="485" spans="1:36" x14ac:dyDescent="0.25">
      <c r="A485" t="s">
        <v>273</v>
      </c>
      <c r="B485" t="s">
        <v>953</v>
      </c>
      <c r="C485" s="145">
        <v>45376</v>
      </c>
      <c r="D485" s="142">
        <v>45376</v>
      </c>
      <c r="E485">
        <f>Tabela4[[#This Row],[DATA FATURAMENTO]]-Tabela4[[#This Row],[DATA ORÇAMENTO]]</f>
        <v>0</v>
      </c>
      <c r="F485">
        <v>11038</v>
      </c>
      <c r="G485" s="15" t="s">
        <v>31</v>
      </c>
      <c r="H485" s="54"/>
      <c r="I485" s="151">
        <v>435</v>
      </c>
      <c r="J485" s="154">
        <f>Tabela4[[#This Row],[VALOR]]-Tabela4[[#This Row],[PECAS]]</f>
        <v>365</v>
      </c>
      <c r="K485" s="150">
        <v>800</v>
      </c>
      <c r="L485" s="151">
        <v>0</v>
      </c>
      <c r="M485" s="151">
        <v>0</v>
      </c>
      <c r="N485" s="24"/>
      <c r="O485" s="151">
        <v>0</v>
      </c>
      <c r="P485" s="151">
        <v>0</v>
      </c>
      <c r="Q485" s="151">
        <v>0</v>
      </c>
      <c r="R485" s="151">
        <v>0</v>
      </c>
      <c r="S485" s="149">
        <v>140</v>
      </c>
      <c r="T485" s="151">
        <v>0</v>
      </c>
      <c r="U485" s="151">
        <v>0</v>
      </c>
      <c r="V485" s="15"/>
      <c r="W485" s="22">
        <v>4</v>
      </c>
      <c r="X485" s="149">
        <v>0</v>
      </c>
      <c r="Y485" s="15" t="s">
        <v>645</v>
      </c>
      <c r="Z485" s="155">
        <v>0</v>
      </c>
      <c r="AA485" s="149">
        <f>Tabela4[[#This Row],[VALOR]]-Tabela4[[#This Row],[PNEUS]]-Tabela4[[#This Row],[BATERIA]]</f>
        <v>800</v>
      </c>
      <c r="AB485" s="19" t="s">
        <v>32</v>
      </c>
      <c r="AC485" s="30">
        <v>0</v>
      </c>
      <c r="AD485" s="162">
        <v>0</v>
      </c>
      <c r="AE485" s="162">
        <v>0</v>
      </c>
      <c r="AF485" s="162">
        <v>0</v>
      </c>
      <c r="AG485" s="162">
        <v>0</v>
      </c>
      <c r="AH485" s="162">
        <v>0</v>
      </c>
      <c r="AI485" s="162">
        <v>0</v>
      </c>
      <c r="AJ485" s="162">
        <v>0</v>
      </c>
    </row>
    <row r="486" spans="1:36" x14ac:dyDescent="0.25">
      <c r="A486" t="s">
        <v>181</v>
      </c>
      <c r="B486" t="s">
        <v>914</v>
      </c>
      <c r="C486" s="144">
        <v>45363</v>
      </c>
      <c r="D486" s="142">
        <v>45377</v>
      </c>
      <c r="E486">
        <f>Tabela4[[#This Row],[DATA FATURAMENTO]]-Tabela4[[#This Row],[DATA ORÇAMENTO]]</f>
        <v>14</v>
      </c>
      <c r="F486">
        <v>10881</v>
      </c>
      <c r="G486" s="25" t="s">
        <v>35</v>
      </c>
      <c r="H486" s="25"/>
      <c r="I486" s="155">
        <v>7680.7</v>
      </c>
      <c r="J486" s="154">
        <f>Tabela4[[#This Row],[VALOR]]-Tabela4[[#This Row],[PECAS]]</f>
        <v>2219.3000000000002</v>
      </c>
      <c r="K486" s="150">
        <v>9900</v>
      </c>
      <c r="L486" s="155">
        <v>0</v>
      </c>
      <c r="M486" s="155">
        <f>75</f>
        <v>75</v>
      </c>
      <c r="N486" s="67"/>
      <c r="O486" s="155">
        <v>193</v>
      </c>
      <c r="P486" s="155">
        <v>0</v>
      </c>
      <c r="Q486" s="155">
        <v>126.29</v>
      </c>
      <c r="R486" s="155">
        <v>0</v>
      </c>
      <c r="S486" s="154">
        <v>88</v>
      </c>
      <c r="T486" s="155">
        <v>0</v>
      </c>
      <c r="U486" s="155">
        <v>0</v>
      </c>
      <c r="V486" s="25"/>
      <c r="W486" s="28">
        <v>4</v>
      </c>
      <c r="X486" s="149">
        <v>0</v>
      </c>
      <c r="Y486" s="25" t="s">
        <v>804</v>
      </c>
      <c r="Z486" s="155">
        <v>0</v>
      </c>
      <c r="AA486" s="149">
        <f>Tabela4[[#This Row],[VALOR]]-Tabela4[[#This Row],[PNEUS]]-Tabela4[[#This Row],[BATERIA]]</f>
        <v>9900</v>
      </c>
      <c r="AB486" s="27" t="s">
        <v>34</v>
      </c>
      <c r="AC486" s="30">
        <v>0</v>
      </c>
      <c r="AD486" s="162">
        <v>0</v>
      </c>
      <c r="AE486" s="162">
        <v>0</v>
      </c>
      <c r="AF486" s="162">
        <v>0</v>
      </c>
      <c r="AG486" s="162">
        <v>0</v>
      </c>
      <c r="AH486" s="162">
        <v>0</v>
      </c>
      <c r="AI486" s="162">
        <v>0</v>
      </c>
      <c r="AJ486" s="162">
        <v>0</v>
      </c>
    </row>
    <row r="487" spans="1:36" x14ac:dyDescent="0.25">
      <c r="A487" t="s">
        <v>253</v>
      </c>
      <c r="B487" t="s">
        <v>954</v>
      </c>
      <c r="C487" s="145">
        <v>45372</v>
      </c>
      <c r="D487" s="142">
        <v>45377</v>
      </c>
      <c r="E487">
        <f>Tabela4[[#This Row],[DATA FATURAMENTO]]-Tabela4[[#This Row],[DATA ORÇAMENTO]]</f>
        <v>5</v>
      </c>
      <c r="F487">
        <v>10991</v>
      </c>
      <c r="G487" s="15" t="s">
        <v>22</v>
      </c>
      <c r="H487" s="25"/>
      <c r="I487" s="151">
        <v>534.48</v>
      </c>
      <c r="J487" s="154">
        <f>Tabela4[[#This Row],[VALOR]]-Tabela4[[#This Row],[PECAS]]</f>
        <v>739.2</v>
      </c>
      <c r="K487" s="150">
        <v>1273.68</v>
      </c>
      <c r="L487" s="151">
        <v>0</v>
      </c>
      <c r="M487" s="151">
        <f>75+70+147.84</f>
        <v>292.84000000000003</v>
      </c>
      <c r="N487" s="24"/>
      <c r="O487" s="151">
        <v>0</v>
      </c>
      <c r="P487" s="151">
        <v>0</v>
      </c>
      <c r="Q487" s="151">
        <v>0</v>
      </c>
      <c r="R487" s="151">
        <v>0</v>
      </c>
      <c r="S487" s="149">
        <v>147.84</v>
      </c>
      <c r="T487" s="151">
        <v>0</v>
      </c>
      <c r="U487" s="151">
        <v>0</v>
      </c>
      <c r="V487" s="15"/>
      <c r="W487" s="22">
        <v>0</v>
      </c>
      <c r="X487" s="149">
        <v>0</v>
      </c>
      <c r="Y487" s="15"/>
      <c r="Z487" s="155">
        <v>0</v>
      </c>
      <c r="AA487" s="149">
        <f>Tabela4[[#This Row],[VALOR]]-Tabela4[[#This Row],[PNEUS]]-Tabela4[[#This Row],[BATERIA]]</f>
        <v>1273.68</v>
      </c>
      <c r="AB487" s="19" t="s">
        <v>24</v>
      </c>
      <c r="AC487" s="30">
        <v>0</v>
      </c>
      <c r="AD487" s="162">
        <v>0</v>
      </c>
      <c r="AE487" s="162">
        <v>0</v>
      </c>
      <c r="AF487" s="162">
        <v>0</v>
      </c>
      <c r="AG487" s="162">
        <v>0</v>
      </c>
      <c r="AH487" s="162">
        <v>0</v>
      </c>
      <c r="AI487" s="162">
        <v>0</v>
      </c>
      <c r="AJ487" s="162">
        <v>0</v>
      </c>
    </row>
    <row r="488" spans="1:36" x14ac:dyDescent="0.25">
      <c r="A488" t="s">
        <v>298</v>
      </c>
      <c r="B488" t="s">
        <v>955</v>
      </c>
      <c r="C488" s="145">
        <v>45376</v>
      </c>
      <c r="D488" s="142">
        <v>45377</v>
      </c>
      <c r="E488">
        <f>Tabela4[[#This Row],[DATA FATURAMENTO]]-Tabela4[[#This Row],[DATA ORÇAMENTO]]</f>
        <v>1</v>
      </c>
      <c r="F488">
        <v>11022</v>
      </c>
      <c r="G488" s="15" t="s">
        <v>37</v>
      </c>
      <c r="H488" s="54"/>
      <c r="I488" s="151">
        <v>232.62</v>
      </c>
      <c r="J488" s="154">
        <f>Tabela4[[#This Row],[VALOR]]-Tabela4[[#This Row],[PECAS]]</f>
        <v>56</v>
      </c>
      <c r="K488" s="150">
        <v>288.62</v>
      </c>
      <c r="L488" s="151">
        <v>0</v>
      </c>
      <c r="M488" s="151">
        <v>0</v>
      </c>
      <c r="N488" s="24"/>
      <c r="O488" s="151">
        <v>0</v>
      </c>
      <c r="P488" s="151">
        <v>0</v>
      </c>
      <c r="Q488" s="151">
        <v>0</v>
      </c>
      <c r="R488" s="151">
        <v>0</v>
      </c>
      <c r="S488" s="149">
        <v>0</v>
      </c>
      <c r="T488" s="151">
        <v>0</v>
      </c>
      <c r="U488" s="151">
        <v>0</v>
      </c>
      <c r="V488" s="15"/>
      <c r="W488" s="22">
        <v>4</v>
      </c>
      <c r="X488" s="149">
        <v>0</v>
      </c>
      <c r="Y488" s="15" t="s">
        <v>658</v>
      </c>
      <c r="Z488" s="155">
        <v>0</v>
      </c>
      <c r="AA488" s="149">
        <f>Tabela4[[#This Row],[VALOR]]-Tabela4[[#This Row],[PNEUS]]-Tabela4[[#This Row],[BATERIA]]</f>
        <v>288.62</v>
      </c>
      <c r="AB488" s="19" t="s">
        <v>27</v>
      </c>
      <c r="AC488" s="30">
        <v>0</v>
      </c>
      <c r="AD488" s="162">
        <v>0</v>
      </c>
      <c r="AE488" s="162">
        <v>0</v>
      </c>
      <c r="AF488" s="162">
        <v>0</v>
      </c>
      <c r="AG488" s="162">
        <v>0</v>
      </c>
      <c r="AH488" s="162">
        <v>0</v>
      </c>
      <c r="AI488" s="162">
        <v>0</v>
      </c>
      <c r="AJ488" s="162">
        <v>0</v>
      </c>
    </row>
    <row r="489" spans="1:36" x14ac:dyDescent="0.25">
      <c r="A489" t="s">
        <v>271</v>
      </c>
      <c r="B489" t="s">
        <v>887</v>
      </c>
      <c r="C489" s="145">
        <v>45376</v>
      </c>
      <c r="D489" s="142">
        <v>45377</v>
      </c>
      <c r="E489">
        <f>Tabela4[[#This Row],[DATA FATURAMENTO]]-Tabela4[[#This Row],[DATA ORÇAMENTO]]</f>
        <v>1</v>
      </c>
      <c r="F489">
        <v>11036</v>
      </c>
      <c r="G489" s="15" t="s">
        <v>22</v>
      </c>
      <c r="H489" s="54"/>
      <c r="I489" s="151">
        <v>2520.6999999999998</v>
      </c>
      <c r="J489" s="154">
        <f>Tabela4[[#This Row],[VALOR]]-Tabela4[[#This Row],[PECAS]]</f>
        <v>1379</v>
      </c>
      <c r="K489" s="150">
        <v>3899.7</v>
      </c>
      <c r="L489" s="151">
        <v>108</v>
      </c>
      <c r="M489" s="151">
        <v>0</v>
      </c>
      <c r="N489" s="24"/>
      <c r="O489" s="151">
        <v>290</v>
      </c>
      <c r="P489" s="151">
        <v>0</v>
      </c>
      <c r="Q489" s="151">
        <v>0</v>
      </c>
      <c r="R489" s="151">
        <v>0</v>
      </c>
      <c r="S489" s="149">
        <v>230</v>
      </c>
      <c r="T489" s="151">
        <v>0</v>
      </c>
      <c r="U489" s="151">
        <v>0</v>
      </c>
      <c r="V489" s="15"/>
      <c r="W489" s="22">
        <v>4</v>
      </c>
      <c r="X489" s="149">
        <v>0</v>
      </c>
      <c r="Y489" s="15" t="s">
        <v>807</v>
      </c>
      <c r="Z489" s="155">
        <v>0</v>
      </c>
      <c r="AA489" s="149">
        <f>Tabela4[[#This Row],[VALOR]]-Tabela4[[#This Row],[PNEUS]]-Tabela4[[#This Row],[BATERIA]]</f>
        <v>3899.7</v>
      </c>
      <c r="AB489" s="19" t="s">
        <v>24</v>
      </c>
      <c r="AC489" s="30">
        <v>0</v>
      </c>
      <c r="AD489" s="162">
        <v>0</v>
      </c>
      <c r="AE489" s="162">
        <v>0</v>
      </c>
      <c r="AF489" s="162">
        <v>0</v>
      </c>
      <c r="AG489" s="162">
        <v>0</v>
      </c>
      <c r="AH489" s="162">
        <v>0</v>
      </c>
      <c r="AI489" s="162">
        <v>0</v>
      </c>
      <c r="AJ489" s="162">
        <v>0</v>
      </c>
    </row>
    <row r="490" spans="1:36" x14ac:dyDescent="0.25">
      <c r="A490" t="s">
        <v>280</v>
      </c>
      <c r="B490" t="s">
        <v>956</v>
      </c>
      <c r="C490" s="145">
        <v>45377</v>
      </c>
      <c r="D490" s="142">
        <v>45377</v>
      </c>
      <c r="E490">
        <f>Tabela4[[#This Row],[DATA FATURAMENTO]]-Tabela4[[#This Row],[DATA ORÇAMENTO]]</f>
        <v>0</v>
      </c>
      <c r="F490">
        <v>11042</v>
      </c>
      <c r="G490" s="15" t="s">
        <v>22</v>
      </c>
      <c r="H490" s="54"/>
      <c r="I490" s="151">
        <v>486.7</v>
      </c>
      <c r="J490" s="154">
        <f>Tabela4[[#This Row],[VALOR]]-Tabela4[[#This Row],[PECAS]]</f>
        <v>508.01000000000005</v>
      </c>
      <c r="K490" s="150">
        <v>994.71</v>
      </c>
      <c r="L490" s="151">
        <v>108</v>
      </c>
      <c r="M490" s="151">
        <v>0</v>
      </c>
      <c r="N490" s="24"/>
      <c r="O490" s="151">
        <v>0</v>
      </c>
      <c r="P490" s="151">
        <v>0</v>
      </c>
      <c r="Q490" s="151">
        <v>0</v>
      </c>
      <c r="R490" s="151">
        <v>0</v>
      </c>
      <c r="S490" s="149">
        <v>270</v>
      </c>
      <c r="T490" s="151">
        <v>0</v>
      </c>
      <c r="U490" s="151">
        <v>0</v>
      </c>
      <c r="V490" s="15"/>
      <c r="W490" s="22">
        <v>4</v>
      </c>
      <c r="X490" s="149">
        <v>0</v>
      </c>
      <c r="Y490" s="15" t="s">
        <v>807</v>
      </c>
      <c r="Z490" s="155">
        <v>0</v>
      </c>
      <c r="AA490" s="149">
        <f>Tabela4[[#This Row],[VALOR]]-Tabela4[[#This Row],[PNEUS]]-Tabela4[[#This Row],[BATERIA]]</f>
        <v>994.71</v>
      </c>
      <c r="AB490" s="19" t="s">
        <v>24</v>
      </c>
      <c r="AC490" s="30">
        <v>0</v>
      </c>
      <c r="AD490" s="162">
        <v>0</v>
      </c>
      <c r="AE490" s="162">
        <v>0</v>
      </c>
      <c r="AF490" s="162">
        <v>0</v>
      </c>
      <c r="AG490" s="162">
        <v>0</v>
      </c>
      <c r="AH490" s="162">
        <v>0</v>
      </c>
      <c r="AI490" s="162">
        <v>0</v>
      </c>
      <c r="AJ490" s="162">
        <v>0</v>
      </c>
    </row>
    <row r="491" spans="1:36" x14ac:dyDescent="0.25">
      <c r="A491" t="s">
        <v>277</v>
      </c>
      <c r="B491" t="s">
        <v>891</v>
      </c>
      <c r="C491" s="145">
        <v>45377</v>
      </c>
      <c r="D491" s="142">
        <v>45377</v>
      </c>
      <c r="E491">
        <f>Tabela4[[#This Row],[DATA FATURAMENTO]]-Tabela4[[#This Row],[DATA ORÇAMENTO]]</f>
        <v>0</v>
      </c>
      <c r="F491">
        <v>11048</v>
      </c>
      <c r="G491" s="15" t="s">
        <v>22</v>
      </c>
      <c r="H491" s="54"/>
      <c r="I491" s="151">
        <v>526</v>
      </c>
      <c r="J491" s="154">
        <f>Tabela4[[#This Row],[VALOR]]-Tabela4[[#This Row],[PECAS]]</f>
        <v>298</v>
      </c>
      <c r="K491" s="150">
        <v>824</v>
      </c>
      <c r="L491" s="151">
        <v>108</v>
      </c>
      <c r="M491" s="151">
        <v>0</v>
      </c>
      <c r="N491" s="24"/>
      <c r="O491" s="151">
        <v>0</v>
      </c>
      <c r="P491" s="151">
        <v>0</v>
      </c>
      <c r="Q491" s="151">
        <v>0</v>
      </c>
      <c r="R491" s="151">
        <v>0</v>
      </c>
      <c r="S491" s="149">
        <v>190</v>
      </c>
      <c r="T491" s="151">
        <v>0</v>
      </c>
      <c r="U491" s="151">
        <v>0</v>
      </c>
      <c r="V491" s="15"/>
      <c r="W491" s="22">
        <v>4</v>
      </c>
      <c r="X491" s="149">
        <v>0</v>
      </c>
      <c r="Y491" s="15" t="s">
        <v>807</v>
      </c>
      <c r="Z491" s="155">
        <v>0</v>
      </c>
      <c r="AA491" s="149">
        <f>Tabela4[[#This Row],[VALOR]]-Tabela4[[#This Row],[PNEUS]]-Tabela4[[#This Row],[BATERIA]]</f>
        <v>824</v>
      </c>
      <c r="AB491" s="19" t="s">
        <v>24</v>
      </c>
      <c r="AC491" s="30">
        <v>0</v>
      </c>
      <c r="AD491" s="162">
        <v>0</v>
      </c>
      <c r="AE491" s="162">
        <v>0</v>
      </c>
      <c r="AF491" s="162">
        <v>0</v>
      </c>
      <c r="AG491" s="162">
        <v>0</v>
      </c>
      <c r="AH491" s="162">
        <v>0</v>
      </c>
      <c r="AI491" s="162">
        <v>0</v>
      </c>
      <c r="AJ491" s="162">
        <v>0</v>
      </c>
    </row>
    <row r="492" spans="1:36" x14ac:dyDescent="0.25">
      <c r="A492" t="s">
        <v>279</v>
      </c>
      <c r="B492" t="s">
        <v>957</v>
      </c>
      <c r="C492" s="145">
        <v>45377</v>
      </c>
      <c r="D492" s="142">
        <v>45377</v>
      </c>
      <c r="E492">
        <f>Tabela4[[#This Row],[DATA FATURAMENTO]]-Tabela4[[#This Row],[DATA ORÇAMENTO]]</f>
        <v>0</v>
      </c>
      <c r="F492">
        <v>11053</v>
      </c>
      <c r="G492" s="15" t="s">
        <v>6</v>
      </c>
      <c r="H492" s="54"/>
      <c r="I492" s="151">
        <v>522.5</v>
      </c>
      <c r="J492" s="154">
        <f>Tabela4[[#This Row],[VALOR]]-Tabela4[[#This Row],[PECAS]]</f>
        <v>0</v>
      </c>
      <c r="K492" s="150">
        <v>522.5</v>
      </c>
      <c r="L492" s="151">
        <v>0</v>
      </c>
      <c r="M492" s="151">
        <v>0</v>
      </c>
      <c r="N492" s="24"/>
      <c r="O492" s="151">
        <v>0</v>
      </c>
      <c r="P492" s="151">
        <v>0</v>
      </c>
      <c r="Q492" s="151">
        <v>0</v>
      </c>
      <c r="R492" s="151">
        <v>0</v>
      </c>
      <c r="S492" s="149">
        <v>0</v>
      </c>
      <c r="T492" s="151">
        <v>0</v>
      </c>
      <c r="U492" s="151">
        <v>522.5</v>
      </c>
      <c r="V492" s="15" t="s">
        <v>640</v>
      </c>
      <c r="W492" s="22">
        <v>0</v>
      </c>
      <c r="X492" s="149">
        <v>0</v>
      </c>
      <c r="Y492" s="15"/>
      <c r="Z492" s="155">
        <v>0</v>
      </c>
      <c r="AA492" s="149">
        <f>Tabela4[[#This Row],[VALOR]]-Tabela4[[#This Row],[PNEUS]]-Tabela4[[#This Row],[BATERIA]]</f>
        <v>0</v>
      </c>
      <c r="AB492" s="19" t="s">
        <v>6</v>
      </c>
      <c r="AC492" s="30">
        <v>0</v>
      </c>
      <c r="AD492" s="162">
        <v>0</v>
      </c>
      <c r="AE492" s="162">
        <v>0</v>
      </c>
      <c r="AF492" s="162">
        <v>0</v>
      </c>
      <c r="AG492" s="162">
        <v>0</v>
      </c>
      <c r="AH492" s="162">
        <v>0</v>
      </c>
      <c r="AI492" s="162">
        <v>0</v>
      </c>
      <c r="AJ492" s="162">
        <v>0</v>
      </c>
    </row>
    <row r="493" spans="1:36" x14ac:dyDescent="0.25">
      <c r="A493" t="s">
        <v>543</v>
      </c>
      <c r="B493" t="s">
        <v>958</v>
      </c>
      <c r="C493" s="143">
        <v>45350</v>
      </c>
      <c r="D493" s="142">
        <v>45378</v>
      </c>
      <c r="E493">
        <f>Tabela4[[#This Row],[DATA FATURAMENTO]]-Tabela4[[#This Row],[DATA ORÇAMENTO]]</f>
        <v>28</v>
      </c>
      <c r="F493">
        <v>10755</v>
      </c>
      <c r="G493" s="25" t="s">
        <v>22</v>
      </c>
      <c r="H493" s="25"/>
      <c r="I493" s="155">
        <v>200</v>
      </c>
      <c r="J493" s="154">
        <f>Tabela4[[#This Row],[VALOR]]-Tabela4[[#This Row],[PECAS]]</f>
        <v>100</v>
      </c>
      <c r="K493" s="150">
        <v>300</v>
      </c>
      <c r="L493" s="155">
        <v>0</v>
      </c>
      <c r="M493" s="155">
        <v>0</v>
      </c>
      <c r="N493" s="67"/>
      <c r="O493" s="155">
        <v>0</v>
      </c>
      <c r="P493" s="155">
        <v>0</v>
      </c>
      <c r="Q493" s="155">
        <v>0</v>
      </c>
      <c r="R493" s="155">
        <v>0</v>
      </c>
      <c r="S493" s="154">
        <v>0</v>
      </c>
      <c r="T493" s="155">
        <v>0</v>
      </c>
      <c r="U493" s="155">
        <v>0</v>
      </c>
      <c r="V493" s="25"/>
      <c r="W493" s="22">
        <v>0</v>
      </c>
      <c r="X493" s="149">
        <v>0</v>
      </c>
      <c r="Y493" s="25"/>
      <c r="Z493" s="155">
        <v>0</v>
      </c>
      <c r="AA493" s="149">
        <f>Tabela4[[#This Row],[VALOR]]-Tabela4[[#This Row],[PNEUS]]-Tabela4[[#This Row],[BATERIA]]</f>
        <v>300</v>
      </c>
      <c r="AB493" s="27" t="s">
        <v>34</v>
      </c>
      <c r="AC493" s="30">
        <v>0</v>
      </c>
      <c r="AD493" s="162">
        <v>0</v>
      </c>
      <c r="AE493" s="162">
        <v>0</v>
      </c>
      <c r="AF493" s="162">
        <v>0</v>
      </c>
      <c r="AG493" s="162">
        <v>0</v>
      </c>
      <c r="AH493" s="162">
        <v>0</v>
      </c>
      <c r="AI493" s="162">
        <v>0</v>
      </c>
      <c r="AJ493" s="162">
        <v>0</v>
      </c>
    </row>
    <row r="494" spans="1:36" x14ac:dyDescent="0.25">
      <c r="A494" t="s">
        <v>959</v>
      </c>
      <c r="B494" t="s">
        <v>960</v>
      </c>
      <c r="C494" s="143">
        <v>45365</v>
      </c>
      <c r="D494" s="142">
        <v>45378</v>
      </c>
      <c r="E494">
        <f>Tabela4[[#This Row],[DATA FATURAMENTO]]-Tabela4[[#This Row],[DATA ORÇAMENTO]]</f>
        <v>13</v>
      </c>
      <c r="F494">
        <v>10909</v>
      </c>
      <c r="G494" s="15" t="s">
        <v>25</v>
      </c>
      <c r="H494" s="25"/>
      <c r="I494" s="151">
        <v>177</v>
      </c>
      <c r="J494" s="154">
        <f>Tabela4[[#This Row],[VALOR]]-Tabela4[[#This Row],[PECAS]]</f>
        <v>63</v>
      </c>
      <c r="K494" s="150">
        <v>240</v>
      </c>
      <c r="L494" s="151">
        <v>0</v>
      </c>
      <c r="M494" s="151">
        <v>0</v>
      </c>
      <c r="N494" s="24"/>
      <c r="O494" s="151">
        <v>0</v>
      </c>
      <c r="P494" s="151">
        <v>0</v>
      </c>
      <c r="Q494" s="151">
        <v>0</v>
      </c>
      <c r="R494" s="151">
        <v>0</v>
      </c>
      <c r="S494" s="149">
        <v>0</v>
      </c>
      <c r="T494" s="151">
        <v>0</v>
      </c>
      <c r="U494" s="151">
        <v>0</v>
      </c>
      <c r="V494" s="15"/>
      <c r="W494" s="22">
        <v>3</v>
      </c>
      <c r="X494" s="149">
        <v>0</v>
      </c>
      <c r="Y494" s="15" t="s">
        <v>654</v>
      </c>
      <c r="Z494" s="155">
        <v>0</v>
      </c>
      <c r="AA494" s="149">
        <f>Tabela4[[#This Row],[VALOR]]-Tabela4[[#This Row],[PNEUS]]-Tabela4[[#This Row],[BATERIA]]</f>
        <v>240</v>
      </c>
      <c r="AB494" s="19" t="s">
        <v>24</v>
      </c>
      <c r="AC494" s="30">
        <v>0</v>
      </c>
      <c r="AD494" s="162">
        <v>0</v>
      </c>
      <c r="AE494" s="162">
        <v>0</v>
      </c>
      <c r="AF494" s="162">
        <v>0</v>
      </c>
      <c r="AG494" s="162">
        <v>0</v>
      </c>
      <c r="AH494" s="162">
        <v>0</v>
      </c>
      <c r="AI494" s="162">
        <v>0</v>
      </c>
      <c r="AJ494" s="162">
        <v>0</v>
      </c>
    </row>
    <row r="495" spans="1:36" x14ac:dyDescent="0.25">
      <c r="A495" t="s">
        <v>238</v>
      </c>
      <c r="B495" t="s">
        <v>961</v>
      </c>
      <c r="C495" s="143">
        <v>45373</v>
      </c>
      <c r="D495" s="142">
        <v>45378</v>
      </c>
      <c r="E495">
        <f>Tabela4[[#This Row],[DATA FATURAMENTO]]-Tabela4[[#This Row],[DATA ORÇAMENTO]]</f>
        <v>5</v>
      </c>
      <c r="F495">
        <v>11009</v>
      </c>
      <c r="G495" s="15" t="s">
        <v>37</v>
      </c>
      <c r="H495" s="54"/>
      <c r="I495" s="151">
        <v>821.27</v>
      </c>
      <c r="J495" s="154">
        <f>Tabela4[[#This Row],[VALOR]]-Tabela4[[#This Row],[PECAS]]</f>
        <v>492.31999999999994</v>
      </c>
      <c r="K495" s="150">
        <v>1313.59</v>
      </c>
      <c r="L495" s="151">
        <v>0</v>
      </c>
      <c r="M495" s="151">
        <v>22.95</v>
      </c>
      <c r="N495" s="24"/>
      <c r="O495" s="151">
        <v>0</v>
      </c>
      <c r="P495" s="151">
        <f>84+42</f>
        <v>126</v>
      </c>
      <c r="Q495" s="151">
        <v>0</v>
      </c>
      <c r="R495" s="151">
        <v>0</v>
      </c>
      <c r="S495" s="149">
        <v>117.36</v>
      </c>
      <c r="T495" s="151">
        <v>0</v>
      </c>
      <c r="U495" s="151">
        <v>490</v>
      </c>
      <c r="V495" s="15" t="s">
        <v>684</v>
      </c>
      <c r="W495" s="22">
        <v>4</v>
      </c>
      <c r="X495" s="149">
        <v>0</v>
      </c>
      <c r="Y495" s="15" t="s">
        <v>654</v>
      </c>
      <c r="Z495" s="155">
        <v>0</v>
      </c>
      <c r="AA495" s="149">
        <f>Tabela4[[#This Row],[VALOR]]-Tabela4[[#This Row],[PNEUS]]-Tabela4[[#This Row],[BATERIA]]</f>
        <v>823.58999999999992</v>
      </c>
      <c r="AB495" s="19" t="s">
        <v>24</v>
      </c>
      <c r="AC495" s="30">
        <v>0</v>
      </c>
      <c r="AD495" s="162">
        <v>0</v>
      </c>
      <c r="AE495" s="162">
        <v>0</v>
      </c>
      <c r="AF495" s="162">
        <v>0</v>
      </c>
      <c r="AG495" s="162">
        <v>0</v>
      </c>
      <c r="AH495" s="162">
        <v>0</v>
      </c>
      <c r="AI495" s="162">
        <v>0</v>
      </c>
      <c r="AJ495" s="162">
        <v>0</v>
      </c>
    </row>
    <row r="496" spans="1:36" x14ac:dyDescent="0.25">
      <c r="A496" t="s">
        <v>276</v>
      </c>
      <c r="B496" t="s">
        <v>962</v>
      </c>
      <c r="C496" s="143">
        <v>45371</v>
      </c>
      <c r="D496" s="142">
        <v>45378</v>
      </c>
      <c r="E496">
        <f>Tabela4[[#This Row],[DATA FATURAMENTO]]-Tabela4[[#This Row],[DATA ORÇAMENTO]]</f>
        <v>7</v>
      </c>
      <c r="F496">
        <v>10974</v>
      </c>
      <c r="G496" s="15" t="s">
        <v>35</v>
      </c>
      <c r="H496" s="54"/>
      <c r="I496" s="151">
        <v>645.20000000000005</v>
      </c>
      <c r="J496" s="154">
        <f>Tabela4[[#This Row],[VALOR]]-Tabela4[[#This Row],[PECAS]]</f>
        <v>504.79999999999995</v>
      </c>
      <c r="K496" s="150">
        <v>1150</v>
      </c>
      <c r="L496" s="151">
        <v>0</v>
      </c>
      <c r="M496" s="151">
        <v>0</v>
      </c>
      <c r="N496" s="24"/>
      <c r="O496" s="151">
        <v>0</v>
      </c>
      <c r="P496" s="151">
        <v>0</v>
      </c>
      <c r="Q496" s="151">
        <v>0</v>
      </c>
      <c r="R496" s="151">
        <v>0</v>
      </c>
      <c r="S496" s="149">
        <v>160</v>
      </c>
      <c r="T496" s="151">
        <v>0</v>
      </c>
      <c r="U496" s="151">
        <v>0</v>
      </c>
      <c r="V496" s="15"/>
      <c r="W496" s="22">
        <v>4</v>
      </c>
      <c r="X496" s="149">
        <v>0</v>
      </c>
      <c r="Y496" s="15" t="s">
        <v>645</v>
      </c>
      <c r="Z496" s="155">
        <v>0</v>
      </c>
      <c r="AA496" s="149">
        <f>Tabela4[[#This Row],[VALOR]]-Tabela4[[#This Row],[PNEUS]]-Tabela4[[#This Row],[BATERIA]]</f>
        <v>1150</v>
      </c>
      <c r="AB496" s="19" t="s">
        <v>30</v>
      </c>
      <c r="AC496" s="30">
        <v>0</v>
      </c>
      <c r="AD496" s="162">
        <v>0</v>
      </c>
      <c r="AE496" s="162">
        <v>0</v>
      </c>
      <c r="AF496" s="162">
        <v>0</v>
      </c>
      <c r="AG496" s="162">
        <v>0</v>
      </c>
      <c r="AH496" s="162">
        <v>0</v>
      </c>
      <c r="AI496" s="162">
        <v>0</v>
      </c>
      <c r="AJ496" s="162">
        <v>0</v>
      </c>
    </row>
    <row r="497" spans="1:36" x14ac:dyDescent="0.25">
      <c r="A497" t="s">
        <v>959</v>
      </c>
      <c r="B497" t="s">
        <v>960</v>
      </c>
      <c r="C497" s="143">
        <v>45377</v>
      </c>
      <c r="D497" s="142">
        <v>45378</v>
      </c>
      <c r="E497">
        <f>Tabela4[[#This Row],[DATA FATURAMENTO]]-Tabela4[[#This Row],[DATA ORÇAMENTO]]</f>
        <v>1</v>
      </c>
      <c r="F497">
        <v>11043</v>
      </c>
      <c r="G497" s="15" t="s">
        <v>25</v>
      </c>
      <c r="H497" s="54"/>
      <c r="I497" s="151">
        <v>356.24</v>
      </c>
      <c r="J497" s="154">
        <f>Tabela4[[#This Row],[VALOR]]-Tabela4[[#This Row],[PECAS]]</f>
        <v>1080.01</v>
      </c>
      <c r="K497" s="150">
        <v>1436.25</v>
      </c>
      <c r="L497" s="151">
        <v>0</v>
      </c>
      <c r="M497" s="151">
        <v>0</v>
      </c>
      <c r="N497" s="24"/>
      <c r="O497" s="151">
        <v>0</v>
      </c>
      <c r="P497" s="151">
        <v>0</v>
      </c>
      <c r="Q497" s="151">
        <v>0</v>
      </c>
      <c r="R497" s="151">
        <v>0</v>
      </c>
      <c r="S497" s="149">
        <v>36.24</v>
      </c>
      <c r="T497" s="151">
        <v>0</v>
      </c>
      <c r="U497" s="151">
        <v>0</v>
      </c>
      <c r="V497" s="15"/>
      <c r="W497" s="22">
        <v>0</v>
      </c>
      <c r="X497" s="149">
        <v>0</v>
      </c>
      <c r="Y497" s="15"/>
      <c r="Z497" s="155">
        <v>0</v>
      </c>
      <c r="AA497" s="149">
        <f>Tabela4[[#This Row],[VALOR]]-Tabela4[[#This Row],[PNEUS]]-Tabela4[[#This Row],[BATERIA]]</f>
        <v>1436.25</v>
      </c>
      <c r="AB497" s="19" t="s">
        <v>38</v>
      </c>
      <c r="AC497" s="30">
        <v>0</v>
      </c>
      <c r="AD497" s="162">
        <v>0</v>
      </c>
      <c r="AE497" s="162">
        <v>0</v>
      </c>
      <c r="AF497" s="162">
        <v>0</v>
      </c>
      <c r="AG497" s="162">
        <v>0</v>
      </c>
      <c r="AH497" s="162">
        <v>0</v>
      </c>
      <c r="AI497" s="162">
        <v>0</v>
      </c>
      <c r="AJ497" s="162">
        <v>0</v>
      </c>
    </row>
    <row r="498" spans="1:36" x14ac:dyDescent="0.25">
      <c r="A498" t="s">
        <v>286</v>
      </c>
      <c r="B498" t="s">
        <v>963</v>
      </c>
      <c r="C498" s="143">
        <v>45378</v>
      </c>
      <c r="D498" s="142">
        <v>45378</v>
      </c>
      <c r="E498">
        <f>Tabela4[[#This Row],[DATA FATURAMENTO]]-Tabela4[[#This Row],[DATA ORÇAMENTO]]</f>
        <v>0</v>
      </c>
      <c r="F498">
        <v>11056</v>
      </c>
      <c r="G498" s="15" t="s">
        <v>31</v>
      </c>
      <c r="H498" s="54"/>
      <c r="I498" s="151">
        <v>470</v>
      </c>
      <c r="J498" s="154">
        <f>Tabela4[[#This Row],[VALOR]]-Tabela4[[#This Row],[PECAS]]</f>
        <v>230</v>
      </c>
      <c r="K498" s="150">
        <v>700</v>
      </c>
      <c r="L498" s="151">
        <v>0</v>
      </c>
      <c r="M498" s="151">
        <v>0</v>
      </c>
      <c r="N498" s="24"/>
      <c r="O498" s="151">
        <v>0</v>
      </c>
      <c r="P498" s="151">
        <v>0</v>
      </c>
      <c r="Q498" s="151">
        <v>0</v>
      </c>
      <c r="R498" s="151">
        <v>0</v>
      </c>
      <c r="S498" s="149">
        <v>220</v>
      </c>
      <c r="T498" s="151">
        <v>0</v>
      </c>
      <c r="U498" s="151">
        <v>0</v>
      </c>
      <c r="V498" s="15"/>
      <c r="W498" s="22">
        <v>5</v>
      </c>
      <c r="X498" s="149">
        <v>0</v>
      </c>
      <c r="Y498" s="15" t="s">
        <v>807</v>
      </c>
      <c r="Z498" s="155">
        <v>0</v>
      </c>
      <c r="AA498" s="149">
        <f>Tabela4[[#This Row],[VALOR]]-Tabela4[[#This Row],[PNEUS]]-Tabela4[[#This Row],[BATERIA]]</f>
        <v>700</v>
      </c>
      <c r="AB498" s="19" t="s">
        <v>24</v>
      </c>
      <c r="AC498" s="30">
        <v>0</v>
      </c>
      <c r="AD498" s="162">
        <v>0</v>
      </c>
      <c r="AE498" s="162">
        <v>0</v>
      </c>
      <c r="AF498" s="162">
        <v>0</v>
      </c>
      <c r="AG498" s="162">
        <v>0</v>
      </c>
      <c r="AH498" s="162">
        <v>0</v>
      </c>
      <c r="AI498" s="162">
        <v>0</v>
      </c>
      <c r="AJ498" s="162">
        <v>0</v>
      </c>
    </row>
    <row r="499" spans="1:36" x14ac:dyDescent="0.25">
      <c r="A499" t="s">
        <v>295</v>
      </c>
      <c r="B499" t="s">
        <v>964</v>
      </c>
      <c r="C499" s="143">
        <v>45376</v>
      </c>
      <c r="D499" s="142">
        <v>45379</v>
      </c>
      <c r="E499">
        <f>Tabela4[[#This Row],[DATA FATURAMENTO]]-Tabela4[[#This Row],[DATA ORÇAMENTO]]</f>
        <v>3</v>
      </c>
      <c r="F499">
        <v>11033</v>
      </c>
      <c r="G499" s="25" t="s">
        <v>22</v>
      </c>
      <c r="H499" s="25"/>
      <c r="I499" s="155">
        <v>753.6</v>
      </c>
      <c r="J499" s="154">
        <f>Tabela4[[#This Row],[VALOR]]-Tabela4[[#This Row],[PECAS]]</f>
        <v>180</v>
      </c>
      <c r="K499" s="150">
        <v>933.6</v>
      </c>
      <c r="L499" s="155">
        <v>0</v>
      </c>
      <c r="M499" s="155">
        <v>0</v>
      </c>
      <c r="N499" s="67"/>
      <c r="O499" s="155">
        <v>0</v>
      </c>
      <c r="P499" s="155">
        <v>0</v>
      </c>
      <c r="Q499" s="155">
        <v>0</v>
      </c>
      <c r="R499" s="155">
        <v>0</v>
      </c>
      <c r="S499" s="154">
        <v>259.89999999999998</v>
      </c>
      <c r="T499" s="155">
        <v>0</v>
      </c>
      <c r="U499" s="155">
        <v>0</v>
      </c>
      <c r="V499" s="25"/>
      <c r="W499" s="28">
        <v>6</v>
      </c>
      <c r="X499" s="149">
        <v>0</v>
      </c>
      <c r="Y499" s="25" t="s">
        <v>807</v>
      </c>
      <c r="Z499" s="155">
        <v>0</v>
      </c>
      <c r="AA499" s="149">
        <f>Tabela4[[#This Row],[VALOR]]-Tabela4[[#This Row],[PNEUS]]-Tabela4[[#This Row],[BATERIA]]</f>
        <v>933.6</v>
      </c>
      <c r="AB499" s="27" t="s">
        <v>32</v>
      </c>
      <c r="AC499" s="30">
        <v>0</v>
      </c>
      <c r="AD499" s="162">
        <v>0</v>
      </c>
      <c r="AE499" s="162">
        <v>0</v>
      </c>
      <c r="AF499" s="162">
        <v>0</v>
      </c>
      <c r="AG499" s="162">
        <v>0</v>
      </c>
      <c r="AH499" s="162">
        <v>0</v>
      </c>
      <c r="AI499" s="162">
        <v>0</v>
      </c>
      <c r="AJ499" s="162">
        <v>0</v>
      </c>
    </row>
    <row r="500" spans="1:36" x14ac:dyDescent="0.25">
      <c r="A500" t="s">
        <v>275</v>
      </c>
      <c r="B500" t="s">
        <v>948</v>
      </c>
      <c r="C500" s="143">
        <v>45377</v>
      </c>
      <c r="D500" s="142">
        <v>45379</v>
      </c>
      <c r="E500">
        <f>Tabela4[[#This Row],[DATA FATURAMENTO]]-Tabela4[[#This Row],[DATA ORÇAMENTO]]</f>
        <v>2</v>
      </c>
      <c r="F500">
        <v>11051</v>
      </c>
      <c r="G500" s="15" t="s">
        <v>22</v>
      </c>
      <c r="H500" s="54"/>
      <c r="I500" s="151">
        <v>4044.9</v>
      </c>
      <c r="J500" s="154">
        <f>Tabela4[[#This Row],[VALOR]]-Tabela4[[#This Row],[PECAS]]</f>
        <v>1945.1</v>
      </c>
      <c r="K500" s="150">
        <v>5990</v>
      </c>
      <c r="L500" s="151">
        <v>0</v>
      </c>
      <c r="M500" s="151">
        <f>21+70+60</f>
        <v>151</v>
      </c>
      <c r="N500" s="24"/>
      <c r="O500" s="151">
        <v>190</v>
      </c>
      <c r="P500" s="151">
        <v>0</v>
      </c>
      <c r="Q500" s="151">
        <v>0</v>
      </c>
      <c r="R500" s="151">
        <v>0</v>
      </c>
      <c r="S500" s="149">
        <v>160</v>
      </c>
      <c r="T500" s="151">
        <v>0</v>
      </c>
      <c r="U500" s="151">
        <v>0</v>
      </c>
      <c r="V500" s="15"/>
      <c r="W500" s="22">
        <v>4</v>
      </c>
      <c r="X500" s="149">
        <v>0</v>
      </c>
      <c r="Y500" s="15"/>
      <c r="Z500" s="155">
        <v>0</v>
      </c>
      <c r="AA500" s="149">
        <f>Tabela4[[#This Row],[VALOR]]-Tabela4[[#This Row],[PNEUS]]-Tabela4[[#This Row],[BATERIA]]</f>
        <v>5990</v>
      </c>
      <c r="AB500" s="19" t="s">
        <v>32</v>
      </c>
      <c r="AC500" s="30">
        <v>0</v>
      </c>
      <c r="AD500" s="162">
        <v>0</v>
      </c>
      <c r="AE500" s="162">
        <v>0</v>
      </c>
      <c r="AF500" s="162">
        <v>0</v>
      </c>
      <c r="AG500" s="162">
        <v>0</v>
      </c>
      <c r="AH500" s="162">
        <v>0</v>
      </c>
      <c r="AI500" s="162">
        <v>0</v>
      </c>
      <c r="AJ500" s="162">
        <v>0</v>
      </c>
    </row>
    <row r="501" spans="1:36" x14ac:dyDescent="0.25">
      <c r="A501" t="s">
        <v>284</v>
      </c>
      <c r="B501" t="s">
        <v>965</v>
      </c>
      <c r="C501" s="143">
        <v>45378</v>
      </c>
      <c r="D501" s="142">
        <v>45379</v>
      </c>
      <c r="E501">
        <f>Tabela4[[#This Row],[DATA FATURAMENTO]]-Tabela4[[#This Row],[DATA ORÇAMENTO]]</f>
        <v>1</v>
      </c>
      <c r="F501">
        <v>11062</v>
      </c>
      <c r="G501" s="15" t="s">
        <v>22</v>
      </c>
      <c r="H501" s="54"/>
      <c r="I501" s="151">
        <v>640</v>
      </c>
      <c r="J501" s="154">
        <f>Tabela4[[#This Row],[VALOR]]-Tabela4[[#This Row],[PECAS]]</f>
        <v>290</v>
      </c>
      <c r="K501" s="150">
        <v>930</v>
      </c>
      <c r="L501" s="151">
        <v>0</v>
      </c>
      <c r="M501" s="151">
        <v>0</v>
      </c>
      <c r="N501" s="24"/>
      <c r="O501" s="151">
        <v>0</v>
      </c>
      <c r="P501" s="151">
        <v>0</v>
      </c>
      <c r="Q501" s="151">
        <v>0</v>
      </c>
      <c r="R501" s="151">
        <v>0</v>
      </c>
      <c r="S501" s="149">
        <v>0</v>
      </c>
      <c r="T501" s="151">
        <v>0</v>
      </c>
      <c r="U501" s="151">
        <v>0</v>
      </c>
      <c r="V501" s="15"/>
      <c r="W501" s="22">
        <v>0</v>
      </c>
      <c r="X501" s="149">
        <v>0</v>
      </c>
      <c r="Y501" s="15"/>
      <c r="Z501" s="155">
        <v>0</v>
      </c>
      <c r="AA501" s="149">
        <f>Tabela4[[#This Row],[VALOR]]-Tabela4[[#This Row],[PNEUS]]-Tabela4[[#This Row],[BATERIA]]</f>
        <v>930</v>
      </c>
      <c r="AB501" s="19" t="s">
        <v>34</v>
      </c>
      <c r="AC501" s="30">
        <v>0</v>
      </c>
      <c r="AD501" s="162">
        <v>0</v>
      </c>
      <c r="AE501" s="162">
        <v>0</v>
      </c>
      <c r="AF501" s="162">
        <v>0</v>
      </c>
      <c r="AG501" s="162">
        <v>0</v>
      </c>
      <c r="AH501" s="162">
        <v>0</v>
      </c>
      <c r="AI501" s="162">
        <v>0</v>
      </c>
      <c r="AJ501" s="162">
        <v>0</v>
      </c>
    </row>
    <row r="502" spans="1:36" x14ac:dyDescent="0.25">
      <c r="A502" t="s">
        <v>111</v>
      </c>
      <c r="B502" t="s">
        <v>876</v>
      </c>
      <c r="C502" s="143">
        <v>45376</v>
      </c>
      <c r="D502" s="142">
        <v>45381</v>
      </c>
      <c r="E502">
        <f>Tabela4[[#This Row],[DATA FATURAMENTO]]-Tabela4[[#This Row],[DATA ORÇAMENTO]]</f>
        <v>5</v>
      </c>
      <c r="F502">
        <v>11026</v>
      </c>
      <c r="G502" s="25" t="s">
        <v>22</v>
      </c>
      <c r="H502" s="25"/>
      <c r="I502" s="155">
        <v>1000</v>
      </c>
      <c r="J502" s="154">
        <f>Tabela4[[#This Row],[VALOR]]-Tabela4[[#This Row],[PECAS]]</f>
        <v>0</v>
      </c>
      <c r="K502" s="150">
        <v>1000</v>
      </c>
      <c r="L502" s="155">
        <v>0</v>
      </c>
      <c r="M502" s="155">
        <v>0</v>
      </c>
      <c r="N502" s="67"/>
      <c r="O502" s="155">
        <v>0</v>
      </c>
      <c r="P502" s="155">
        <v>0</v>
      </c>
      <c r="Q502" s="155">
        <v>0</v>
      </c>
      <c r="R502" s="155">
        <v>0</v>
      </c>
      <c r="S502" s="154">
        <v>0</v>
      </c>
      <c r="T502" s="155">
        <v>0</v>
      </c>
      <c r="U502" s="155">
        <v>0</v>
      </c>
      <c r="V502" s="25"/>
      <c r="W502" s="22">
        <v>0</v>
      </c>
      <c r="X502" s="149">
        <v>0</v>
      </c>
      <c r="Y502" s="25"/>
      <c r="Z502" s="155">
        <v>0</v>
      </c>
      <c r="AA502" s="149">
        <f>Tabela4[[#This Row],[VALOR]]-Tabela4[[#This Row],[PNEUS]]-Tabela4[[#This Row],[BATERIA]]</f>
        <v>1000</v>
      </c>
      <c r="AB502" s="27" t="s">
        <v>34</v>
      </c>
      <c r="AC502" s="30">
        <v>0</v>
      </c>
      <c r="AD502" s="162">
        <v>0</v>
      </c>
      <c r="AE502" s="162">
        <v>0</v>
      </c>
      <c r="AF502" s="162">
        <v>0</v>
      </c>
      <c r="AG502" s="162">
        <v>0</v>
      </c>
      <c r="AH502" s="162">
        <v>0</v>
      </c>
      <c r="AI502" s="162">
        <v>0</v>
      </c>
      <c r="AJ502" s="162">
        <v>0</v>
      </c>
    </row>
    <row r="503" spans="1:36" x14ac:dyDescent="0.25">
      <c r="A503" t="s">
        <v>966</v>
      </c>
      <c r="B503" t="s">
        <v>960</v>
      </c>
      <c r="C503" s="143">
        <v>45378</v>
      </c>
      <c r="D503" s="142">
        <v>45381</v>
      </c>
      <c r="E503">
        <f>Tabela4[[#This Row],[DATA FATURAMENTO]]-Tabela4[[#This Row],[DATA ORÇAMENTO]]</f>
        <v>3</v>
      </c>
      <c r="F503">
        <v>11063</v>
      </c>
      <c r="G503" s="15" t="s">
        <v>25</v>
      </c>
      <c r="H503" s="25"/>
      <c r="I503" s="151">
        <v>1076.4000000000001</v>
      </c>
      <c r="J503" s="154">
        <f>Tabela4[[#This Row],[VALOR]]-Tabela4[[#This Row],[PECAS]]</f>
        <v>883.07999999999993</v>
      </c>
      <c r="K503" s="150">
        <v>1959.48</v>
      </c>
      <c r="L503" s="151">
        <v>0</v>
      </c>
      <c r="M503" s="151">
        <f>140+125.28</f>
        <v>265.27999999999997</v>
      </c>
      <c r="N503" s="24"/>
      <c r="O503" s="151">
        <f>140+40.8</f>
        <v>180.8</v>
      </c>
      <c r="P503" s="151">
        <v>0</v>
      </c>
      <c r="Q503" s="151">
        <v>0</v>
      </c>
      <c r="R503" s="151">
        <v>0</v>
      </c>
      <c r="S503" s="149">
        <v>0</v>
      </c>
      <c r="T503" s="151">
        <v>0</v>
      </c>
      <c r="U503" s="151">
        <v>0</v>
      </c>
      <c r="V503" s="15"/>
      <c r="W503" s="22">
        <v>3</v>
      </c>
      <c r="X503" s="149">
        <v>0</v>
      </c>
      <c r="Y503" s="15" t="s">
        <v>654</v>
      </c>
      <c r="Z503" s="155">
        <v>0</v>
      </c>
      <c r="AA503" s="149">
        <f>Tabela4[[#This Row],[VALOR]]-Tabela4[[#This Row],[PNEUS]]-Tabela4[[#This Row],[BATERIA]]</f>
        <v>1959.48</v>
      </c>
      <c r="AB503" s="19" t="s">
        <v>30</v>
      </c>
      <c r="AC503" s="30">
        <v>0</v>
      </c>
      <c r="AD503" s="162">
        <v>0</v>
      </c>
      <c r="AE503" s="162">
        <v>0</v>
      </c>
      <c r="AF503" s="162">
        <v>0</v>
      </c>
      <c r="AG503" s="162">
        <v>0</v>
      </c>
      <c r="AH503" s="162">
        <v>0</v>
      </c>
      <c r="AI503" s="162">
        <v>0</v>
      </c>
      <c r="AJ503" s="162">
        <v>0</v>
      </c>
    </row>
    <row r="504" spans="1:36" x14ac:dyDescent="0.25">
      <c r="A504" t="s">
        <v>298</v>
      </c>
      <c r="B504" t="s">
        <v>955</v>
      </c>
      <c r="C504" s="143">
        <v>45381</v>
      </c>
      <c r="D504" s="142">
        <v>45381</v>
      </c>
      <c r="E504">
        <f>Tabela4[[#This Row],[DATA FATURAMENTO]]-Tabela4[[#This Row],[DATA ORÇAMENTO]]</f>
        <v>0</v>
      </c>
      <c r="F504">
        <v>11075</v>
      </c>
      <c r="G504" s="15" t="s">
        <v>37</v>
      </c>
      <c r="H504" s="54"/>
      <c r="I504" s="151">
        <v>35.340000000000003</v>
      </c>
      <c r="J504" s="154">
        <f>Tabela4[[#This Row],[VALOR]]-Tabela4[[#This Row],[PECAS]]</f>
        <v>104.00999999999999</v>
      </c>
      <c r="K504" s="150">
        <v>139.35</v>
      </c>
      <c r="L504" s="151">
        <v>0</v>
      </c>
      <c r="M504" s="151">
        <v>0</v>
      </c>
      <c r="N504" s="24"/>
      <c r="O504" s="151">
        <v>0</v>
      </c>
      <c r="P504" s="151">
        <v>0</v>
      </c>
      <c r="Q504" s="151">
        <v>0</v>
      </c>
      <c r="R504" s="151">
        <v>0</v>
      </c>
      <c r="S504" s="149">
        <v>139.35</v>
      </c>
      <c r="T504" s="151">
        <v>0</v>
      </c>
      <c r="U504" s="151">
        <v>0</v>
      </c>
      <c r="V504" s="15"/>
      <c r="W504" s="22">
        <v>0</v>
      </c>
      <c r="X504" s="149">
        <v>0</v>
      </c>
      <c r="Y504" s="15"/>
      <c r="Z504" s="155">
        <v>0</v>
      </c>
      <c r="AA504" s="149">
        <f>Tabela4[[#This Row],[VALOR]]-Tabela4[[#This Row],[PNEUS]]-Tabela4[[#This Row],[BATERIA]]</f>
        <v>139.35</v>
      </c>
      <c r="AB504" s="19" t="s">
        <v>38</v>
      </c>
      <c r="AC504" s="30">
        <v>0</v>
      </c>
      <c r="AD504" s="162">
        <v>0</v>
      </c>
      <c r="AE504" s="162">
        <v>0</v>
      </c>
      <c r="AF504" s="162">
        <v>0</v>
      </c>
      <c r="AG504" s="162">
        <v>0</v>
      </c>
      <c r="AH504" s="162">
        <v>0</v>
      </c>
      <c r="AI504" s="162">
        <v>0</v>
      </c>
      <c r="AJ504" s="162">
        <v>0</v>
      </c>
    </row>
    <row r="505" spans="1:36" x14ac:dyDescent="0.25">
      <c r="A505" t="s">
        <v>303</v>
      </c>
      <c r="B505" t="s">
        <v>967</v>
      </c>
      <c r="C505" s="143">
        <v>45381</v>
      </c>
      <c r="D505" s="142">
        <v>45381</v>
      </c>
      <c r="E505">
        <f>Tabela4[[#This Row],[DATA FATURAMENTO]]-Tabela4[[#This Row],[DATA ORÇAMENTO]]</f>
        <v>0</v>
      </c>
      <c r="F505">
        <v>11080</v>
      </c>
      <c r="G505" s="15" t="s">
        <v>6</v>
      </c>
      <c r="H505" s="54"/>
      <c r="I505" s="151">
        <v>533.5</v>
      </c>
      <c r="J505" s="154">
        <f>Tabela4[[#This Row],[VALOR]]-Tabela4[[#This Row],[PECAS]]</f>
        <v>0</v>
      </c>
      <c r="K505" s="150">
        <v>533.5</v>
      </c>
      <c r="L505" s="151">
        <v>0</v>
      </c>
      <c r="M505" s="151">
        <v>0</v>
      </c>
      <c r="N505" s="24"/>
      <c r="O505" s="151">
        <v>0</v>
      </c>
      <c r="P505" s="151">
        <v>0</v>
      </c>
      <c r="Q505" s="151">
        <v>0</v>
      </c>
      <c r="R505" s="151">
        <v>0</v>
      </c>
      <c r="S505" s="149">
        <v>0</v>
      </c>
      <c r="T505" s="151">
        <v>0</v>
      </c>
      <c r="U505" s="151">
        <v>533.5</v>
      </c>
      <c r="V505" s="15" t="s">
        <v>661</v>
      </c>
      <c r="W505" s="22">
        <v>0</v>
      </c>
      <c r="X505" s="149">
        <v>0</v>
      </c>
      <c r="Y505" s="15"/>
      <c r="Z505" s="155">
        <v>0</v>
      </c>
      <c r="AA505" s="149">
        <f>Tabela4[[#This Row],[VALOR]]-Tabela4[[#This Row],[PNEUS]]-Tabela4[[#This Row],[BATERIA]]</f>
        <v>0</v>
      </c>
      <c r="AB505" s="19" t="s">
        <v>6</v>
      </c>
      <c r="AC505" s="30">
        <v>0</v>
      </c>
      <c r="AD505" s="162">
        <v>0</v>
      </c>
      <c r="AE505" s="162">
        <v>0</v>
      </c>
      <c r="AF505" s="162">
        <v>0</v>
      </c>
      <c r="AG505" s="162">
        <v>0</v>
      </c>
      <c r="AH505" s="162">
        <v>0</v>
      </c>
      <c r="AI505" s="162">
        <v>0</v>
      </c>
      <c r="AJ505" s="162">
        <v>0</v>
      </c>
    </row>
    <row r="506" spans="1:36" x14ac:dyDescent="0.25">
      <c r="A506" t="s">
        <v>302</v>
      </c>
      <c r="B506" t="s">
        <v>968</v>
      </c>
      <c r="C506" s="143">
        <v>45381</v>
      </c>
      <c r="D506" s="142">
        <v>45381</v>
      </c>
      <c r="E506">
        <f>Tabela4[[#This Row],[DATA FATURAMENTO]]-Tabela4[[#This Row],[DATA ORÇAMENTO]]</f>
        <v>0</v>
      </c>
      <c r="F506">
        <v>11081</v>
      </c>
      <c r="G506" s="15" t="s">
        <v>6</v>
      </c>
      <c r="H506" s="54"/>
      <c r="I506" s="151">
        <v>530</v>
      </c>
      <c r="J506" s="154">
        <f>Tabela4[[#This Row],[VALOR]]-Tabela4[[#This Row],[PECAS]]</f>
        <v>9.9999999999909051E-3</v>
      </c>
      <c r="K506" s="150">
        <v>530.01</v>
      </c>
      <c r="L506" s="151">
        <v>0</v>
      </c>
      <c r="M506" s="151">
        <v>0</v>
      </c>
      <c r="N506" s="24"/>
      <c r="O506" s="151">
        <v>0</v>
      </c>
      <c r="P506" s="151">
        <v>0</v>
      </c>
      <c r="Q506" s="151">
        <v>0</v>
      </c>
      <c r="R506" s="151">
        <v>0</v>
      </c>
      <c r="S506" s="149">
        <v>0</v>
      </c>
      <c r="T506" s="151">
        <v>0</v>
      </c>
      <c r="U506" s="151">
        <v>530.01</v>
      </c>
      <c r="V506" s="15" t="s">
        <v>884</v>
      </c>
      <c r="W506" s="22">
        <v>0</v>
      </c>
      <c r="X506" s="149">
        <v>0</v>
      </c>
      <c r="Y506" s="15"/>
      <c r="Z506" s="155">
        <v>0</v>
      </c>
      <c r="AA506" s="149">
        <f>Tabela4[[#This Row],[VALOR]]-Tabela4[[#This Row],[PNEUS]]-Tabela4[[#This Row],[BATERIA]]</f>
        <v>0</v>
      </c>
      <c r="AB506" s="19" t="s">
        <v>6</v>
      </c>
      <c r="AC506" s="30">
        <v>0</v>
      </c>
      <c r="AD506" s="162">
        <v>0</v>
      </c>
      <c r="AE506" s="162">
        <v>0</v>
      </c>
      <c r="AF506" s="162">
        <v>0</v>
      </c>
      <c r="AG506" s="162">
        <v>0</v>
      </c>
      <c r="AH506" s="162">
        <v>0</v>
      </c>
      <c r="AI506" s="162">
        <v>0</v>
      </c>
      <c r="AJ506" s="162">
        <v>0</v>
      </c>
    </row>
    <row r="507" spans="1:36" x14ac:dyDescent="0.25">
      <c r="A507" s="25" t="s">
        <v>191</v>
      </c>
      <c r="B507" s="25" t="s">
        <v>948</v>
      </c>
      <c r="C507" s="142">
        <v>45365</v>
      </c>
      <c r="D507" s="142">
        <v>45370</v>
      </c>
      <c r="E507">
        <f>Tabela4[[#This Row],[DATA FATURAMENTO]]-Tabela4[[#This Row],[DATA ORÇAMENTO]]</f>
        <v>5</v>
      </c>
      <c r="F507" s="25">
        <v>10910</v>
      </c>
      <c r="G507" s="25"/>
      <c r="H507" s="25"/>
      <c r="I507" s="155">
        <v>2250</v>
      </c>
      <c r="J507" s="154">
        <v>0</v>
      </c>
      <c r="K507" s="153">
        <f>Tabela4[[#This Row],[PECAS]]-Tabela4[[#This Row],[PECAS]]</f>
        <v>0</v>
      </c>
      <c r="L507" s="155">
        <v>0</v>
      </c>
      <c r="M507" s="155">
        <v>0</v>
      </c>
      <c r="N507" s="67"/>
      <c r="O507" s="155">
        <v>0</v>
      </c>
      <c r="P507" s="155">
        <v>0</v>
      </c>
      <c r="Q507" s="155">
        <v>0</v>
      </c>
      <c r="R507" s="155">
        <v>0</v>
      </c>
      <c r="S507" s="154">
        <v>80</v>
      </c>
      <c r="T507" s="155">
        <v>0</v>
      </c>
      <c r="U507" s="155">
        <v>0</v>
      </c>
      <c r="V507" s="25"/>
      <c r="W507" s="22">
        <v>0</v>
      </c>
      <c r="X507" s="149">
        <v>0</v>
      </c>
      <c r="Y507" s="25"/>
      <c r="Z507" s="155">
        <v>0</v>
      </c>
      <c r="AA507" s="149">
        <f>Tabela4[[#This Row],[VALOR]]-Tabela4[[#This Row],[PNEUS]]-Tabela4[[#This Row],[BATERIA]]</f>
        <v>0</v>
      </c>
      <c r="AB507" s="27" t="s">
        <v>38</v>
      </c>
      <c r="AC507" s="30">
        <v>0</v>
      </c>
      <c r="AD507" s="162">
        <v>0</v>
      </c>
      <c r="AE507" s="162">
        <v>0</v>
      </c>
      <c r="AF507" s="162">
        <v>0</v>
      </c>
      <c r="AG507" s="162">
        <v>0</v>
      </c>
      <c r="AH507" s="162">
        <v>0</v>
      </c>
      <c r="AI507" s="162">
        <v>0</v>
      </c>
      <c r="AJ507" s="162">
        <v>0</v>
      </c>
    </row>
    <row r="508" spans="1:36" x14ac:dyDescent="0.25">
      <c r="A508" t="s">
        <v>293</v>
      </c>
      <c r="B508" t="s">
        <v>969</v>
      </c>
      <c r="C508" s="143">
        <v>45381</v>
      </c>
      <c r="D508" s="142">
        <v>45383</v>
      </c>
      <c r="E508">
        <f>Tabela4[[#This Row],[DATA FATURAMENTO]]-Tabela4[[#This Row],[DATA ORÇAMENTO]]</f>
        <v>2</v>
      </c>
      <c r="F508">
        <v>11079</v>
      </c>
      <c r="G508" s="15" t="s">
        <v>35</v>
      </c>
      <c r="H508" s="25"/>
      <c r="I508" s="151">
        <v>399.9</v>
      </c>
      <c r="J508" s="154">
        <f>Tabela4[[#This Row],[VALOR]]-Tabela4[[#This Row],[PECAS]]</f>
        <v>595.17000000000007</v>
      </c>
      <c r="K508" s="150">
        <v>995.07</v>
      </c>
      <c r="L508" s="151">
        <v>0</v>
      </c>
      <c r="M508" s="151">
        <v>0</v>
      </c>
      <c r="N508" s="24"/>
      <c r="O508" s="151">
        <v>0</v>
      </c>
      <c r="P508" s="151">
        <v>0</v>
      </c>
      <c r="Q508" s="151">
        <v>0</v>
      </c>
      <c r="R508" s="151">
        <v>0</v>
      </c>
      <c r="S508" s="149">
        <v>0</v>
      </c>
      <c r="T508" s="151">
        <v>0</v>
      </c>
      <c r="U508" s="151">
        <v>0</v>
      </c>
      <c r="V508" s="15"/>
      <c r="W508" s="22">
        <v>0</v>
      </c>
      <c r="X508" s="149">
        <v>0</v>
      </c>
      <c r="Y508" s="15"/>
      <c r="Z508" s="155">
        <v>0</v>
      </c>
      <c r="AA508" s="149">
        <f>Tabela4[[#This Row],[VALOR]]-Tabela4[[#This Row],[PNEUS]]-Tabela4[[#This Row],[BATERIA]]</f>
        <v>995.07</v>
      </c>
      <c r="AB508" s="19" t="s">
        <v>34</v>
      </c>
      <c r="AC508" s="30">
        <v>0</v>
      </c>
      <c r="AD508" s="162">
        <v>0</v>
      </c>
      <c r="AE508" s="162">
        <v>0</v>
      </c>
      <c r="AF508" s="162">
        <v>0</v>
      </c>
      <c r="AG508" s="162">
        <v>0</v>
      </c>
      <c r="AH508" s="162">
        <v>0</v>
      </c>
      <c r="AI508" s="162">
        <v>0</v>
      </c>
      <c r="AJ508" s="162">
        <v>0</v>
      </c>
    </row>
    <row r="509" spans="1:36" x14ac:dyDescent="0.25">
      <c r="A509" t="s">
        <v>970</v>
      </c>
      <c r="B509" t="s">
        <v>873</v>
      </c>
      <c r="C509" s="143">
        <v>45383</v>
      </c>
      <c r="D509" s="142">
        <v>45383</v>
      </c>
      <c r="E509">
        <f>Tabela4[[#This Row],[DATA FATURAMENTO]]-Tabela4[[#This Row],[DATA ORÇAMENTO]]</f>
        <v>0</v>
      </c>
      <c r="F509">
        <v>11084</v>
      </c>
      <c r="G509" s="15" t="s">
        <v>31</v>
      </c>
      <c r="H509" s="54"/>
      <c r="I509" s="151">
        <v>185</v>
      </c>
      <c r="J509" s="154">
        <f>Tabela4[[#This Row],[VALOR]]-Tabela4[[#This Row],[PECAS]]</f>
        <v>0</v>
      </c>
      <c r="K509" s="150">
        <v>185</v>
      </c>
      <c r="L509" s="151">
        <v>0</v>
      </c>
      <c r="M509" s="151">
        <v>0</v>
      </c>
      <c r="N509" s="24"/>
      <c r="O509" s="151">
        <v>0</v>
      </c>
      <c r="P509" s="151">
        <v>0</v>
      </c>
      <c r="Q509" s="151">
        <v>0</v>
      </c>
      <c r="R509" s="151">
        <v>0</v>
      </c>
      <c r="S509" s="149">
        <v>0</v>
      </c>
      <c r="T509" s="151">
        <v>0</v>
      </c>
      <c r="U509" s="151">
        <v>0</v>
      </c>
      <c r="V509" s="15"/>
      <c r="W509" s="22">
        <v>3</v>
      </c>
      <c r="X509" s="149">
        <v>0</v>
      </c>
      <c r="Y509" s="15" t="s">
        <v>807</v>
      </c>
      <c r="Z509" s="155">
        <v>0</v>
      </c>
      <c r="AA509" s="149">
        <f>Tabela4[[#This Row],[VALOR]]-Tabela4[[#This Row],[PNEUS]]-Tabela4[[#This Row],[BATERIA]]</f>
        <v>185</v>
      </c>
      <c r="AB509" s="19" t="s">
        <v>24</v>
      </c>
      <c r="AC509" s="30">
        <v>0</v>
      </c>
      <c r="AD509" s="162">
        <v>0</v>
      </c>
      <c r="AE509" s="162">
        <v>0</v>
      </c>
      <c r="AF509" s="162">
        <v>0</v>
      </c>
      <c r="AG509" s="162">
        <v>0</v>
      </c>
      <c r="AH509" s="162">
        <v>0</v>
      </c>
      <c r="AI509" s="162">
        <v>0</v>
      </c>
      <c r="AJ509" s="162">
        <v>0</v>
      </c>
    </row>
    <row r="510" spans="1:36" x14ac:dyDescent="0.25">
      <c r="A510" t="s">
        <v>291</v>
      </c>
      <c r="B510" t="s">
        <v>971</v>
      </c>
      <c r="C510" s="143">
        <v>45383</v>
      </c>
      <c r="D510" s="142">
        <v>45383</v>
      </c>
      <c r="E510">
        <f>Tabela4[[#This Row],[DATA FATURAMENTO]]-Tabela4[[#This Row],[DATA ORÇAMENTO]]</f>
        <v>0</v>
      </c>
      <c r="F510">
        <v>11085</v>
      </c>
      <c r="G510" s="15" t="s">
        <v>22</v>
      </c>
      <c r="H510" s="54"/>
      <c r="I510" s="151">
        <v>3036.4</v>
      </c>
      <c r="J510" s="154">
        <f>Tabela4[[#This Row],[VALOR]]-Tabela4[[#This Row],[PECAS]]</f>
        <v>1443.6</v>
      </c>
      <c r="K510" s="150">
        <v>4480</v>
      </c>
      <c r="L510" s="151">
        <v>96</v>
      </c>
      <c r="M510" s="151">
        <f>77.6+21+70</f>
        <v>168.6</v>
      </c>
      <c r="N510" s="24"/>
      <c r="O510" s="151">
        <v>0</v>
      </c>
      <c r="P510" s="151">
        <v>0</v>
      </c>
      <c r="Q510" s="151">
        <v>0</v>
      </c>
      <c r="R510" s="151">
        <v>0</v>
      </c>
      <c r="S510" s="149">
        <v>0</v>
      </c>
      <c r="T510" s="151">
        <v>0</v>
      </c>
      <c r="U510" s="151">
        <v>0</v>
      </c>
      <c r="V510" s="15"/>
      <c r="W510" s="22">
        <v>0</v>
      </c>
      <c r="X510" s="149">
        <v>0</v>
      </c>
      <c r="Y510" s="15"/>
      <c r="Z510" s="155">
        <v>0</v>
      </c>
      <c r="AA510" s="149">
        <f>Tabela4[[#This Row],[VALOR]]-Tabela4[[#This Row],[PNEUS]]-Tabela4[[#This Row],[BATERIA]]</f>
        <v>4480</v>
      </c>
      <c r="AB510" s="19" t="s">
        <v>24</v>
      </c>
      <c r="AC510" s="30">
        <v>0</v>
      </c>
      <c r="AD510" s="162">
        <v>0</v>
      </c>
      <c r="AE510" s="162">
        <v>0</v>
      </c>
      <c r="AF510" s="162">
        <v>0</v>
      </c>
      <c r="AG510" s="162">
        <v>0</v>
      </c>
      <c r="AH510" s="162">
        <v>0</v>
      </c>
      <c r="AI510" s="162">
        <v>0</v>
      </c>
      <c r="AJ510" s="162">
        <v>0</v>
      </c>
    </row>
    <row r="511" spans="1:36" x14ac:dyDescent="0.25">
      <c r="A511" t="s">
        <v>231</v>
      </c>
      <c r="B511" t="s">
        <v>854</v>
      </c>
      <c r="C511" s="143">
        <v>45370</v>
      </c>
      <c r="D511" s="142">
        <v>45384</v>
      </c>
      <c r="E511">
        <f>Tabela4[[#This Row],[DATA FATURAMENTO]]-Tabela4[[#This Row],[DATA ORÇAMENTO]]</f>
        <v>14</v>
      </c>
      <c r="F511">
        <v>10963</v>
      </c>
      <c r="G511" s="25" t="s">
        <v>28</v>
      </c>
      <c r="H511" s="25"/>
      <c r="I511" s="155">
        <v>554.59</v>
      </c>
      <c r="J511" s="154">
        <f>Tabela4[[#This Row],[VALOR]]-Tabela4[[#This Row],[PECAS]]</f>
        <v>1067</v>
      </c>
      <c r="K511" s="150">
        <v>1621.59</v>
      </c>
      <c r="L511" s="155">
        <v>150</v>
      </c>
      <c r="M511" s="155">
        <f>22.95</f>
        <v>22.95</v>
      </c>
      <c r="N511" s="67"/>
      <c r="O511" s="155">
        <v>0</v>
      </c>
      <c r="P511" s="155">
        <v>0</v>
      </c>
      <c r="Q511" s="155">
        <v>0</v>
      </c>
      <c r="R511" s="155">
        <v>0</v>
      </c>
      <c r="S511" s="154">
        <v>157</v>
      </c>
      <c r="T511" s="155">
        <v>0</v>
      </c>
      <c r="U511" s="155">
        <v>0</v>
      </c>
      <c r="V511" s="25"/>
      <c r="W511" s="28">
        <v>3</v>
      </c>
      <c r="X511" s="149">
        <v>0</v>
      </c>
      <c r="Y511" s="25" t="s">
        <v>654</v>
      </c>
      <c r="Z511" s="155">
        <v>0</v>
      </c>
      <c r="AA511" s="149">
        <f>Tabela4[[#This Row],[VALOR]]-Tabela4[[#This Row],[PNEUS]]-Tabela4[[#This Row],[BATERIA]]</f>
        <v>1621.59</v>
      </c>
      <c r="AB511" s="27" t="s">
        <v>30</v>
      </c>
      <c r="AC511" s="30">
        <v>0</v>
      </c>
      <c r="AD511" s="162">
        <v>0</v>
      </c>
      <c r="AE511" s="162">
        <v>0</v>
      </c>
      <c r="AF511" s="162">
        <v>0</v>
      </c>
      <c r="AG511" s="162">
        <v>0</v>
      </c>
      <c r="AH511" s="162">
        <v>0</v>
      </c>
      <c r="AI511" s="162">
        <v>0</v>
      </c>
      <c r="AJ511" s="162">
        <v>0</v>
      </c>
    </row>
    <row r="512" spans="1:36" x14ac:dyDescent="0.25">
      <c r="A512" t="s">
        <v>234</v>
      </c>
      <c r="B512" t="s">
        <v>972</v>
      </c>
      <c r="C512" s="143">
        <v>45373</v>
      </c>
      <c r="D512" s="142">
        <v>45384</v>
      </c>
      <c r="E512">
        <f>Tabela4[[#This Row],[DATA FATURAMENTO]]-Tabela4[[#This Row],[DATA ORÇAMENTO]]</f>
        <v>11</v>
      </c>
      <c r="F512">
        <v>11002</v>
      </c>
      <c r="G512" s="15" t="s">
        <v>22</v>
      </c>
      <c r="H512" s="25"/>
      <c r="I512" s="151">
        <v>5406.4</v>
      </c>
      <c r="J512" s="154">
        <f>Tabela4[[#This Row],[VALOR]]-Tabela4[[#This Row],[PECAS]]</f>
        <v>2420.0100000000002</v>
      </c>
      <c r="K512" s="150">
        <v>7826.41</v>
      </c>
      <c r="L512" s="151">
        <v>110</v>
      </c>
      <c r="M512" s="151">
        <v>0</v>
      </c>
      <c r="N512" s="24"/>
      <c r="O512" s="151">
        <v>240</v>
      </c>
      <c r="P512" s="151">
        <v>0</v>
      </c>
      <c r="Q512" s="151">
        <v>170</v>
      </c>
      <c r="R512" s="151">
        <v>0</v>
      </c>
      <c r="S512" s="154">
        <v>80</v>
      </c>
      <c r="T512" s="151">
        <v>0</v>
      </c>
      <c r="U512" s="151">
        <v>0</v>
      </c>
      <c r="V512" s="15"/>
      <c r="W512" s="22">
        <v>4</v>
      </c>
      <c r="X512" s="149">
        <v>0</v>
      </c>
      <c r="Y512" s="15" t="s">
        <v>638</v>
      </c>
      <c r="Z512" s="155">
        <v>0</v>
      </c>
      <c r="AA512" s="149">
        <f>Tabela4[[#This Row],[VALOR]]-Tabela4[[#This Row],[PNEUS]]-Tabela4[[#This Row],[BATERIA]]</f>
        <v>7826.41</v>
      </c>
      <c r="AB512" s="19" t="s">
        <v>30</v>
      </c>
      <c r="AC512" s="30">
        <v>0</v>
      </c>
      <c r="AD512" s="162">
        <v>0</v>
      </c>
      <c r="AE512" s="162">
        <v>0</v>
      </c>
      <c r="AF512" s="162">
        <v>0</v>
      </c>
      <c r="AG512" s="162">
        <v>0</v>
      </c>
      <c r="AH512" s="162">
        <v>0</v>
      </c>
      <c r="AI512" s="162">
        <v>0</v>
      </c>
      <c r="AJ512" s="162">
        <v>0</v>
      </c>
    </row>
    <row r="513" spans="1:36" x14ac:dyDescent="0.25">
      <c r="A513" t="s">
        <v>268</v>
      </c>
      <c r="B513" t="s">
        <v>973</v>
      </c>
      <c r="C513" s="143">
        <v>45384</v>
      </c>
      <c r="D513" s="142">
        <v>45379</v>
      </c>
      <c r="E513">
        <f>Tabela4[[#This Row],[DATA FATURAMENTO]]-Tabela4[[#This Row],[DATA ORÇAMENTO]]</f>
        <v>-5</v>
      </c>
      <c r="F513">
        <v>11091</v>
      </c>
      <c r="G513" s="15" t="s">
        <v>22</v>
      </c>
      <c r="H513" s="54"/>
      <c r="I513" s="151">
        <v>700.9</v>
      </c>
      <c r="J513" s="154">
        <f>Tabela4[[#This Row],[VALOR]]-Tabela4[[#This Row],[PECAS]]</f>
        <v>812.32</v>
      </c>
      <c r="K513" s="150">
        <v>1513.22</v>
      </c>
      <c r="L513" s="151">
        <v>0</v>
      </c>
      <c r="M513" s="151">
        <f>75+147.84</f>
        <v>222.84</v>
      </c>
      <c r="N513" s="24"/>
      <c r="O513" s="151">
        <v>0</v>
      </c>
      <c r="P513" s="151">
        <v>0</v>
      </c>
      <c r="Q513" s="151">
        <v>0</v>
      </c>
      <c r="R513" s="151">
        <v>0</v>
      </c>
      <c r="S513" s="154">
        <v>0</v>
      </c>
      <c r="T513" s="151">
        <v>0</v>
      </c>
      <c r="U513" s="151">
        <v>0</v>
      </c>
      <c r="V513" s="15"/>
      <c r="W513" s="22">
        <v>0</v>
      </c>
      <c r="X513" s="149">
        <v>0</v>
      </c>
      <c r="Y513" s="15"/>
      <c r="Z513" s="155">
        <v>0</v>
      </c>
      <c r="AA513" s="149">
        <f>Tabela4[[#This Row],[VALOR]]-Tabela4[[#This Row],[PNEUS]]-Tabela4[[#This Row],[BATERIA]]</f>
        <v>1513.22</v>
      </c>
      <c r="AB513" s="19" t="s">
        <v>24</v>
      </c>
      <c r="AC513" s="30">
        <v>0</v>
      </c>
      <c r="AD513" s="162">
        <v>0</v>
      </c>
      <c r="AE513" s="162">
        <v>0</v>
      </c>
      <c r="AF513" s="162">
        <v>0</v>
      </c>
      <c r="AG513" s="162">
        <v>0</v>
      </c>
      <c r="AH513" s="162">
        <v>0</v>
      </c>
      <c r="AI513" s="162">
        <v>0</v>
      </c>
      <c r="AJ513" s="162">
        <v>0</v>
      </c>
    </row>
    <row r="514" spans="1:36" x14ac:dyDescent="0.25">
      <c r="A514" t="s">
        <v>283</v>
      </c>
      <c r="B514" t="s">
        <v>974</v>
      </c>
      <c r="C514" s="143">
        <v>45377</v>
      </c>
      <c r="D514" s="142">
        <v>45384</v>
      </c>
      <c r="E514">
        <f>Tabela4[[#This Row],[DATA FATURAMENTO]]-Tabela4[[#This Row],[DATA ORÇAMENTO]]</f>
        <v>7</v>
      </c>
      <c r="F514">
        <v>11054</v>
      </c>
      <c r="G514" s="15" t="s">
        <v>25</v>
      </c>
      <c r="H514" s="54"/>
      <c r="I514" s="151">
        <v>645.14</v>
      </c>
      <c r="J514" s="154">
        <f>Tabela4[[#This Row],[VALOR]]-Tabela4[[#This Row],[PECAS]]</f>
        <v>633.6</v>
      </c>
      <c r="K514" s="150">
        <v>1278.74</v>
      </c>
      <c r="L514" s="151">
        <v>0</v>
      </c>
      <c r="M514" s="151">
        <v>0</v>
      </c>
      <c r="N514" s="24"/>
      <c r="O514" s="151">
        <v>0</v>
      </c>
      <c r="P514" s="151">
        <v>0</v>
      </c>
      <c r="Q514" s="151">
        <v>0</v>
      </c>
      <c r="R514" s="151">
        <v>0</v>
      </c>
      <c r="S514" s="154">
        <v>0</v>
      </c>
      <c r="T514" s="151">
        <v>0</v>
      </c>
      <c r="U514" s="151">
        <v>359</v>
      </c>
      <c r="V514" s="15" t="s">
        <v>653</v>
      </c>
      <c r="W514" s="22">
        <v>0</v>
      </c>
      <c r="X514" s="149">
        <v>0</v>
      </c>
      <c r="Y514" s="15"/>
      <c r="Z514" s="155">
        <v>0</v>
      </c>
      <c r="AA514" s="149">
        <f>Tabela4[[#This Row],[VALOR]]-Tabela4[[#This Row],[PNEUS]]-Tabela4[[#This Row],[BATERIA]]</f>
        <v>919.74</v>
      </c>
      <c r="AB514" s="19" t="s">
        <v>34</v>
      </c>
      <c r="AC514" s="30">
        <v>0</v>
      </c>
      <c r="AD514" s="162">
        <v>0</v>
      </c>
      <c r="AE514" s="162">
        <v>0</v>
      </c>
      <c r="AF514" s="162">
        <v>0</v>
      </c>
      <c r="AG514" s="162">
        <v>0</v>
      </c>
      <c r="AH514" s="162">
        <v>0</v>
      </c>
      <c r="AI514" s="162">
        <v>0</v>
      </c>
      <c r="AJ514" s="162">
        <v>0</v>
      </c>
    </row>
    <row r="515" spans="1:36" x14ac:dyDescent="0.25">
      <c r="A515" t="s">
        <v>545</v>
      </c>
      <c r="B515" t="s">
        <v>975</v>
      </c>
      <c r="C515" s="143">
        <v>45384</v>
      </c>
      <c r="D515" s="142">
        <v>45384</v>
      </c>
      <c r="E515">
        <f>Tabela4[[#This Row],[DATA FATURAMENTO]]-Tabela4[[#This Row],[DATA ORÇAMENTO]]</f>
        <v>0</v>
      </c>
      <c r="F515">
        <v>11098</v>
      </c>
      <c r="G515" s="15" t="s">
        <v>35</v>
      </c>
      <c r="H515" s="54"/>
      <c r="I515" s="151">
        <v>184.09</v>
      </c>
      <c r="J515" s="154">
        <f>Tabela4[[#This Row],[VALOR]]-Tabela4[[#This Row],[PECAS]]</f>
        <v>1015.91</v>
      </c>
      <c r="K515" s="150">
        <v>1200</v>
      </c>
      <c r="L515" s="151">
        <v>0</v>
      </c>
      <c r="M515" s="151">
        <v>0</v>
      </c>
      <c r="N515" s="24"/>
      <c r="O515" s="151">
        <v>0</v>
      </c>
      <c r="P515" s="151">
        <v>0</v>
      </c>
      <c r="Q515" s="151">
        <v>0</v>
      </c>
      <c r="R515" s="151">
        <v>0</v>
      </c>
      <c r="S515" s="154">
        <v>0</v>
      </c>
      <c r="T515" s="151">
        <v>0</v>
      </c>
      <c r="U515" s="151">
        <v>0</v>
      </c>
      <c r="V515" s="15"/>
      <c r="W515" s="22">
        <v>0</v>
      </c>
      <c r="X515" s="149">
        <v>0</v>
      </c>
      <c r="Y515" s="15"/>
      <c r="Z515" s="155">
        <v>0</v>
      </c>
      <c r="AA515" s="149">
        <f>Tabela4[[#This Row],[VALOR]]-Tabela4[[#This Row],[PNEUS]]-Tabela4[[#This Row],[BATERIA]]</f>
        <v>1200</v>
      </c>
      <c r="AB515" s="19" t="s">
        <v>32</v>
      </c>
      <c r="AC515" s="30">
        <v>0</v>
      </c>
      <c r="AD515" s="162">
        <v>0</v>
      </c>
      <c r="AE515" s="162">
        <v>0</v>
      </c>
      <c r="AF515" s="162">
        <v>0</v>
      </c>
      <c r="AG515" s="162">
        <v>0</v>
      </c>
      <c r="AH515" s="162">
        <v>0</v>
      </c>
      <c r="AI515" s="162">
        <v>0</v>
      </c>
      <c r="AJ515" s="162">
        <v>0</v>
      </c>
    </row>
    <row r="516" spans="1:36" x14ac:dyDescent="0.25">
      <c r="A516" t="s">
        <v>976</v>
      </c>
      <c r="B516" t="s">
        <v>977</v>
      </c>
      <c r="C516" s="143">
        <v>45383</v>
      </c>
      <c r="D516" s="142">
        <v>45384</v>
      </c>
      <c r="E516">
        <f>Tabela4[[#This Row],[DATA FATURAMENTO]]-Tabela4[[#This Row],[DATA ORÇAMENTO]]</f>
        <v>1</v>
      </c>
      <c r="F516">
        <v>11090</v>
      </c>
      <c r="G516" s="15" t="s">
        <v>6</v>
      </c>
      <c r="H516" s="54"/>
      <c r="I516" s="151">
        <v>533.5</v>
      </c>
      <c r="J516" s="154">
        <f>Tabela4[[#This Row],[VALOR]]-Tabela4[[#This Row],[PECAS]]</f>
        <v>9.9999999999909051E-3</v>
      </c>
      <c r="K516" s="150">
        <v>533.51</v>
      </c>
      <c r="L516" s="151">
        <v>0</v>
      </c>
      <c r="M516" s="151">
        <v>0</v>
      </c>
      <c r="N516" s="24"/>
      <c r="O516" s="151">
        <v>0</v>
      </c>
      <c r="P516" s="151">
        <v>0</v>
      </c>
      <c r="Q516" s="151">
        <v>0</v>
      </c>
      <c r="R516" s="151">
        <v>0</v>
      </c>
      <c r="S516" s="154">
        <v>0</v>
      </c>
      <c r="T516" s="151">
        <v>0</v>
      </c>
      <c r="U516" s="151">
        <v>533.51</v>
      </c>
      <c r="V516" s="15" t="s">
        <v>661</v>
      </c>
      <c r="W516" s="22">
        <v>0</v>
      </c>
      <c r="X516" s="149">
        <v>0</v>
      </c>
      <c r="Y516" s="15"/>
      <c r="Z516" s="155">
        <v>0</v>
      </c>
      <c r="AA516" s="149">
        <f>Tabela4[[#This Row],[VALOR]]-Tabela4[[#This Row],[PNEUS]]-Tabela4[[#This Row],[BATERIA]]</f>
        <v>0</v>
      </c>
      <c r="AB516" s="19" t="s">
        <v>6</v>
      </c>
      <c r="AC516" s="30">
        <v>0</v>
      </c>
      <c r="AD516" s="162">
        <v>0</v>
      </c>
      <c r="AE516" s="162">
        <v>0</v>
      </c>
      <c r="AF516" s="162">
        <v>0</v>
      </c>
      <c r="AG516" s="162">
        <v>0</v>
      </c>
      <c r="AH516" s="162">
        <v>0</v>
      </c>
      <c r="AI516" s="162">
        <v>0</v>
      </c>
      <c r="AJ516" s="162">
        <v>0</v>
      </c>
    </row>
    <row r="517" spans="1:36" x14ac:dyDescent="0.25">
      <c r="A517" t="s">
        <v>978</v>
      </c>
      <c r="B517" t="s">
        <v>979</v>
      </c>
      <c r="C517" s="143">
        <v>45384</v>
      </c>
      <c r="D517" s="142">
        <v>45384</v>
      </c>
      <c r="E517">
        <f>Tabela4[[#This Row],[DATA FATURAMENTO]]-Tabela4[[#This Row],[DATA ORÇAMENTO]]</f>
        <v>0</v>
      </c>
      <c r="F517">
        <v>11094</v>
      </c>
      <c r="G517" s="15" t="s">
        <v>22</v>
      </c>
      <c r="H517" s="54"/>
      <c r="I517" s="151">
        <v>597</v>
      </c>
      <c r="J517" s="154">
        <f>Tabela4[[#This Row],[VALOR]]-Tabela4[[#This Row],[PECAS]]</f>
        <v>0</v>
      </c>
      <c r="K517" s="150">
        <v>597</v>
      </c>
      <c r="L517" s="151">
        <v>0</v>
      </c>
      <c r="M517" s="151">
        <v>0</v>
      </c>
      <c r="N517" s="24"/>
      <c r="O517" s="151">
        <v>0</v>
      </c>
      <c r="P517" s="151">
        <v>0</v>
      </c>
      <c r="Q517" s="151">
        <v>0</v>
      </c>
      <c r="R517" s="151">
        <v>0</v>
      </c>
      <c r="S517" s="154">
        <v>0</v>
      </c>
      <c r="T517" s="151">
        <v>0</v>
      </c>
      <c r="U517" s="151">
        <v>0</v>
      </c>
      <c r="V517" s="15"/>
      <c r="W517" s="22">
        <v>4</v>
      </c>
      <c r="X517" s="149">
        <v>0</v>
      </c>
      <c r="Y517" s="15" t="s">
        <v>645</v>
      </c>
      <c r="Z517" s="155">
        <v>0</v>
      </c>
      <c r="AA517" s="149">
        <f>Tabela4[[#This Row],[VALOR]]-Tabela4[[#This Row],[PNEUS]]-Tabela4[[#This Row],[BATERIA]]</f>
        <v>597</v>
      </c>
      <c r="AB517" s="19" t="s">
        <v>32</v>
      </c>
      <c r="AC517" s="30">
        <v>0</v>
      </c>
      <c r="AD517" s="162">
        <v>0</v>
      </c>
      <c r="AE517" s="162">
        <v>0</v>
      </c>
      <c r="AF517" s="162">
        <v>0</v>
      </c>
      <c r="AG517" s="162">
        <v>0</v>
      </c>
      <c r="AH517" s="162">
        <v>0</v>
      </c>
      <c r="AI517" s="162">
        <v>0</v>
      </c>
      <c r="AJ517" s="162">
        <v>0</v>
      </c>
    </row>
    <row r="518" spans="1:36" x14ac:dyDescent="0.25">
      <c r="A518" t="s">
        <v>980</v>
      </c>
      <c r="B518" t="s">
        <v>981</v>
      </c>
      <c r="C518" s="143">
        <v>45384</v>
      </c>
      <c r="D518" s="142">
        <v>45384</v>
      </c>
      <c r="E518">
        <f>Tabela4[[#This Row],[DATA FATURAMENTO]]-Tabela4[[#This Row],[DATA ORÇAMENTO]]</f>
        <v>0</v>
      </c>
      <c r="F518">
        <v>11095</v>
      </c>
      <c r="G518" s="15" t="s">
        <v>22</v>
      </c>
      <c r="H518" s="54"/>
      <c r="I518" s="151">
        <v>0</v>
      </c>
      <c r="J518" s="154">
        <f>Tabela4[[#This Row],[VALOR]]-Tabela4[[#This Row],[PECAS]]</f>
        <v>53.5</v>
      </c>
      <c r="K518" s="150">
        <v>53.5</v>
      </c>
      <c r="L518" s="151">
        <v>0</v>
      </c>
      <c r="M518" s="151">
        <v>0</v>
      </c>
      <c r="N518" s="24"/>
      <c r="O518" s="151">
        <v>0</v>
      </c>
      <c r="P518" s="151">
        <v>0</v>
      </c>
      <c r="Q518" s="151">
        <v>0</v>
      </c>
      <c r="R518" s="151">
        <v>0</v>
      </c>
      <c r="S518" s="154">
        <v>0</v>
      </c>
      <c r="T518" s="151">
        <v>0</v>
      </c>
      <c r="U518" s="151">
        <v>0</v>
      </c>
      <c r="V518" s="15"/>
      <c r="W518" s="22">
        <v>0</v>
      </c>
      <c r="X518" s="149">
        <v>0</v>
      </c>
      <c r="Y518" s="15"/>
      <c r="Z518" s="155">
        <v>0</v>
      </c>
      <c r="AA518" s="149">
        <f>Tabela4[[#This Row],[VALOR]]-Tabela4[[#This Row],[PNEUS]]-Tabela4[[#This Row],[BATERIA]]</f>
        <v>53.5</v>
      </c>
      <c r="AB518" s="19" t="s">
        <v>34</v>
      </c>
      <c r="AC518" s="30">
        <v>0</v>
      </c>
      <c r="AD518" s="162">
        <v>0</v>
      </c>
      <c r="AE518" s="162">
        <v>0</v>
      </c>
      <c r="AF518" s="162">
        <v>0</v>
      </c>
      <c r="AG518" s="162">
        <v>0</v>
      </c>
      <c r="AH518" s="162">
        <v>0</v>
      </c>
      <c r="AI518" s="162">
        <v>0</v>
      </c>
      <c r="AJ518" s="162">
        <v>0</v>
      </c>
    </row>
    <row r="519" spans="1:36" x14ac:dyDescent="0.25">
      <c r="A519" t="s">
        <v>982</v>
      </c>
      <c r="B519" t="s">
        <v>875</v>
      </c>
      <c r="C519" s="143">
        <v>45384</v>
      </c>
      <c r="D519" s="142">
        <v>45384</v>
      </c>
      <c r="E519">
        <f>Tabela4[[#This Row],[DATA FATURAMENTO]]-Tabela4[[#This Row],[DATA ORÇAMENTO]]</f>
        <v>0</v>
      </c>
      <c r="F519">
        <v>11100</v>
      </c>
      <c r="G519" s="15" t="s">
        <v>22</v>
      </c>
      <c r="H519" s="54"/>
      <c r="I519" s="151">
        <v>89.9</v>
      </c>
      <c r="J519" s="154">
        <f>Tabela4[[#This Row],[VALOR]]-Tabela4[[#This Row],[PECAS]]</f>
        <v>468.64</v>
      </c>
      <c r="K519" s="150">
        <v>558.54</v>
      </c>
      <c r="L519" s="151">
        <v>0</v>
      </c>
      <c r="M519" s="151">
        <v>0</v>
      </c>
      <c r="N519" s="24"/>
      <c r="O519" s="151">
        <v>0</v>
      </c>
      <c r="P519" s="151">
        <v>0</v>
      </c>
      <c r="Q519" s="151">
        <v>0</v>
      </c>
      <c r="R519" s="151">
        <v>0</v>
      </c>
      <c r="S519" s="154">
        <v>269.89999999999998</v>
      </c>
      <c r="T519" s="151">
        <v>0</v>
      </c>
      <c r="U519" s="151">
        <v>0</v>
      </c>
      <c r="V519" s="15"/>
      <c r="W519" s="22">
        <v>0</v>
      </c>
      <c r="X519" s="149">
        <v>0</v>
      </c>
      <c r="Y519" s="15"/>
      <c r="Z519" s="155">
        <v>0</v>
      </c>
      <c r="AA519" s="149">
        <f>Tabela4[[#This Row],[VALOR]]-Tabela4[[#This Row],[PNEUS]]-Tabela4[[#This Row],[BATERIA]]</f>
        <v>558.54</v>
      </c>
      <c r="AB519" s="19" t="s">
        <v>27</v>
      </c>
      <c r="AC519" s="30">
        <v>0</v>
      </c>
      <c r="AD519" s="162">
        <v>0</v>
      </c>
      <c r="AE519" s="162">
        <v>0</v>
      </c>
      <c r="AF519" s="162">
        <v>0</v>
      </c>
      <c r="AG519" s="162">
        <v>0</v>
      </c>
      <c r="AH519" s="162">
        <v>0</v>
      </c>
      <c r="AI519" s="162">
        <v>0</v>
      </c>
      <c r="AJ519" s="162">
        <v>0</v>
      </c>
    </row>
    <row r="520" spans="1:36" x14ac:dyDescent="0.25">
      <c r="A520" t="s">
        <v>983</v>
      </c>
      <c r="B520" t="s">
        <v>984</v>
      </c>
      <c r="C520" s="143">
        <v>45384</v>
      </c>
      <c r="D520" s="142">
        <v>45384</v>
      </c>
      <c r="E520">
        <f>Tabela4[[#This Row],[DATA FATURAMENTO]]-Tabela4[[#This Row],[DATA ORÇAMENTO]]</f>
        <v>0</v>
      </c>
      <c r="F520">
        <v>11107</v>
      </c>
      <c r="G520" s="15" t="s">
        <v>6</v>
      </c>
      <c r="H520" s="54"/>
      <c r="I520" s="151">
        <v>557.6</v>
      </c>
      <c r="J520" s="154">
        <f>Tabela4[[#This Row],[VALOR]]-Tabela4[[#This Row],[PECAS]]</f>
        <v>0</v>
      </c>
      <c r="K520" s="150">
        <v>557.6</v>
      </c>
      <c r="L520" s="151">
        <v>0</v>
      </c>
      <c r="M520" s="151">
        <v>0</v>
      </c>
      <c r="N520" s="24"/>
      <c r="O520" s="151">
        <v>0</v>
      </c>
      <c r="P520" s="151">
        <v>0</v>
      </c>
      <c r="Q520" s="151">
        <v>0</v>
      </c>
      <c r="R520" s="151">
        <v>0</v>
      </c>
      <c r="S520" s="154">
        <v>0</v>
      </c>
      <c r="T520" s="151">
        <v>0</v>
      </c>
      <c r="U520" s="151">
        <v>557.6</v>
      </c>
      <c r="V520" s="15" t="s">
        <v>664</v>
      </c>
      <c r="W520" s="22">
        <v>0</v>
      </c>
      <c r="X520" s="149">
        <v>0</v>
      </c>
      <c r="Y520" s="15"/>
      <c r="Z520" s="155">
        <v>0</v>
      </c>
      <c r="AA520" s="149">
        <f>Tabela4[[#This Row],[VALOR]]-Tabela4[[#This Row],[PNEUS]]-Tabela4[[#This Row],[BATERIA]]</f>
        <v>0</v>
      </c>
      <c r="AB520" s="19" t="s">
        <v>6</v>
      </c>
      <c r="AC520" s="30">
        <v>0</v>
      </c>
      <c r="AD520" s="162">
        <v>0</v>
      </c>
      <c r="AE520" s="162">
        <v>0</v>
      </c>
      <c r="AF520" s="162">
        <v>0</v>
      </c>
      <c r="AG520" s="162">
        <v>0</v>
      </c>
      <c r="AH520" s="162">
        <v>0</v>
      </c>
      <c r="AI520" s="162">
        <v>0</v>
      </c>
      <c r="AJ520" s="162">
        <v>0</v>
      </c>
    </row>
    <row r="521" spans="1:36" x14ac:dyDescent="0.25">
      <c r="A521" t="s">
        <v>985</v>
      </c>
      <c r="B521" t="s">
        <v>986</v>
      </c>
      <c r="C521" s="143">
        <v>45384</v>
      </c>
      <c r="D521" s="142">
        <v>45374</v>
      </c>
      <c r="E521">
        <f>Tabela4[[#This Row],[DATA FATURAMENTO]]-Tabela4[[#This Row],[DATA ORÇAMENTO]]</f>
        <v>-10</v>
      </c>
      <c r="F521">
        <v>11108</v>
      </c>
      <c r="G521" s="15" t="s">
        <v>6</v>
      </c>
      <c r="H521" s="54"/>
      <c r="I521" s="151">
        <v>530</v>
      </c>
      <c r="J521" s="154">
        <f>Tabela4[[#This Row],[VALOR]]-Tabela4[[#This Row],[PECAS]]</f>
        <v>9.9999999999909051E-3</v>
      </c>
      <c r="K521" s="150">
        <v>530.01</v>
      </c>
      <c r="L521" s="151">
        <v>0</v>
      </c>
      <c r="M521" s="151">
        <v>0</v>
      </c>
      <c r="N521" s="24"/>
      <c r="O521" s="151">
        <v>0</v>
      </c>
      <c r="P521" s="151">
        <v>0</v>
      </c>
      <c r="Q521" s="151">
        <v>0</v>
      </c>
      <c r="R521" s="151">
        <v>0</v>
      </c>
      <c r="S521" s="154">
        <v>0</v>
      </c>
      <c r="T521" s="151">
        <v>0</v>
      </c>
      <c r="U521" s="151">
        <v>530.01</v>
      </c>
      <c r="V521" s="15" t="s">
        <v>684</v>
      </c>
      <c r="W521" s="22">
        <v>0</v>
      </c>
      <c r="X521" s="149">
        <v>0</v>
      </c>
      <c r="Y521" s="15"/>
      <c r="Z521" s="155">
        <v>0</v>
      </c>
      <c r="AA521" s="149">
        <f>Tabela4[[#This Row],[VALOR]]-Tabela4[[#This Row],[PNEUS]]-Tabela4[[#This Row],[BATERIA]]</f>
        <v>0</v>
      </c>
      <c r="AB521" s="19" t="s">
        <v>6</v>
      </c>
      <c r="AC521" s="30">
        <v>0</v>
      </c>
      <c r="AD521" s="162">
        <v>0</v>
      </c>
      <c r="AE521" s="162">
        <v>0</v>
      </c>
      <c r="AF521" s="162">
        <v>0</v>
      </c>
      <c r="AG521" s="162">
        <v>0</v>
      </c>
      <c r="AH521" s="162">
        <v>0</v>
      </c>
      <c r="AI521" s="162">
        <v>0</v>
      </c>
      <c r="AJ521" s="162">
        <v>0</v>
      </c>
    </row>
    <row r="522" spans="1:36" x14ac:dyDescent="0.25">
      <c r="A522" t="s">
        <v>987</v>
      </c>
      <c r="B522" t="s">
        <v>988</v>
      </c>
      <c r="C522" s="143">
        <v>45384</v>
      </c>
      <c r="D522" s="142">
        <v>45378</v>
      </c>
      <c r="E522">
        <f>Tabela4[[#This Row],[DATA FATURAMENTO]]-Tabela4[[#This Row],[DATA ORÇAMENTO]]</f>
        <v>-6</v>
      </c>
      <c r="F522">
        <v>11109</v>
      </c>
      <c r="G522" s="15" t="s">
        <v>6</v>
      </c>
      <c r="H522" s="54"/>
      <c r="I522" s="156">
        <v>533.5</v>
      </c>
      <c r="J522" s="154">
        <f>Tabela4[[#This Row],[VALOR]]-Tabela4[[#This Row],[PECAS]]</f>
        <v>9.9999999999909051E-3</v>
      </c>
      <c r="K522" s="150">
        <v>533.51</v>
      </c>
      <c r="L522" s="151">
        <v>0</v>
      </c>
      <c r="M522" s="151">
        <v>0</v>
      </c>
      <c r="N522" s="24"/>
      <c r="O522" s="151">
        <v>0</v>
      </c>
      <c r="P522" s="151">
        <v>0</v>
      </c>
      <c r="Q522" s="151">
        <v>0</v>
      </c>
      <c r="R522" s="151">
        <v>0</v>
      </c>
      <c r="S522" s="154">
        <v>0</v>
      </c>
      <c r="T522" s="151">
        <v>0</v>
      </c>
      <c r="U522" s="151">
        <v>533.51</v>
      </c>
      <c r="V522" s="15" t="s">
        <v>661</v>
      </c>
      <c r="W522" s="22">
        <v>0</v>
      </c>
      <c r="X522" s="149">
        <v>0</v>
      </c>
      <c r="Y522" s="15"/>
      <c r="Z522" s="155">
        <v>0</v>
      </c>
      <c r="AA522" s="149">
        <f>Tabela4[[#This Row],[VALOR]]-Tabela4[[#This Row],[PNEUS]]-Tabela4[[#This Row],[BATERIA]]</f>
        <v>0</v>
      </c>
      <c r="AB522" s="19" t="s">
        <v>6</v>
      </c>
      <c r="AC522" s="30">
        <v>0</v>
      </c>
      <c r="AD522" s="162">
        <v>0</v>
      </c>
      <c r="AE522" s="162">
        <v>0</v>
      </c>
      <c r="AF522" s="162">
        <v>0</v>
      </c>
      <c r="AG522" s="162">
        <v>0</v>
      </c>
      <c r="AH522" s="162">
        <v>0</v>
      </c>
      <c r="AI522" s="162">
        <v>0</v>
      </c>
      <c r="AJ522" s="162">
        <v>0</v>
      </c>
    </row>
    <row r="523" spans="1:36" x14ac:dyDescent="0.25">
      <c r="A523" t="s">
        <v>214</v>
      </c>
      <c r="B523" t="s">
        <v>989</v>
      </c>
      <c r="C523" s="143">
        <v>45369</v>
      </c>
      <c r="D523" s="142">
        <v>45385</v>
      </c>
      <c r="E523">
        <f>Tabela4[[#This Row],[DATA FATURAMENTO]]-Tabela4[[#This Row],[DATA ORÇAMENTO]]</f>
        <v>16</v>
      </c>
      <c r="F523">
        <v>10938</v>
      </c>
      <c r="G523" s="25" t="s">
        <v>25</v>
      </c>
      <c r="H523" s="25"/>
      <c r="I523" s="155">
        <v>4035.8</v>
      </c>
      <c r="J523" s="154">
        <f>Tabela4[[#This Row],[VALOR]]-Tabela4[[#This Row],[PECAS]]</f>
        <v>1973.42</v>
      </c>
      <c r="K523" s="150">
        <v>6009.22</v>
      </c>
      <c r="L523" s="155">
        <v>100</v>
      </c>
      <c r="M523" s="155">
        <f>31.4</f>
        <v>31.4</v>
      </c>
      <c r="N523" s="67"/>
      <c r="O523" s="155">
        <f>140+40.8</f>
        <v>180.8</v>
      </c>
      <c r="P523" s="155">
        <v>145.1</v>
      </c>
      <c r="Q523" s="155">
        <v>100</v>
      </c>
      <c r="R523" s="155">
        <v>0</v>
      </c>
      <c r="S523" s="154">
        <v>170.14</v>
      </c>
      <c r="T523" s="155">
        <v>0</v>
      </c>
      <c r="U523" s="155">
        <v>0</v>
      </c>
      <c r="V523" s="25"/>
      <c r="W523" s="28">
        <v>4</v>
      </c>
      <c r="X523" s="149">
        <v>0</v>
      </c>
      <c r="Y523" s="25" t="s">
        <v>658</v>
      </c>
      <c r="Z523" s="155">
        <v>0</v>
      </c>
      <c r="AA523" s="149">
        <f>Tabela4[[#This Row],[VALOR]]-Tabela4[[#This Row],[PNEUS]]-Tabela4[[#This Row],[BATERIA]]</f>
        <v>6009.22</v>
      </c>
      <c r="AB523" s="27" t="s">
        <v>32</v>
      </c>
      <c r="AC523" s="30">
        <v>0</v>
      </c>
      <c r="AD523" s="162">
        <v>0</v>
      </c>
      <c r="AE523" s="162">
        <v>0</v>
      </c>
      <c r="AF523" s="162">
        <v>0</v>
      </c>
      <c r="AG523" s="162">
        <v>0</v>
      </c>
      <c r="AH523" s="162">
        <v>0</v>
      </c>
      <c r="AI523" s="162">
        <v>0</v>
      </c>
      <c r="AJ523" s="162">
        <v>0</v>
      </c>
    </row>
    <row r="524" spans="1:36" x14ac:dyDescent="0.25">
      <c r="A524" t="s">
        <v>292</v>
      </c>
      <c r="B524" t="s">
        <v>990</v>
      </c>
      <c r="C524" s="143">
        <v>45379</v>
      </c>
      <c r="D524" s="142">
        <v>45385</v>
      </c>
      <c r="E524">
        <f>Tabela4[[#This Row],[DATA FATURAMENTO]]-Tabela4[[#This Row],[DATA ORÇAMENTO]]</f>
        <v>6</v>
      </c>
      <c r="F524">
        <v>11069</v>
      </c>
      <c r="G524" s="15" t="s">
        <v>37</v>
      </c>
      <c r="H524" s="25"/>
      <c r="I524" s="151">
        <v>1346.5</v>
      </c>
      <c r="J524" s="154">
        <f>Tabela4[[#This Row],[VALOR]]-Tabela4[[#This Row],[PECAS]]</f>
        <v>1250.04</v>
      </c>
      <c r="K524" s="150">
        <v>2596.54</v>
      </c>
      <c r="L524" s="151">
        <v>0</v>
      </c>
      <c r="M524" s="151">
        <f>22.95</f>
        <v>22.95</v>
      </c>
      <c r="N524" s="24"/>
      <c r="O524" s="151">
        <f>230+20.4</f>
        <v>250.4</v>
      </c>
      <c r="P524" s="151">
        <v>0</v>
      </c>
      <c r="Q524" s="151">
        <v>154</v>
      </c>
      <c r="R524" s="151">
        <v>0</v>
      </c>
      <c r="S524" s="154">
        <v>167.36</v>
      </c>
      <c r="T524" s="151">
        <v>0</v>
      </c>
      <c r="U524" s="151">
        <v>0</v>
      </c>
      <c r="V524" s="15"/>
      <c r="W524" s="22">
        <v>4</v>
      </c>
      <c r="X524" s="149">
        <v>0</v>
      </c>
      <c r="Y524" s="15" t="s">
        <v>654</v>
      </c>
      <c r="Z524" s="155">
        <v>0</v>
      </c>
      <c r="AA524" s="149">
        <f>Tabela4[[#This Row],[VALOR]]-Tabela4[[#This Row],[PNEUS]]-Tabela4[[#This Row],[BATERIA]]</f>
        <v>2596.54</v>
      </c>
      <c r="AB524" s="19" t="s">
        <v>34</v>
      </c>
      <c r="AC524" s="30">
        <v>0</v>
      </c>
      <c r="AD524" s="162">
        <v>0</v>
      </c>
      <c r="AE524" s="162">
        <v>0</v>
      </c>
      <c r="AF524" s="162">
        <v>0</v>
      </c>
      <c r="AG524" s="162">
        <v>0</v>
      </c>
      <c r="AH524" s="162">
        <v>0</v>
      </c>
      <c r="AI524" s="162">
        <v>0</v>
      </c>
      <c r="AJ524" s="162">
        <v>0</v>
      </c>
    </row>
    <row r="525" spans="1:36" x14ac:dyDescent="0.25">
      <c r="A525" t="s">
        <v>305</v>
      </c>
      <c r="B525" t="s">
        <v>991</v>
      </c>
      <c r="C525" s="143">
        <v>45383</v>
      </c>
      <c r="D525" s="142">
        <v>45385</v>
      </c>
      <c r="E525">
        <f>Tabela4[[#This Row],[DATA FATURAMENTO]]-Tabela4[[#This Row],[DATA ORÇAMENTO]]</f>
        <v>2</v>
      </c>
      <c r="F525">
        <v>11083</v>
      </c>
      <c r="G525" s="15" t="s">
        <v>31</v>
      </c>
      <c r="H525" s="54"/>
      <c r="I525" s="151">
        <v>853</v>
      </c>
      <c r="J525" s="154">
        <f>Tabela4[[#This Row],[VALOR]]-Tabela4[[#This Row],[PECAS]]</f>
        <v>1095</v>
      </c>
      <c r="K525" s="150">
        <v>1948</v>
      </c>
      <c r="L525" s="151">
        <v>125</v>
      </c>
      <c r="M525" s="151">
        <v>0</v>
      </c>
      <c r="N525" s="24"/>
      <c r="O525" s="151">
        <v>220</v>
      </c>
      <c r="P525" s="151">
        <v>0</v>
      </c>
      <c r="Q525" s="151">
        <v>0</v>
      </c>
      <c r="R525" s="151">
        <v>0</v>
      </c>
      <c r="S525" s="154">
        <v>270</v>
      </c>
      <c r="T525" s="151">
        <v>0</v>
      </c>
      <c r="U525" s="151">
        <v>0</v>
      </c>
      <c r="V525" s="15"/>
      <c r="W525" s="22">
        <v>5</v>
      </c>
      <c r="X525" s="149">
        <v>0</v>
      </c>
      <c r="Y525" s="15" t="s">
        <v>807</v>
      </c>
      <c r="Z525" s="155">
        <v>0</v>
      </c>
      <c r="AA525" s="149">
        <f>Tabela4[[#This Row],[VALOR]]-Tabela4[[#This Row],[PNEUS]]-Tabela4[[#This Row],[BATERIA]]</f>
        <v>1948</v>
      </c>
      <c r="AB525" s="19" t="s">
        <v>30</v>
      </c>
      <c r="AC525" s="30">
        <v>0</v>
      </c>
      <c r="AD525" s="162">
        <v>0</v>
      </c>
      <c r="AE525" s="162">
        <v>0</v>
      </c>
      <c r="AF525" s="162">
        <v>0</v>
      </c>
      <c r="AG525" s="162">
        <v>0</v>
      </c>
      <c r="AH525" s="162">
        <v>0</v>
      </c>
      <c r="AI525" s="162">
        <v>0</v>
      </c>
      <c r="AJ525" s="162">
        <v>0</v>
      </c>
    </row>
    <row r="526" spans="1:36" x14ac:dyDescent="0.25">
      <c r="A526" t="s">
        <v>307</v>
      </c>
      <c r="B526" t="s">
        <v>992</v>
      </c>
      <c r="C526" s="143">
        <v>45383</v>
      </c>
      <c r="D526" s="142">
        <v>45385</v>
      </c>
      <c r="E526">
        <f>Tabela4[[#This Row],[DATA FATURAMENTO]]-Tabela4[[#This Row],[DATA ORÇAMENTO]]</f>
        <v>2</v>
      </c>
      <c r="F526">
        <v>11089</v>
      </c>
      <c r="G526" s="15" t="s">
        <v>22</v>
      </c>
      <c r="H526" s="54"/>
      <c r="I526" s="151">
        <v>228.3</v>
      </c>
      <c r="J526" s="154">
        <f>Tabela4[[#This Row],[VALOR]]-Tabela4[[#This Row],[PECAS]]</f>
        <v>359.7</v>
      </c>
      <c r="K526" s="150">
        <v>588</v>
      </c>
      <c r="L526" s="151">
        <v>0</v>
      </c>
      <c r="M526" s="151">
        <v>0</v>
      </c>
      <c r="N526" s="24"/>
      <c r="O526" s="151">
        <v>149.69999999999999</v>
      </c>
      <c r="P526" s="151">
        <v>0</v>
      </c>
      <c r="Q526" s="151">
        <v>0</v>
      </c>
      <c r="R526" s="151">
        <v>0</v>
      </c>
      <c r="S526" s="154">
        <v>0</v>
      </c>
      <c r="T526" s="151">
        <v>0</v>
      </c>
      <c r="U526" s="151">
        <v>0</v>
      </c>
      <c r="V526" s="15"/>
      <c r="W526" s="22">
        <v>0</v>
      </c>
      <c r="X526" s="149">
        <v>0</v>
      </c>
      <c r="Y526" s="15"/>
      <c r="Z526" s="155">
        <v>0</v>
      </c>
      <c r="AA526" s="149">
        <f>Tabela4[[#This Row],[VALOR]]-Tabela4[[#This Row],[PNEUS]]-Tabela4[[#This Row],[BATERIA]]</f>
        <v>588</v>
      </c>
      <c r="AB526" s="19" t="s">
        <v>27</v>
      </c>
      <c r="AC526" s="30">
        <v>0</v>
      </c>
      <c r="AD526" s="162">
        <v>0</v>
      </c>
      <c r="AE526" s="162">
        <v>0</v>
      </c>
      <c r="AF526" s="162">
        <v>0</v>
      </c>
      <c r="AG526" s="162">
        <v>0</v>
      </c>
      <c r="AH526" s="162">
        <v>0</v>
      </c>
      <c r="AI526" s="162">
        <v>0</v>
      </c>
      <c r="AJ526" s="162">
        <v>0</v>
      </c>
    </row>
    <row r="527" spans="1:36" x14ac:dyDescent="0.25">
      <c r="A527" t="s">
        <v>309</v>
      </c>
      <c r="B527" t="s">
        <v>993</v>
      </c>
      <c r="C527" s="143">
        <v>45383</v>
      </c>
      <c r="D527" s="142">
        <v>45385</v>
      </c>
      <c r="E527">
        <f>Tabela4[[#This Row],[DATA FATURAMENTO]]-Tabela4[[#This Row],[DATA ORÇAMENTO]]</f>
        <v>2</v>
      </c>
      <c r="F527">
        <v>11087</v>
      </c>
      <c r="G527" s="15" t="s">
        <v>31</v>
      </c>
      <c r="H527" s="54"/>
      <c r="I527" s="151">
        <v>683</v>
      </c>
      <c r="J527" s="154">
        <f>Tabela4[[#This Row],[VALOR]]-Tabela4[[#This Row],[PECAS]]</f>
        <v>877</v>
      </c>
      <c r="K527" s="150">
        <v>1560</v>
      </c>
      <c r="L527" s="151">
        <v>0</v>
      </c>
      <c r="M527" s="151">
        <v>0</v>
      </c>
      <c r="N527" s="24"/>
      <c r="O527" s="151">
        <v>0</v>
      </c>
      <c r="P527" s="151">
        <v>0</v>
      </c>
      <c r="Q527" s="151">
        <v>0</v>
      </c>
      <c r="R527" s="151">
        <v>0</v>
      </c>
      <c r="S527" s="154">
        <v>0</v>
      </c>
      <c r="T527" s="151">
        <v>0</v>
      </c>
      <c r="U527" s="151">
        <v>0</v>
      </c>
      <c r="V527" s="15"/>
      <c r="W527" s="22">
        <v>0</v>
      </c>
      <c r="X527" s="149">
        <v>0</v>
      </c>
      <c r="Y527" s="15"/>
      <c r="Z527" s="155">
        <v>0</v>
      </c>
      <c r="AA527" s="149">
        <f>Tabela4[[#This Row],[VALOR]]-Tabela4[[#This Row],[PNEUS]]-Tabela4[[#This Row],[BATERIA]]</f>
        <v>1560</v>
      </c>
      <c r="AB527" s="19" t="s">
        <v>30</v>
      </c>
      <c r="AC527" s="30">
        <v>0</v>
      </c>
      <c r="AD527" s="162">
        <v>0</v>
      </c>
      <c r="AE527" s="162">
        <v>0</v>
      </c>
      <c r="AF527" s="162">
        <v>0</v>
      </c>
      <c r="AG527" s="162">
        <v>0</v>
      </c>
      <c r="AH527" s="162">
        <v>0</v>
      </c>
      <c r="AI527" s="162">
        <v>0</v>
      </c>
      <c r="AJ527" s="162">
        <v>0</v>
      </c>
    </row>
    <row r="528" spans="1:36" x14ac:dyDescent="0.25">
      <c r="A528" t="s">
        <v>308</v>
      </c>
      <c r="B528" t="s">
        <v>968</v>
      </c>
      <c r="C528" s="143">
        <v>45383</v>
      </c>
      <c r="D528" s="142">
        <v>45385</v>
      </c>
      <c r="E528">
        <f>Tabela4[[#This Row],[DATA FATURAMENTO]]-Tabela4[[#This Row],[DATA ORÇAMENTO]]</f>
        <v>2</v>
      </c>
      <c r="F528">
        <v>11088</v>
      </c>
      <c r="G528" s="15" t="s">
        <v>22</v>
      </c>
      <c r="H528" s="54"/>
      <c r="I528" s="151">
        <v>1785</v>
      </c>
      <c r="J528" s="154">
        <f>Tabela4[[#This Row],[VALOR]]-Tabela4[[#This Row],[PECAS]]</f>
        <v>490.59999999999991</v>
      </c>
      <c r="K528" s="150">
        <v>2275.6</v>
      </c>
      <c r="L528" s="151">
        <v>0</v>
      </c>
      <c r="M528" s="151">
        <v>0</v>
      </c>
      <c r="N528" s="24"/>
      <c r="O528" s="151">
        <v>0</v>
      </c>
      <c r="P528" s="151">
        <v>0</v>
      </c>
      <c r="Q528" s="151">
        <v>0</v>
      </c>
      <c r="R528" s="151">
        <v>0</v>
      </c>
      <c r="S528" s="154">
        <v>0</v>
      </c>
      <c r="T528" s="151">
        <v>0</v>
      </c>
      <c r="U528" s="151">
        <v>0</v>
      </c>
      <c r="V528" s="15"/>
      <c r="W528" s="22">
        <v>0</v>
      </c>
      <c r="X528" s="149">
        <v>0</v>
      </c>
      <c r="Y528" s="15"/>
      <c r="Z528" s="155">
        <v>0</v>
      </c>
      <c r="AA528" s="149">
        <f>Tabela4[[#This Row],[VALOR]]-Tabela4[[#This Row],[PNEUS]]-Tabela4[[#This Row],[BATERIA]]</f>
        <v>2275.6</v>
      </c>
      <c r="AB528" s="19" t="s">
        <v>34</v>
      </c>
      <c r="AC528" s="30">
        <v>0</v>
      </c>
      <c r="AD528" s="162">
        <v>0</v>
      </c>
      <c r="AE528" s="162">
        <v>0</v>
      </c>
      <c r="AF528" s="162">
        <v>0</v>
      </c>
      <c r="AG528" s="162">
        <v>0</v>
      </c>
      <c r="AH528" s="162">
        <v>0</v>
      </c>
      <c r="AI528" s="162">
        <v>0</v>
      </c>
      <c r="AJ528" s="162">
        <v>0</v>
      </c>
    </row>
    <row r="529" spans="1:36" x14ac:dyDescent="0.25">
      <c r="A529" t="s">
        <v>592</v>
      </c>
      <c r="B529" t="s">
        <v>994</v>
      </c>
      <c r="C529" s="143">
        <v>45385</v>
      </c>
      <c r="D529" s="142">
        <v>45385</v>
      </c>
      <c r="E529">
        <f>Tabela4[[#This Row],[DATA FATURAMENTO]]-Tabela4[[#This Row],[DATA ORÇAMENTO]]</f>
        <v>0</v>
      </c>
      <c r="F529">
        <v>11112</v>
      </c>
      <c r="G529" s="15" t="s">
        <v>22</v>
      </c>
      <c r="H529" s="54"/>
      <c r="I529" s="151">
        <v>428</v>
      </c>
      <c r="J529" s="154">
        <f>Tabela4[[#This Row],[VALOR]]-Tabela4[[#This Row],[PECAS]]</f>
        <v>0</v>
      </c>
      <c r="K529" s="150">
        <v>428</v>
      </c>
      <c r="L529" s="151">
        <v>0</v>
      </c>
      <c r="M529" s="151">
        <v>0</v>
      </c>
      <c r="N529" s="24"/>
      <c r="O529" s="151">
        <v>0</v>
      </c>
      <c r="P529" s="151">
        <v>0</v>
      </c>
      <c r="Q529" s="151">
        <v>0</v>
      </c>
      <c r="R529" s="151">
        <v>0</v>
      </c>
      <c r="S529" s="154">
        <v>0</v>
      </c>
      <c r="T529" s="151">
        <v>0</v>
      </c>
      <c r="U529" s="151">
        <v>0</v>
      </c>
      <c r="V529" s="15"/>
      <c r="W529" s="22">
        <v>5</v>
      </c>
      <c r="X529" s="149">
        <v>0</v>
      </c>
      <c r="Y529" s="15" t="s">
        <v>807</v>
      </c>
      <c r="Z529" s="155">
        <v>0</v>
      </c>
      <c r="AA529" s="149">
        <f>Tabela4[[#This Row],[VALOR]]-Tabela4[[#This Row],[PNEUS]]-Tabela4[[#This Row],[BATERIA]]</f>
        <v>428</v>
      </c>
      <c r="AB529" s="19" t="s">
        <v>24</v>
      </c>
      <c r="AC529" s="30">
        <v>0</v>
      </c>
      <c r="AD529" s="162">
        <v>0</v>
      </c>
      <c r="AE529" s="162">
        <v>0</v>
      </c>
      <c r="AF529" s="162">
        <v>0</v>
      </c>
      <c r="AG529" s="162">
        <v>0</v>
      </c>
      <c r="AH529" s="162">
        <v>0</v>
      </c>
      <c r="AI529" s="162">
        <v>0</v>
      </c>
      <c r="AJ529" s="162">
        <v>0</v>
      </c>
    </row>
    <row r="530" spans="1:36" x14ac:dyDescent="0.25">
      <c r="A530" t="s">
        <v>995</v>
      </c>
      <c r="B530" t="s">
        <v>996</v>
      </c>
      <c r="C530" s="143">
        <v>45375</v>
      </c>
      <c r="D530" s="142">
        <v>45386</v>
      </c>
      <c r="E530">
        <f>Tabela4[[#This Row],[DATA FATURAMENTO]]-Tabela4[[#This Row],[DATA ORÇAMENTO]]</f>
        <v>11</v>
      </c>
      <c r="F530">
        <v>11019</v>
      </c>
      <c r="G530" s="25" t="s">
        <v>6</v>
      </c>
      <c r="H530" s="25"/>
      <c r="I530" s="155">
        <v>533.5</v>
      </c>
      <c r="J530" s="154">
        <f>Tabela4[[#This Row],[VALOR]]-Tabela4[[#This Row],[PECAS]]</f>
        <v>9.9999999999909051E-3</v>
      </c>
      <c r="K530" s="150">
        <v>533.51</v>
      </c>
      <c r="L530" s="155">
        <v>0</v>
      </c>
      <c r="M530" s="155">
        <v>0</v>
      </c>
      <c r="N530" s="67"/>
      <c r="O530" s="155">
        <v>0</v>
      </c>
      <c r="P530" s="155">
        <v>0</v>
      </c>
      <c r="Q530" s="155">
        <v>0</v>
      </c>
      <c r="R530" s="155">
        <v>0</v>
      </c>
      <c r="S530" s="154">
        <v>0</v>
      </c>
      <c r="T530" s="155">
        <v>0</v>
      </c>
      <c r="U530" s="155">
        <v>533.51</v>
      </c>
      <c r="V530" s="25" t="s">
        <v>997</v>
      </c>
      <c r="W530" s="22">
        <v>0</v>
      </c>
      <c r="X530" s="149">
        <v>0</v>
      </c>
      <c r="Y530" s="25"/>
      <c r="Z530" s="155">
        <v>0</v>
      </c>
      <c r="AA530" s="149">
        <f>Tabela4[[#This Row],[VALOR]]-Tabela4[[#This Row],[PNEUS]]-Tabela4[[#This Row],[BATERIA]]</f>
        <v>0</v>
      </c>
      <c r="AB530" s="27" t="s">
        <v>6</v>
      </c>
      <c r="AC530" s="30">
        <v>0</v>
      </c>
      <c r="AD530" s="162">
        <v>0</v>
      </c>
      <c r="AE530" s="162">
        <v>0</v>
      </c>
      <c r="AF530" s="162">
        <v>0</v>
      </c>
      <c r="AG530" s="162">
        <v>0</v>
      </c>
      <c r="AH530" s="162">
        <v>0</v>
      </c>
      <c r="AI530" s="162">
        <v>0</v>
      </c>
      <c r="AJ530" s="162">
        <v>0</v>
      </c>
    </row>
    <row r="531" spans="1:36" x14ac:dyDescent="0.25">
      <c r="A531" t="s">
        <v>998</v>
      </c>
      <c r="B531" t="s">
        <v>999</v>
      </c>
      <c r="C531" s="143">
        <v>45378</v>
      </c>
      <c r="D531" s="142">
        <v>45386</v>
      </c>
      <c r="E531">
        <f>Tabela4[[#This Row],[DATA FATURAMENTO]]-Tabela4[[#This Row],[DATA ORÇAMENTO]]</f>
        <v>8</v>
      </c>
      <c r="F531">
        <v>11064</v>
      </c>
      <c r="G531" s="15" t="s">
        <v>6</v>
      </c>
      <c r="H531" s="25"/>
      <c r="I531" s="151">
        <v>533.5</v>
      </c>
      <c r="J531" s="154">
        <f>Tabela4[[#This Row],[VALOR]]-Tabela4[[#This Row],[PECAS]]</f>
        <v>9.9999999999909051E-3</v>
      </c>
      <c r="K531" s="150">
        <v>533.51</v>
      </c>
      <c r="L531" s="151">
        <v>0</v>
      </c>
      <c r="M531" s="151">
        <v>0</v>
      </c>
      <c r="N531" s="24"/>
      <c r="O531" s="151">
        <v>0</v>
      </c>
      <c r="P531" s="151">
        <v>0</v>
      </c>
      <c r="Q531" s="151">
        <v>0</v>
      </c>
      <c r="R531" s="151">
        <v>0</v>
      </c>
      <c r="S531" s="154">
        <v>0</v>
      </c>
      <c r="T531" s="151">
        <v>0</v>
      </c>
      <c r="U531" s="151">
        <v>533.51</v>
      </c>
      <c r="V531" s="15" t="s">
        <v>664</v>
      </c>
      <c r="W531" s="22">
        <v>0</v>
      </c>
      <c r="X531" s="149">
        <v>0</v>
      </c>
      <c r="Y531" s="15"/>
      <c r="Z531" s="155">
        <v>0</v>
      </c>
      <c r="AA531" s="149">
        <f>Tabela4[[#This Row],[VALOR]]-Tabela4[[#This Row],[PNEUS]]-Tabela4[[#This Row],[BATERIA]]</f>
        <v>0</v>
      </c>
      <c r="AB531" s="19" t="s">
        <v>6</v>
      </c>
      <c r="AC531" s="30">
        <v>0</v>
      </c>
      <c r="AD531" s="162">
        <v>0</v>
      </c>
      <c r="AE531" s="162">
        <v>0</v>
      </c>
      <c r="AF531" s="162">
        <v>0</v>
      </c>
      <c r="AG531" s="162">
        <v>0</v>
      </c>
      <c r="AH531" s="162">
        <v>0</v>
      </c>
      <c r="AI531" s="162">
        <v>0</v>
      </c>
      <c r="AJ531" s="162">
        <v>0</v>
      </c>
    </row>
    <row r="532" spans="1:36" x14ac:dyDescent="0.25">
      <c r="A532" t="s">
        <v>211</v>
      </c>
      <c r="B532" t="s">
        <v>895</v>
      </c>
      <c r="C532" s="143">
        <v>45384</v>
      </c>
      <c r="D532" s="142">
        <v>45386</v>
      </c>
      <c r="E532">
        <f>Tabela4[[#This Row],[DATA FATURAMENTO]]-Tabela4[[#This Row],[DATA ORÇAMENTO]]</f>
        <v>2</v>
      </c>
      <c r="F532">
        <v>11093</v>
      </c>
      <c r="G532" s="15" t="s">
        <v>35</v>
      </c>
      <c r="H532" s="54"/>
      <c r="I532" s="151">
        <v>1553.9</v>
      </c>
      <c r="J532" s="154">
        <f>Tabela4[[#This Row],[VALOR]]-Tabela4[[#This Row],[PECAS]]</f>
        <v>806.09999999999991</v>
      </c>
      <c r="K532" s="150">
        <v>2360</v>
      </c>
      <c r="L532" s="151">
        <v>0</v>
      </c>
      <c r="M532" s="151">
        <v>0</v>
      </c>
      <c r="N532" s="24"/>
      <c r="O532" s="151">
        <v>0</v>
      </c>
      <c r="P532" s="151">
        <v>0</v>
      </c>
      <c r="Q532" s="151">
        <v>0</v>
      </c>
      <c r="R532" s="151">
        <v>0</v>
      </c>
      <c r="S532" s="154">
        <v>0</v>
      </c>
      <c r="T532" s="151">
        <v>0</v>
      </c>
      <c r="U532" s="151">
        <v>0</v>
      </c>
      <c r="V532" s="15"/>
      <c r="W532" s="22">
        <v>0</v>
      </c>
      <c r="X532" s="149">
        <v>0</v>
      </c>
      <c r="Y532" s="15"/>
      <c r="Z532" s="155">
        <v>0</v>
      </c>
      <c r="AA532" s="149">
        <f>Tabela4[[#This Row],[VALOR]]-Tabela4[[#This Row],[PNEUS]]-Tabela4[[#This Row],[BATERIA]]</f>
        <v>2360</v>
      </c>
      <c r="AB532" s="19" t="s">
        <v>32</v>
      </c>
      <c r="AC532" s="30">
        <v>0</v>
      </c>
      <c r="AD532" s="162">
        <v>0</v>
      </c>
      <c r="AE532" s="162">
        <v>0</v>
      </c>
      <c r="AF532" s="162">
        <v>0</v>
      </c>
      <c r="AG532" s="162">
        <v>0</v>
      </c>
      <c r="AH532" s="162">
        <v>0</v>
      </c>
      <c r="AI532" s="162">
        <v>0</v>
      </c>
      <c r="AJ532" s="162">
        <v>0</v>
      </c>
    </row>
    <row r="533" spans="1:36" x14ac:dyDescent="0.25">
      <c r="A533" t="s">
        <v>1000</v>
      </c>
      <c r="B533" t="s">
        <v>1001</v>
      </c>
      <c r="C533" s="143">
        <v>45386</v>
      </c>
      <c r="D533" s="142">
        <v>45386</v>
      </c>
      <c r="E533">
        <f>Tabela4[[#This Row],[DATA FATURAMENTO]]-Tabela4[[#This Row],[DATA ORÇAMENTO]]</f>
        <v>0</v>
      </c>
      <c r="F533">
        <v>11130</v>
      </c>
      <c r="G533" s="15" t="s">
        <v>35</v>
      </c>
      <c r="H533" s="54"/>
      <c r="I533" s="151">
        <v>0</v>
      </c>
      <c r="J533" s="154">
        <f>Tabela4[[#This Row],[VALOR]]-Tabela4[[#This Row],[PECAS]]</f>
        <v>270.01</v>
      </c>
      <c r="K533" s="150">
        <v>270.01</v>
      </c>
      <c r="L533" s="151">
        <v>0</v>
      </c>
      <c r="M533" s="151">
        <v>0</v>
      </c>
      <c r="N533" s="24"/>
      <c r="O533" s="151">
        <v>0</v>
      </c>
      <c r="P533" s="151">
        <v>0</v>
      </c>
      <c r="Q533" s="151">
        <v>0</v>
      </c>
      <c r="R533" s="151">
        <v>0</v>
      </c>
      <c r="S533" s="154">
        <v>0</v>
      </c>
      <c r="T533" s="151">
        <v>0</v>
      </c>
      <c r="U533" s="151">
        <v>0</v>
      </c>
      <c r="V533" s="15"/>
      <c r="W533" s="22">
        <v>0</v>
      </c>
      <c r="X533" s="149">
        <v>0</v>
      </c>
      <c r="Y533" s="15"/>
      <c r="Z533" s="155">
        <v>0</v>
      </c>
      <c r="AA533" s="149">
        <f>Tabela4[[#This Row],[VALOR]]-Tabela4[[#This Row],[PNEUS]]-Tabela4[[#This Row],[BATERIA]]</f>
        <v>270.01</v>
      </c>
      <c r="AB533" s="19" t="s">
        <v>27</v>
      </c>
      <c r="AC533" s="30">
        <v>0</v>
      </c>
      <c r="AD533" s="162">
        <v>0</v>
      </c>
      <c r="AE533" s="162">
        <v>0</v>
      </c>
      <c r="AF533" s="162">
        <v>0</v>
      </c>
      <c r="AG533" s="162">
        <v>0</v>
      </c>
      <c r="AH533" s="162">
        <v>0</v>
      </c>
      <c r="AI533" s="162">
        <v>0</v>
      </c>
      <c r="AJ533" s="162">
        <v>0</v>
      </c>
    </row>
    <row r="534" spans="1:36" x14ac:dyDescent="0.25">
      <c r="A534" t="s">
        <v>312</v>
      </c>
      <c r="B534" t="s">
        <v>1002</v>
      </c>
      <c r="C534" s="143">
        <v>45385</v>
      </c>
      <c r="D534" s="142">
        <v>45386</v>
      </c>
      <c r="E534">
        <f>Tabela4[[#This Row],[DATA FATURAMENTO]]-Tabela4[[#This Row],[DATA ORÇAMENTO]]</f>
        <v>1</v>
      </c>
      <c r="F534">
        <v>11118</v>
      </c>
      <c r="G534" s="15" t="s">
        <v>22</v>
      </c>
      <c r="H534" s="54"/>
      <c r="I534" s="151">
        <v>538.6</v>
      </c>
      <c r="J534" s="154">
        <f>Tabela4[[#This Row],[VALOR]]-Tabela4[[#This Row],[PECAS]]</f>
        <v>1451.4</v>
      </c>
      <c r="K534" s="150">
        <v>1990</v>
      </c>
      <c r="L534" s="151">
        <v>130</v>
      </c>
      <c r="M534" s="151">
        <f>77.6+21+176</f>
        <v>274.60000000000002</v>
      </c>
      <c r="N534" s="24"/>
      <c r="O534" s="151">
        <v>220</v>
      </c>
      <c r="P534" s="151">
        <v>0</v>
      </c>
      <c r="Q534" s="151">
        <v>189.4</v>
      </c>
      <c r="R534" s="151">
        <v>0</v>
      </c>
      <c r="S534" s="154">
        <v>216</v>
      </c>
      <c r="T534" s="151">
        <v>0</v>
      </c>
      <c r="U534" s="151">
        <v>0</v>
      </c>
      <c r="V534" s="15"/>
      <c r="W534" s="22">
        <v>4</v>
      </c>
      <c r="X534" s="149">
        <v>0</v>
      </c>
      <c r="Y534" s="15" t="s">
        <v>807</v>
      </c>
      <c r="Z534" s="155">
        <v>0</v>
      </c>
      <c r="AA534" s="149">
        <f>Tabela4[[#This Row],[VALOR]]-Tabela4[[#This Row],[PNEUS]]-Tabela4[[#This Row],[BATERIA]]</f>
        <v>1990</v>
      </c>
      <c r="AB534" s="19" t="s">
        <v>30</v>
      </c>
      <c r="AC534" s="30">
        <v>0</v>
      </c>
      <c r="AD534" s="162">
        <v>0</v>
      </c>
      <c r="AE534" s="162">
        <v>0</v>
      </c>
      <c r="AF534" s="162">
        <v>0</v>
      </c>
      <c r="AG534" s="162">
        <v>0</v>
      </c>
      <c r="AH534" s="162">
        <v>0</v>
      </c>
      <c r="AI534" s="162">
        <v>0</v>
      </c>
      <c r="AJ534" s="162">
        <v>0</v>
      </c>
    </row>
    <row r="535" spans="1:36" x14ac:dyDescent="0.25">
      <c r="A535" t="s">
        <v>1003</v>
      </c>
      <c r="B535" t="s">
        <v>1004</v>
      </c>
      <c r="C535" s="143">
        <v>45385</v>
      </c>
      <c r="D535" s="142">
        <v>45386</v>
      </c>
      <c r="E535">
        <f>Tabela4[[#This Row],[DATA FATURAMENTO]]-Tabela4[[#This Row],[DATA ORÇAMENTO]]</f>
        <v>1</v>
      </c>
      <c r="F535">
        <v>11117</v>
      </c>
      <c r="G535" s="15" t="s">
        <v>35</v>
      </c>
      <c r="H535" s="54"/>
      <c r="I535" s="151">
        <v>516.79999999999995</v>
      </c>
      <c r="J535" s="154">
        <f>Tabela4[[#This Row],[VALOR]]-Tabela4[[#This Row],[PECAS]]</f>
        <v>0</v>
      </c>
      <c r="K535" s="150">
        <v>516.79999999999995</v>
      </c>
      <c r="L535" s="151">
        <v>0</v>
      </c>
      <c r="M535" s="151">
        <v>0</v>
      </c>
      <c r="N535" s="24"/>
      <c r="O535" s="151">
        <v>0</v>
      </c>
      <c r="P535" s="151">
        <v>0</v>
      </c>
      <c r="Q535" s="151">
        <v>0</v>
      </c>
      <c r="R535" s="151">
        <v>0</v>
      </c>
      <c r="S535" s="154">
        <v>0</v>
      </c>
      <c r="T535" s="151">
        <v>0</v>
      </c>
      <c r="U535" s="151">
        <v>0</v>
      </c>
      <c r="V535" s="15"/>
      <c r="W535" s="22">
        <v>4</v>
      </c>
      <c r="X535" s="149">
        <v>0</v>
      </c>
      <c r="Y535" s="15" t="s">
        <v>645</v>
      </c>
      <c r="Z535" s="155">
        <v>0</v>
      </c>
      <c r="AA535" s="149">
        <f>Tabela4[[#This Row],[VALOR]]-Tabela4[[#This Row],[PNEUS]]-Tabela4[[#This Row],[BATERIA]]</f>
        <v>516.79999999999995</v>
      </c>
      <c r="AB535" s="19" t="s">
        <v>24</v>
      </c>
      <c r="AC535" s="30">
        <v>0</v>
      </c>
      <c r="AD535" s="162">
        <v>0</v>
      </c>
      <c r="AE535" s="162">
        <v>0</v>
      </c>
      <c r="AF535" s="162">
        <v>0</v>
      </c>
      <c r="AG535" s="162">
        <v>0</v>
      </c>
      <c r="AH535" s="162">
        <v>0</v>
      </c>
      <c r="AI535" s="162">
        <v>0</v>
      </c>
      <c r="AJ535" s="162">
        <v>0</v>
      </c>
    </row>
    <row r="536" spans="1:36" x14ac:dyDescent="0.25">
      <c r="A536" t="s">
        <v>1005</v>
      </c>
      <c r="B536" t="s">
        <v>1006</v>
      </c>
      <c r="C536" s="143">
        <v>45385</v>
      </c>
      <c r="D536" s="142">
        <v>45386</v>
      </c>
      <c r="E536">
        <f>Tabela4[[#This Row],[DATA FATURAMENTO]]-Tabela4[[#This Row],[DATA ORÇAMENTO]]</f>
        <v>1</v>
      </c>
      <c r="F536">
        <v>11120</v>
      </c>
      <c r="G536" s="15" t="s">
        <v>6</v>
      </c>
      <c r="H536" s="54"/>
      <c r="I536" s="151">
        <v>530</v>
      </c>
      <c r="J536" s="154">
        <f>Tabela4[[#This Row],[VALOR]]-Tabela4[[#This Row],[PECAS]]</f>
        <v>9.9999999999909051E-3</v>
      </c>
      <c r="K536" s="150">
        <v>530.01</v>
      </c>
      <c r="L536" s="151">
        <v>0</v>
      </c>
      <c r="M536" s="151">
        <v>0</v>
      </c>
      <c r="N536" s="24"/>
      <c r="O536" s="151">
        <v>0</v>
      </c>
      <c r="P536" s="151">
        <v>0</v>
      </c>
      <c r="Q536" s="151">
        <v>0</v>
      </c>
      <c r="R536" s="151">
        <v>0</v>
      </c>
      <c r="S536" s="154">
        <v>0</v>
      </c>
      <c r="T536" s="151">
        <v>0</v>
      </c>
      <c r="U536" s="151">
        <v>530.01</v>
      </c>
      <c r="V536" s="15" t="s">
        <v>684</v>
      </c>
      <c r="W536" s="22">
        <v>0</v>
      </c>
      <c r="X536" s="149">
        <v>0</v>
      </c>
      <c r="Y536" s="15"/>
      <c r="Z536" s="155">
        <v>0</v>
      </c>
      <c r="AA536" s="149">
        <f>Tabela4[[#This Row],[VALOR]]-Tabela4[[#This Row],[PNEUS]]-Tabela4[[#This Row],[BATERIA]]</f>
        <v>0</v>
      </c>
      <c r="AB536" s="19" t="s">
        <v>6</v>
      </c>
      <c r="AC536" s="30">
        <v>0</v>
      </c>
      <c r="AD536" s="162">
        <v>0</v>
      </c>
      <c r="AE536" s="162">
        <v>0</v>
      </c>
      <c r="AF536" s="162">
        <v>0</v>
      </c>
      <c r="AG536" s="162">
        <v>0</v>
      </c>
      <c r="AH536" s="162">
        <v>0</v>
      </c>
      <c r="AI536" s="162">
        <v>0</v>
      </c>
      <c r="AJ536" s="162">
        <v>0</v>
      </c>
    </row>
    <row r="537" spans="1:36" x14ac:dyDescent="0.25">
      <c r="A537" t="s">
        <v>1007</v>
      </c>
      <c r="B537" t="s">
        <v>1008</v>
      </c>
      <c r="C537" s="143">
        <v>45386</v>
      </c>
      <c r="D537" s="142">
        <v>45386</v>
      </c>
      <c r="E537">
        <f>Tabela4[[#This Row],[DATA FATURAMENTO]]-Tabela4[[#This Row],[DATA ORÇAMENTO]]</f>
        <v>0</v>
      </c>
      <c r="F537">
        <v>11121</v>
      </c>
      <c r="G537" s="15" t="s">
        <v>6</v>
      </c>
      <c r="H537" s="54"/>
      <c r="I537" s="151">
        <v>530</v>
      </c>
      <c r="J537" s="154">
        <f>Tabela4[[#This Row],[VALOR]]-Tabela4[[#This Row],[PECAS]]</f>
        <v>9.9999999999909051E-3</v>
      </c>
      <c r="K537" s="150">
        <v>530.01</v>
      </c>
      <c r="L537" s="151">
        <v>0</v>
      </c>
      <c r="M537" s="151">
        <v>0</v>
      </c>
      <c r="N537" s="24"/>
      <c r="O537" s="151">
        <v>0</v>
      </c>
      <c r="P537" s="151">
        <v>0</v>
      </c>
      <c r="Q537" s="151">
        <v>0</v>
      </c>
      <c r="R537" s="151">
        <v>0</v>
      </c>
      <c r="S537" s="154">
        <v>0</v>
      </c>
      <c r="T537" s="151">
        <v>0</v>
      </c>
      <c r="U537" s="151">
        <v>530.01</v>
      </c>
      <c r="V537" s="15" t="s">
        <v>684</v>
      </c>
      <c r="W537" s="22">
        <v>0</v>
      </c>
      <c r="X537" s="149">
        <v>0</v>
      </c>
      <c r="Y537" s="15"/>
      <c r="Z537" s="155">
        <v>0</v>
      </c>
      <c r="AA537" s="149">
        <f>Tabela4[[#This Row],[VALOR]]-Tabela4[[#This Row],[PNEUS]]-Tabela4[[#This Row],[BATERIA]]</f>
        <v>0</v>
      </c>
      <c r="AB537" s="19" t="s">
        <v>6</v>
      </c>
      <c r="AC537" s="30">
        <v>0</v>
      </c>
      <c r="AD537" s="162">
        <v>0</v>
      </c>
      <c r="AE537" s="162">
        <v>0</v>
      </c>
      <c r="AF537" s="162">
        <v>0</v>
      </c>
      <c r="AG537" s="162">
        <v>0</v>
      </c>
      <c r="AH537" s="162">
        <v>0</v>
      </c>
      <c r="AI537" s="162">
        <v>0</v>
      </c>
      <c r="AJ537" s="162">
        <v>0</v>
      </c>
    </row>
    <row r="538" spans="1:36" x14ac:dyDescent="0.25">
      <c r="A538" t="s">
        <v>1009</v>
      </c>
      <c r="B538" t="s">
        <v>1010</v>
      </c>
      <c r="C538" s="143">
        <v>45386</v>
      </c>
      <c r="D538" s="142">
        <v>45366</v>
      </c>
      <c r="E538">
        <f>Tabela4[[#This Row],[DATA FATURAMENTO]]-Tabela4[[#This Row],[DATA ORÇAMENTO]]</f>
        <v>-20</v>
      </c>
      <c r="F538">
        <v>11127</v>
      </c>
      <c r="G538" s="15" t="s">
        <v>6</v>
      </c>
      <c r="H538" s="54"/>
      <c r="I538" s="151">
        <v>522.5</v>
      </c>
      <c r="J538" s="154">
        <f>Tabela4[[#This Row],[VALOR]]-Tabela4[[#This Row],[PECAS]]</f>
        <v>9.9999999999909051E-3</v>
      </c>
      <c r="K538" s="150">
        <v>522.51</v>
      </c>
      <c r="L538" s="151">
        <v>0</v>
      </c>
      <c r="M538" s="151">
        <v>0</v>
      </c>
      <c r="N538" s="24"/>
      <c r="O538" s="151">
        <v>0</v>
      </c>
      <c r="P538" s="151">
        <v>0</v>
      </c>
      <c r="Q538" s="151">
        <v>0</v>
      </c>
      <c r="R538" s="151">
        <v>0</v>
      </c>
      <c r="S538" s="154">
        <v>0</v>
      </c>
      <c r="T538" s="151">
        <v>0</v>
      </c>
      <c r="U538" s="151">
        <v>522.51</v>
      </c>
      <c r="V538" s="15" t="s">
        <v>640</v>
      </c>
      <c r="W538" s="22">
        <v>0</v>
      </c>
      <c r="X538" s="149">
        <v>0</v>
      </c>
      <c r="Y538" s="15"/>
      <c r="Z538" s="155">
        <v>0</v>
      </c>
      <c r="AA538" s="149">
        <f>Tabela4[[#This Row],[VALOR]]-Tabela4[[#This Row],[PNEUS]]-Tabela4[[#This Row],[BATERIA]]</f>
        <v>0</v>
      </c>
      <c r="AB538" s="19" t="s">
        <v>6</v>
      </c>
      <c r="AC538" s="30">
        <v>0</v>
      </c>
      <c r="AD538" s="162">
        <v>0</v>
      </c>
      <c r="AE538" s="162">
        <v>0</v>
      </c>
      <c r="AF538" s="162">
        <v>0</v>
      </c>
      <c r="AG538" s="162">
        <v>0</v>
      </c>
      <c r="AH538" s="162">
        <v>0</v>
      </c>
      <c r="AI538" s="162">
        <v>0</v>
      </c>
      <c r="AJ538" s="162">
        <v>0</v>
      </c>
    </row>
    <row r="539" spans="1:36" x14ac:dyDescent="0.25">
      <c r="A539" t="s">
        <v>1011</v>
      </c>
      <c r="B539" t="s">
        <v>1012</v>
      </c>
      <c r="C539" s="143">
        <v>45386</v>
      </c>
      <c r="D539" s="142">
        <v>45386</v>
      </c>
      <c r="E539">
        <f>Tabela4[[#This Row],[DATA FATURAMENTO]]-Tabela4[[#This Row],[DATA ORÇAMENTO]]</f>
        <v>0</v>
      </c>
      <c r="F539">
        <v>11128</v>
      </c>
      <c r="G539" s="15" t="s">
        <v>6</v>
      </c>
      <c r="H539" s="54"/>
      <c r="I539" s="151">
        <v>522.5</v>
      </c>
      <c r="J539" s="154">
        <f>Tabela4[[#This Row],[VALOR]]-Tabela4[[#This Row],[PECAS]]</f>
        <v>9.9999999999909051E-3</v>
      </c>
      <c r="K539" s="150">
        <v>522.51</v>
      </c>
      <c r="L539" s="151">
        <v>0</v>
      </c>
      <c r="M539" s="151">
        <v>0</v>
      </c>
      <c r="N539" s="24"/>
      <c r="O539" s="151">
        <v>0</v>
      </c>
      <c r="P539" s="151">
        <v>0</v>
      </c>
      <c r="Q539" s="151">
        <v>0</v>
      </c>
      <c r="R539" s="151">
        <v>0</v>
      </c>
      <c r="S539" s="154">
        <v>0</v>
      </c>
      <c r="T539" s="151">
        <v>0</v>
      </c>
      <c r="U539" s="151">
        <v>522.51</v>
      </c>
      <c r="V539" s="15" t="s">
        <v>640</v>
      </c>
      <c r="W539" s="22">
        <v>0</v>
      </c>
      <c r="X539" s="149">
        <v>0</v>
      </c>
      <c r="Y539" s="15"/>
      <c r="Z539" s="155">
        <v>0</v>
      </c>
      <c r="AA539" s="149">
        <f>Tabela4[[#This Row],[VALOR]]-Tabela4[[#This Row],[PNEUS]]-Tabela4[[#This Row],[BATERIA]]</f>
        <v>0</v>
      </c>
      <c r="AB539" s="19" t="s">
        <v>6</v>
      </c>
      <c r="AC539" s="30">
        <v>0</v>
      </c>
      <c r="AD539" s="162">
        <v>0</v>
      </c>
      <c r="AE539" s="162">
        <v>0</v>
      </c>
      <c r="AF539" s="162">
        <v>0</v>
      </c>
      <c r="AG539" s="162">
        <v>0</v>
      </c>
      <c r="AH539" s="162">
        <v>0</v>
      </c>
      <c r="AI539" s="162">
        <v>0</v>
      </c>
      <c r="AJ539" s="162">
        <v>0</v>
      </c>
    </row>
    <row r="540" spans="1:36" x14ac:dyDescent="0.25">
      <c r="A540" t="s">
        <v>306</v>
      </c>
      <c r="B540" t="s">
        <v>1013</v>
      </c>
      <c r="C540" s="143">
        <v>45383</v>
      </c>
      <c r="D540" s="142">
        <v>45387</v>
      </c>
      <c r="E540">
        <f>Tabela4[[#This Row],[DATA FATURAMENTO]]-Tabela4[[#This Row],[DATA ORÇAMENTO]]</f>
        <v>4</v>
      </c>
      <c r="F540">
        <v>11082</v>
      </c>
      <c r="G540" s="15" t="s">
        <v>22</v>
      </c>
      <c r="H540" s="25"/>
      <c r="I540" s="155">
        <v>2345.6999999999998</v>
      </c>
      <c r="J540" s="154">
        <f>Tabela4[[#This Row],[VALOR]]-Tabela4[[#This Row],[PECAS]]</f>
        <v>1654.3000000000002</v>
      </c>
      <c r="K540" s="150">
        <v>4000</v>
      </c>
      <c r="L540" s="155">
        <v>0</v>
      </c>
      <c r="M540" s="155">
        <v>0</v>
      </c>
      <c r="N540" s="67"/>
      <c r="O540" s="155">
        <v>0</v>
      </c>
      <c r="P540" s="155">
        <v>0</v>
      </c>
      <c r="Q540" s="155">
        <v>0</v>
      </c>
      <c r="R540" s="155">
        <v>0</v>
      </c>
      <c r="S540" s="154">
        <v>0</v>
      </c>
      <c r="T540" s="155">
        <v>0</v>
      </c>
      <c r="U540" s="155">
        <v>0</v>
      </c>
      <c r="V540" s="25"/>
      <c r="W540" s="22">
        <v>0</v>
      </c>
      <c r="X540" s="149">
        <v>0</v>
      </c>
      <c r="Y540" s="25"/>
      <c r="Z540" s="155">
        <v>0</v>
      </c>
      <c r="AA540" s="149">
        <f>Tabela4[[#This Row],[VALOR]]-Tabela4[[#This Row],[PNEUS]]-Tabela4[[#This Row],[BATERIA]]</f>
        <v>4000</v>
      </c>
      <c r="AB540" s="27" t="s">
        <v>32</v>
      </c>
      <c r="AC540" s="30">
        <v>0</v>
      </c>
      <c r="AD540" s="162">
        <v>0</v>
      </c>
      <c r="AE540" s="162">
        <v>0</v>
      </c>
      <c r="AF540" s="162">
        <v>0</v>
      </c>
      <c r="AG540" s="162">
        <v>0</v>
      </c>
      <c r="AH540" s="162">
        <v>0</v>
      </c>
      <c r="AI540" s="162">
        <v>0</v>
      </c>
      <c r="AJ540" s="162">
        <v>0</v>
      </c>
    </row>
    <row r="541" spans="1:36" x14ac:dyDescent="0.25">
      <c r="A541" t="s">
        <v>1014</v>
      </c>
      <c r="B541" t="s">
        <v>973</v>
      </c>
      <c r="C541" s="143">
        <v>45384</v>
      </c>
      <c r="D541" s="142">
        <v>45387</v>
      </c>
      <c r="E541">
        <f>Tabela4[[#This Row],[DATA FATURAMENTO]]-Tabela4[[#This Row],[DATA ORÇAMENTO]]</f>
        <v>3</v>
      </c>
      <c r="F541">
        <v>11104</v>
      </c>
      <c r="G541" s="15" t="s">
        <v>35</v>
      </c>
      <c r="H541" s="25"/>
      <c r="I541" s="151">
        <v>1144.97</v>
      </c>
      <c r="J541" s="154">
        <f>Tabela4[[#This Row],[VALOR]]-Tabela4[[#This Row],[PECAS]]</f>
        <v>1095.01</v>
      </c>
      <c r="K541" s="150">
        <v>2239.98</v>
      </c>
      <c r="L541" s="151">
        <v>0</v>
      </c>
      <c r="M541" s="151">
        <v>0</v>
      </c>
      <c r="N541" s="24"/>
      <c r="O541" s="151">
        <v>220</v>
      </c>
      <c r="P541" s="151">
        <v>0</v>
      </c>
      <c r="Q541" s="151">
        <v>0</v>
      </c>
      <c r="R541" s="151">
        <v>0</v>
      </c>
      <c r="S541" s="154">
        <v>0</v>
      </c>
      <c r="T541" s="151">
        <v>0</v>
      </c>
      <c r="U541" s="151">
        <v>0</v>
      </c>
      <c r="V541" s="15"/>
      <c r="W541" s="22">
        <v>0</v>
      </c>
      <c r="X541" s="149">
        <v>0</v>
      </c>
      <c r="Y541" s="15"/>
      <c r="Z541" s="155">
        <v>0</v>
      </c>
      <c r="AA541" s="149">
        <f>Tabela4[[#This Row],[VALOR]]-Tabela4[[#This Row],[PNEUS]]-Tabela4[[#This Row],[BATERIA]]</f>
        <v>2239.98</v>
      </c>
      <c r="AB541" s="19" t="s">
        <v>24</v>
      </c>
      <c r="AC541" s="30">
        <v>0</v>
      </c>
      <c r="AD541" s="162">
        <v>0</v>
      </c>
      <c r="AE541" s="162">
        <v>0</v>
      </c>
      <c r="AF541" s="162">
        <v>0</v>
      </c>
      <c r="AG541" s="162">
        <v>0</v>
      </c>
      <c r="AH541" s="162">
        <v>0</v>
      </c>
      <c r="AI541" s="162">
        <v>0</v>
      </c>
      <c r="AJ541" s="162">
        <v>0</v>
      </c>
    </row>
    <row r="542" spans="1:36" x14ac:dyDescent="0.25">
      <c r="A542" t="s">
        <v>313</v>
      </c>
      <c r="B542" t="s">
        <v>1015</v>
      </c>
      <c r="C542" s="143">
        <v>45387</v>
      </c>
      <c r="D542" s="142">
        <v>45387</v>
      </c>
      <c r="E542">
        <f>Tabela4[[#This Row],[DATA FATURAMENTO]]-Tabela4[[#This Row],[DATA ORÇAMENTO]]</f>
        <v>0</v>
      </c>
      <c r="F542">
        <v>11139</v>
      </c>
      <c r="G542" s="15" t="s">
        <v>22</v>
      </c>
      <c r="H542" s="54"/>
      <c r="I542" s="151">
        <v>1631.7</v>
      </c>
      <c r="J542" s="154">
        <f>Tabela4[[#This Row],[VALOR]]-Tabela4[[#This Row],[PECAS]]</f>
        <v>866.76</v>
      </c>
      <c r="K542" s="150">
        <v>2498.46</v>
      </c>
      <c r="L542" s="151">
        <v>120</v>
      </c>
      <c r="M542" s="151">
        <v>0</v>
      </c>
      <c r="N542" s="24"/>
      <c r="O542" s="151">
        <v>0</v>
      </c>
      <c r="P542" s="151">
        <v>0</v>
      </c>
      <c r="Q542" s="151">
        <v>0</v>
      </c>
      <c r="R542" s="151">
        <v>0</v>
      </c>
      <c r="S542" s="154">
        <v>216.48</v>
      </c>
      <c r="T542" s="151">
        <v>0</v>
      </c>
      <c r="U542" s="151">
        <v>0</v>
      </c>
      <c r="V542" s="15"/>
      <c r="W542" s="22">
        <v>4</v>
      </c>
      <c r="X542" s="149">
        <v>0</v>
      </c>
      <c r="Y542" s="15" t="s">
        <v>635</v>
      </c>
      <c r="Z542" s="155">
        <v>0</v>
      </c>
      <c r="AA542" s="149">
        <f>Tabela4[[#This Row],[VALOR]]-Tabela4[[#This Row],[PNEUS]]-Tabela4[[#This Row],[BATERIA]]</f>
        <v>2498.46</v>
      </c>
      <c r="AB542" s="19" t="s">
        <v>30</v>
      </c>
      <c r="AC542" s="30">
        <v>0</v>
      </c>
      <c r="AD542" s="162">
        <v>0</v>
      </c>
      <c r="AE542" s="162">
        <v>0</v>
      </c>
      <c r="AF542" s="162">
        <v>0</v>
      </c>
      <c r="AG542" s="162">
        <v>0</v>
      </c>
      <c r="AH542" s="162">
        <v>0</v>
      </c>
      <c r="AI542" s="162">
        <v>0</v>
      </c>
      <c r="AJ542" s="162">
        <v>0</v>
      </c>
    </row>
    <row r="543" spans="1:36" x14ac:dyDescent="0.25">
      <c r="A543" t="s">
        <v>314</v>
      </c>
      <c r="B543" t="s">
        <v>1016</v>
      </c>
      <c r="C543" s="143">
        <v>45385</v>
      </c>
      <c r="D543" s="142">
        <v>45387</v>
      </c>
      <c r="E543">
        <f>Tabela4[[#This Row],[DATA FATURAMENTO]]-Tabela4[[#This Row],[DATA ORÇAMENTO]]</f>
        <v>2</v>
      </c>
      <c r="F543">
        <v>11116</v>
      </c>
      <c r="G543" s="15" t="s">
        <v>22</v>
      </c>
      <c r="H543" s="54"/>
      <c r="I543" s="151">
        <v>1818.59</v>
      </c>
      <c r="J543" s="154">
        <f>Tabela4[[#This Row],[VALOR]]-Tabela4[[#This Row],[PECAS]]</f>
        <v>344.96000000000026</v>
      </c>
      <c r="K543" s="150">
        <v>2163.5500000000002</v>
      </c>
      <c r="L543" s="151">
        <v>0</v>
      </c>
      <c r="M543" s="151">
        <v>0</v>
      </c>
      <c r="N543" s="24"/>
      <c r="O543" s="151">
        <v>0</v>
      </c>
      <c r="P543" s="151">
        <f>97+64.1</f>
        <v>161.1</v>
      </c>
      <c r="Q543" s="151">
        <v>0</v>
      </c>
      <c r="R543" s="151">
        <v>10</v>
      </c>
      <c r="S543" s="154">
        <v>0</v>
      </c>
      <c r="T543" s="151">
        <v>0</v>
      </c>
      <c r="U543" s="151">
        <v>0</v>
      </c>
      <c r="V543" s="15"/>
      <c r="W543" s="22">
        <v>0</v>
      </c>
      <c r="X543" s="149">
        <v>0</v>
      </c>
      <c r="Y543" s="15"/>
      <c r="Z543" s="155">
        <v>0</v>
      </c>
      <c r="AA543" s="149">
        <f>Tabela4[[#This Row],[VALOR]]-Tabela4[[#This Row],[PNEUS]]-Tabela4[[#This Row],[BATERIA]]</f>
        <v>2163.5500000000002</v>
      </c>
      <c r="AB543" s="19" t="s">
        <v>34</v>
      </c>
      <c r="AC543" s="30">
        <v>0</v>
      </c>
      <c r="AD543" s="162">
        <v>0</v>
      </c>
      <c r="AE543" s="162">
        <v>0</v>
      </c>
      <c r="AF543" s="162">
        <v>0</v>
      </c>
      <c r="AG543" s="162">
        <v>0</v>
      </c>
      <c r="AH543" s="162">
        <v>0</v>
      </c>
      <c r="AI543" s="162">
        <v>0</v>
      </c>
      <c r="AJ543" s="162">
        <v>0</v>
      </c>
    </row>
    <row r="544" spans="1:36" x14ac:dyDescent="0.25">
      <c r="A544" t="s">
        <v>317</v>
      </c>
      <c r="B544" t="s">
        <v>868</v>
      </c>
      <c r="C544" s="143">
        <v>45386</v>
      </c>
      <c r="D544" s="142">
        <v>45387</v>
      </c>
      <c r="E544">
        <f>Tabela4[[#This Row],[DATA FATURAMENTO]]-Tabela4[[#This Row],[DATA ORÇAMENTO]]</f>
        <v>1</v>
      </c>
      <c r="F544">
        <v>11123</v>
      </c>
      <c r="G544" s="15" t="s">
        <v>25</v>
      </c>
      <c r="H544" s="54"/>
      <c r="I544" s="151">
        <v>853.03</v>
      </c>
      <c r="J544" s="154">
        <f>Tabela4[[#This Row],[VALOR]]-Tabela4[[#This Row],[PECAS]]</f>
        <v>888.81</v>
      </c>
      <c r="K544" s="150">
        <v>1741.84</v>
      </c>
      <c r="L544" s="151">
        <v>0</v>
      </c>
      <c r="M544" s="151">
        <f>21.95+20</f>
        <v>41.95</v>
      </c>
      <c r="N544" s="24"/>
      <c r="O544" s="151">
        <v>268.8</v>
      </c>
      <c r="P544" s="151">
        <v>0</v>
      </c>
      <c r="Q544" s="151">
        <v>0</v>
      </c>
      <c r="R544" s="151">
        <v>0</v>
      </c>
      <c r="S544" s="154">
        <v>69.900000000000006</v>
      </c>
      <c r="T544" s="151">
        <v>0</v>
      </c>
      <c r="U544" s="151">
        <v>0</v>
      </c>
      <c r="V544" s="15"/>
      <c r="W544" s="22">
        <v>3</v>
      </c>
      <c r="X544" s="149">
        <v>0</v>
      </c>
      <c r="Y544" s="15" t="s">
        <v>654</v>
      </c>
      <c r="Z544" s="155">
        <v>0</v>
      </c>
      <c r="AA544" s="149">
        <f>Tabela4[[#This Row],[VALOR]]-Tabela4[[#This Row],[PNEUS]]-Tabela4[[#This Row],[BATERIA]]</f>
        <v>1741.84</v>
      </c>
      <c r="AB544" s="19" t="s">
        <v>32</v>
      </c>
      <c r="AC544" s="30">
        <v>0</v>
      </c>
      <c r="AD544" s="162">
        <v>0</v>
      </c>
      <c r="AE544" s="162">
        <v>0</v>
      </c>
      <c r="AF544" s="162">
        <v>0</v>
      </c>
      <c r="AG544" s="162">
        <v>0</v>
      </c>
      <c r="AH544" s="162">
        <v>0</v>
      </c>
      <c r="AI544" s="162">
        <v>0</v>
      </c>
      <c r="AJ544" s="162">
        <v>0</v>
      </c>
    </row>
    <row r="545" spans="1:36" x14ac:dyDescent="0.25">
      <c r="A545" t="s">
        <v>305</v>
      </c>
      <c r="B545" t="s">
        <v>991</v>
      </c>
      <c r="C545" s="143">
        <v>45386</v>
      </c>
      <c r="D545" s="142">
        <v>45387</v>
      </c>
      <c r="E545">
        <f>Tabela4[[#This Row],[DATA FATURAMENTO]]-Tabela4[[#This Row],[DATA ORÇAMENTO]]</f>
        <v>1</v>
      </c>
      <c r="F545">
        <v>11129</v>
      </c>
      <c r="G545" s="15" t="s">
        <v>6</v>
      </c>
      <c r="H545" s="54"/>
      <c r="I545" s="151">
        <v>1190</v>
      </c>
      <c r="J545" s="154">
        <f>Tabela4[[#This Row],[VALOR]]-Tabela4[[#This Row],[PECAS]]</f>
        <v>180</v>
      </c>
      <c r="K545" s="150">
        <v>1370</v>
      </c>
      <c r="L545" s="151">
        <v>0</v>
      </c>
      <c r="M545" s="151">
        <v>0</v>
      </c>
      <c r="N545" s="24"/>
      <c r="O545" s="151">
        <v>0</v>
      </c>
      <c r="P545" s="151">
        <v>0</v>
      </c>
      <c r="Q545" s="151">
        <v>0</v>
      </c>
      <c r="R545" s="151">
        <v>0</v>
      </c>
      <c r="S545" s="154">
        <v>0</v>
      </c>
      <c r="T545" s="151">
        <v>0</v>
      </c>
      <c r="U545" s="151">
        <v>1190</v>
      </c>
      <c r="V545" s="15"/>
      <c r="W545" s="22">
        <v>0</v>
      </c>
      <c r="X545" s="149">
        <v>0</v>
      </c>
      <c r="Y545" s="15"/>
      <c r="Z545" s="155">
        <v>0</v>
      </c>
      <c r="AA545" s="149">
        <f>Tabela4[[#This Row],[VALOR]]-Tabela4[[#This Row],[PNEUS]]-Tabela4[[#This Row],[BATERIA]]</f>
        <v>180</v>
      </c>
      <c r="AB545" s="19" t="s">
        <v>38</v>
      </c>
      <c r="AC545" s="30">
        <v>0</v>
      </c>
      <c r="AD545" s="162">
        <v>0</v>
      </c>
      <c r="AE545" s="162">
        <v>0</v>
      </c>
      <c r="AF545" s="162">
        <v>0</v>
      </c>
      <c r="AG545" s="162">
        <v>0</v>
      </c>
      <c r="AH545" s="162">
        <v>0</v>
      </c>
      <c r="AI545" s="162">
        <v>0</v>
      </c>
      <c r="AJ545" s="162">
        <v>0</v>
      </c>
    </row>
    <row r="546" spans="1:36" x14ac:dyDescent="0.25">
      <c r="A546" t="s">
        <v>320</v>
      </c>
      <c r="B546" t="s">
        <v>943</v>
      </c>
      <c r="C546" s="143">
        <v>45387</v>
      </c>
      <c r="D546" s="142">
        <v>45387</v>
      </c>
      <c r="E546">
        <f>Tabela4[[#This Row],[DATA FATURAMENTO]]-Tabela4[[#This Row],[DATA ORÇAMENTO]]</f>
        <v>0</v>
      </c>
      <c r="F546">
        <v>11135</v>
      </c>
      <c r="G546" s="15" t="s">
        <v>22</v>
      </c>
      <c r="H546" s="54"/>
      <c r="I546" s="151">
        <v>161.5</v>
      </c>
      <c r="J546" s="154">
        <f>Tabela4[[#This Row],[VALOR]]-Tabela4[[#This Row],[PECAS]]</f>
        <v>802.56</v>
      </c>
      <c r="K546" s="150">
        <v>964.06</v>
      </c>
      <c r="L546" s="151">
        <v>0</v>
      </c>
      <c r="M546" s="151">
        <v>0</v>
      </c>
      <c r="N546" s="24"/>
      <c r="O546" s="151">
        <v>0</v>
      </c>
      <c r="P546" s="151">
        <v>0</v>
      </c>
      <c r="Q546" s="151">
        <v>0</v>
      </c>
      <c r="R546" s="151">
        <v>0</v>
      </c>
      <c r="S546" s="154">
        <v>0</v>
      </c>
      <c r="T546" s="151">
        <v>0</v>
      </c>
      <c r="U546" s="151">
        <v>0</v>
      </c>
      <c r="V546" s="15"/>
      <c r="W546" s="22">
        <v>0</v>
      </c>
      <c r="X546" s="149">
        <v>0</v>
      </c>
      <c r="Y546" s="15"/>
      <c r="Z546" s="155">
        <v>0</v>
      </c>
      <c r="AA546" s="149">
        <f>Tabela4[[#This Row],[VALOR]]-Tabela4[[#This Row],[PNEUS]]-Tabela4[[#This Row],[BATERIA]]</f>
        <v>964.06</v>
      </c>
      <c r="AB546" s="19" t="s">
        <v>24</v>
      </c>
      <c r="AC546" s="30">
        <v>0</v>
      </c>
      <c r="AD546" s="162">
        <v>0</v>
      </c>
      <c r="AE546" s="162">
        <v>0</v>
      </c>
      <c r="AF546" s="162">
        <v>0</v>
      </c>
      <c r="AG546" s="162">
        <v>0</v>
      </c>
      <c r="AH546" s="162">
        <v>0</v>
      </c>
      <c r="AI546" s="162">
        <v>0</v>
      </c>
      <c r="AJ546" s="162">
        <v>0</v>
      </c>
    </row>
    <row r="547" spans="1:36" x14ac:dyDescent="0.25">
      <c r="A547" t="s">
        <v>276</v>
      </c>
      <c r="B547" t="s">
        <v>962</v>
      </c>
      <c r="C547" s="143">
        <v>45387</v>
      </c>
      <c r="D547" s="142">
        <v>45387</v>
      </c>
      <c r="E547">
        <f>Tabela4[[#This Row],[DATA FATURAMENTO]]-Tabela4[[#This Row],[DATA ORÇAMENTO]]</f>
        <v>0</v>
      </c>
      <c r="F547">
        <v>11141</v>
      </c>
      <c r="G547" s="15" t="s">
        <v>35</v>
      </c>
      <c r="H547" s="54"/>
      <c r="I547" s="151">
        <v>470</v>
      </c>
      <c r="J547" s="154">
        <f>Tabela4[[#This Row],[VALOR]]-Tabela4[[#This Row],[PECAS]]</f>
        <v>190</v>
      </c>
      <c r="K547" s="150">
        <v>660</v>
      </c>
      <c r="L547" s="151">
        <v>0</v>
      </c>
      <c r="M547" s="151">
        <v>0</v>
      </c>
      <c r="N547" s="24"/>
      <c r="O547" s="151">
        <v>0</v>
      </c>
      <c r="P547" s="151">
        <v>0</v>
      </c>
      <c r="Q547" s="151">
        <v>0</v>
      </c>
      <c r="R547" s="151">
        <v>0</v>
      </c>
      <c r="S547" s="154">
        <v>0</v>
      </c>
      <c r="T547" s="151">
        <v>0</v>
      </c>
      <c r="U547" s="151">
        <v>0</v>
      </c>
      <c r="V547" s="15"/>
      <c r="W547" s="22">
        <v>0</v>
      </c>
      <c r="X547" s="149">
        <v>0</v>
      </c>
      <c r="Y547" s="15"/>
      <c r="Z547" s="155">
        <v>0</v>
      </c>
      <c r="AA547" s="149">
        <f>Tabela4[[#This Row],[VALOR]]-Tabela4[[#This Row],[PNEUS]]-Tabela4[[#This Row],[BATERIA]]</f>
        <v>660</v>
      </c>
      <c r="AB547" s="19" t="s">
        <v>32</v>
      </c>
      <c r="AC547" s="30">
        <v>0</v>
      </c>
      <c r="AD547" s="162">
        <v>0</v>
      </c>
      <c r="AE547" s="162">
        <v>0</v>
      </c>
      <c r="AF547" s="162">
        <v>0</v>
      </c>
      <c r="AG547" s="162">
        <v>0</v>
      </c>
      <c r="AH547" s="162">
        <v>0</v>
      </c>
      <c r="AI547" s="162">
        <v>0</v>
      </c>
      <c r="AJ547" s="162">
        <v>0</v>
      </c>
    </row>
    <row r="548" spans="1:36" x14ac:dyDescent="0.25">
      <c r="A548" t="s">
        <v>155</v>
      </c>
      <c r="B548" t="s">
        <v>1017</v>
      </c>
      <c r="C548" s="143">
        <v>45359</v>
      </c>
      <c r="D548" s="142">
        <v>45388</v>
      </c>
      <c r="E548">
        <f>Tabela4[[#This Row],[DATA FATURAMENTO]]-Tabela4[[#This Row],[DATA ORÇAMENTO]]</f>
        <v>29</v>
      </c>
      <c r="F548">
        <v>10858</v>
      </c>
      <c r="G548" s="25" t="s">
        <v>28</v>
      </c>
      <c r="H548" s="25"/>
      <c r="I548" s="155">
        <v>2750.87</v>
      </c>
      <c r="J548" s="154">
        <f>Tabela4[[#This Row],[VALOR]]-Tabela4[[#This Row],[PECAS]]</f>
        <v>640.01000000000022</v>
      </c>
      <c r="K548" s="157">
        <v>3390.88</v>
      </c>
      <c r="L548" s="155">
        <v>0</v>
      </c>
      <c r="M548" s="155">
        <v>0</v>
      </c>
      <c r="N548" s="67"/>
      <c r="O548" s="155">
        <v>0</v>
      </c>
      <c r="P548" s="155">
        <v>0</v>
      </c>
      <c r="Q548" s="155">
        <v>0</v>
      </c>
      <c r="R548" s="155">
        <v>0</v>
      </c>
      <c r="S548" s="154">
        <v>0</v>
      </c>
      <c r="T548" s="155">
        <v>0</v>
      </c>
      <c r="U548" s="155">
        <v>0</v>
      </c>
      <c r="V548" s="25"/>
      <c r="W548" s="22">
        <v>0</v>
      </c>
      <c r="X548" s="149">
        <v>0</v>
      </c>
      <c r="Y548" s="25"/>
      <c r="Z548" s="155">
        <v>0</v>
      </c>
      <c r="AA548" s="149">
        <f>Tabela4[[#This Row],[VALOR]]-Tabela4[[#This Row],[PNEUS]]-Tabela4[[#This Row],[BATERIA]]</f>
        <v>3390.88</v>
      </c>
      <c r="AB548" s="27" t="s">
        <v>34</v>
      </c>
      <c r="AC548" s="30">
        <v>0</v>
      </c>
      <c r="AD548" s="162">
        <v>0</v>
      </c>
      <c r="AE548" s="162">
        <v>0</v>
      </c>
      <c r="AF548" s="162">
        <v>0</v>
      </c>
      <c r="AG548" s="162">
        <v>0</v>
      </c>
      <c r="AH548" s="162">
        <v>0</v>
      </c>
      <c r="AI548" s="162">
        <v>0</v>
      </c>
      <c r="AJ548" s="162">
        <v>0</v>
      </c>
    </row>
    <row r="549" spans="1:36" x14ac:dyDescent="0.25">
      <c r="A549" t="s">
        <v>274</v>
      </c>
      <c r="B549" t="s">
        <v>850</v>
      </c>
      <c r="C549" s="143">
        <v>45377</v>
      </c>
      <c r="D549" s="142">
        <v>45388</v>
      </c>
      <c r="E549">
        <f>Tabela4[[#This Row],[DATA FATURAMENTO]]-Tabela4[[#This Row],[DATA ORÇAMENTO]]</f>
        <v>11</v>
      </c>
      <c r="F549">
        <v>11041</v>
      </c>
      <c r="G549" s="15" t="s">
        <v>22</v>
      </c>
      <c r="H549" s="25"/>
      <c r="I549" s="151">
        <v>2147.5</v>
      </c>
      <c r="J549" s="154">
        <f>Tabela4[[#This Row],[VALOR]]-Tabela4[[#This Row],[PECAS]]</f>
        <v>2452.5</v>
      </c>
      <c r="K549" s="157">
        <v>4600</v>
      </c>
      <c r="L549" s="151">
        <v>88.7</v>
      </c>
      <c r="M549" s="151">
        <f>21.8+77.6+103</f>
        <v>202.39999999999998</v>
      </c>
      <c r="N549" s="24"/>
      <c r="O549" s="151">
        <v>198.5</v>
      </c>
      <c r="P549" s="151">
        <v>0</v>
      </c>
      <c r="Q549" s="151">
        <v>160</v>
      </c>
      <c r="R549" s="151">
        <v>0</v>
      </c>
      <c r="S549" s="154">
        <v>160</v>
      </c>
      <c r="T549" s="151">
        <v>0</v>
      </c>
      <c r="U549" s="151">
        <v>0</v>
      </c>
      <c r="V549" s="15"/>
      <c r="W549" s="22">
        <v>0</v>
      </c>
      <c r="X549" s="149">
        <v>0</v>
      </c>
      <c r="Y549" s="15"/>
      <c r="Z549" s="155">
        <v>0</v>
      </c>
      <c r="AA549" s="149">
        <f>Tabela4[[#This Row],[VALOR]]-Tabela4[[#This Row],[PNEUS]]-Tabela4[[#This Row],[BATERIA]]</f>
        <v>4600</v>
      </c>
      <c r="AB549" s="19" t="s">
        <v>34</v>
      </c>
      <c r="AC549" s="30">
        <v>0</v>
      </c>
      <c r="AD549" s="162">
        <v>0</v>
      </c>
      <c r="AE549" s="162">
        <v>0</v>
      </c>
      <c r="AF549" s="162">
        <v>0</v>
      </c>
      <c r="AG549" s="162">
        <v>0</v>
      </c>
      <c r="AH549" s="162">
        <v>0</v>
      </c>
      <c r="AI549" s="162">
        <v>0</v>
      </c>
      <c r="AJ549" s="162">
        <v>0</v>
      </c>
    </row>
    <row r="550" spans="1:36" x14ac:dyDescent="0.25">
      <c r="A550" t="s">
        <v>310</v>
      </c>
      <c r="B550" t="s">
        <v>1018</v>
      </c>
      <c r="C550" s="143">
        <v>45386</v>
      </c>
      <c r="D550" s="142">
        <v>45388</v>
      </c>
      <c r="E550">
        <f>Tabela4[[#This Row],[DATA FATURAMENTO]]-Tabela4[[#This Row],[DATA ORÇAMENTO]]</f>
        <v>2</v>
      </c>
      <c r="F550">
        <v>11125</v>
      </c>
      <c r="G550" s="15" t="s">
        <v>22</v>
      </c>
      <c r="H550" s="54"/>
      <c r="I550" s="151">
        <v>1127.9000000000001</v>
      </c>
      <c r="J550" s="154">
        <f>Tabela4[[#This Row],[VALOR]]-Tabela4[[#This Row],[PECAS]]</f>
        <v>665.28</v>
      </c>
      <c r="K550" s="157">
        <v>1793.18</v>
      </c>
      <c r="L550" s="151">
        <v>0</v>
      </c>
      <c r="M550" s="151">
        <v>0</v>
      </c>
      <c r="N550" s="24"/>
      <c r="O550" s="151">
        <v>221.76</v>
      </c>
      <c r="P550" s="151">
        <v>0</v>
      </c>
      <c r="Q550" s="151">
        <v>0</v>
      </c>
      <c r="R550" s="151">
        <v>0</v>
      </c>
      <c r="S550" s="154">
        <v>0</v>
      </c>
      <c r="T550" s="151">
        <v>0</v>
      </c>
      <c r="U550" s="151">
        <v>0</v>
      </c>
      <c r="V550" s="15"/>
      <c r="W550" s="22">
        <v>0</v>
      </c>
      <c r="X550" s="149">
        <v>0</v>
      </c>
      <c r="Y550" s="15"/>
      <c r="Z550" s="155">
        <v>0</v>
      </c>
      <c r="AA550" s="149">
        <f>Tabela4[[#This Row],[VALOR]]-Tabela4[[#This Row],[PNEUS]]-Tabela4[[#This Row],[BATERIA]]</f>
        <v>1793.18</v>
      </c>
      <c r="AB550" s="19" t="s">
        <v>30</v>
      </c>
      <c r="AC550" s="30">
        <v>0</v>
      </c>
      <c r="AD550" s="162">
        <v>0</v>
      </c>
      <c r="AE550" s="162">
        <v>0</v>
      </c>
      <c r="AF550" s="162">
        <v>0</v>
      </c>
      <c r="AG550" s="162">
        <v>0</v>
      </c>
      <c r="AH550" s="162">
        <v>0</v>
      </c>
      <c r="AI550" s="162">
        <v>0</v>
      </c>
      <c r="AJ550" s="162">
        <v>0</v>
      </c>
    </row>
    <row r="551" spans="1:36" x14ac:dyDescent="0.25">
      <c r="A551" t="s">
        <v>324</v>
      </c>
      <c r="B551" t="s">
        <v>1019</v>
      </c>
      <c r="C551" s="143">
        <v>45388</v>
      </c>
      <c r="D551" s="142">
        <v>45388</v>
      </c>
      <c r="E551">
        <f>Tabela4[[#This Row],[DATA FATURAMENTO]]-Tabela4[[#This Row],[DATA ORÇAMENTO]]</f>
        <v>0</v>
      </c>
      <c r="F551">
        <v>11145</v>
      </c>
      <c r="G551" s="15" t="s">
        <v>35</v>
      </c>
      <c r="H551" s="54"/>
      <c r="I551" s="151">
        <v>414.7</v>
      </c>
      <c r="J551" s="154">
        <f>Tabela4[[#This Row],[VALOR]]-Tabela4[[#This Row],[PECAS]]</f>
        <v>460.02000000000004</v>
      </c>
      <c r="K551" s="157">
        <v>874.72</v>
      </c>
      <c r="L551" s="151">
        <v>0</v>
      </c>
      <c r="M551" s="151">
        <v>0</v>
      </c>
      <c r="N551" s="24"/>
      <c r="O551" s="151">
        <v>0</v>
      </c>
      <c r="P551" s="151">
        <v>0</v>
      </c>
      <c r="Q551" s="151">
        <v>0</v>
      </c>
      <c r="R551" s="151">
        <v>0</v>
      </c>
      <c r="S551" s="154">
        <v>190.01</v>
      </c>
      <c r="T551" s="151">
        <v>0</v>
      </c>
      <c r="U551" s="151">
        <v>0</v>
      </c>
      <c r="V551" s="15"/>
      <c r="W551" s="22">
        <v>4</v>
      </c>
      <c r="X551" s="149">
        <v>0</v>
      </c>
      <c r="Y551" s="15" t="s">
        <v>807</v>
      </c>
      <c r="Z551" s="155">
        <v>0</v>
      </c>
      <c r="AA551" s="149">
        <f>Tabela4[[#This Row],[VALOR]]-Tabela4[[#This Row],[PNEUS]]-Tabela4[[#This Row],[BATERIA]]</f>
        <v>874.72</v>
      </c>
      <c r="AB551" s="19" t="s">
        <v>32</v>
      </c>
      <c r="AC551" s="30">
        <v>0</v>
      </c>
      <c r="AD551" s="162">
        <v>0</v>
      </c>
      <c r="AE551" s="162">
        <v>0</v>
      </c>
      <c r="AF551" s="162">
        <v>0</v>
      </c>
      <c r="AG551" s="162">
        <v>0</v>
      </c>
      <c r="AH551" s="162">
        <v>0</v>
      </c>
      <c r="AI551" s="162">
        <v>0</v>
      </c>
      <c r="AJ551" s="162">
        <v>0</v>
      </c>
    </row>
    <row r="552" spans="1:36" x14ac:dyDescent="0.25">
      <c r="A552" t="s">
        <v>325</v>
      </c>
      <c r="B552" t="s">
        <v>1020</v>
      </c>
      <c r="C552" s="143">
        <v>45388</v>
      </c>
      <c r="D552" s="142">
        <v>45388</v>
      </c>
      <c r="E552">
        <f>Tabela4[[#This Row],[DATA FATURAMENTO]]-Tabela4[[#This Row],[DATA ORÇAMENTO]]</f>
        <v>0</v>
      </c>
      <c r="F552">
        <v>11147</v>
      </c>
      <c r="G552" s="15" t="s">
        <v>31</v>
      </c>
      <c r="H552" s="54"/>
      <c r="I552" s="151">
        <v>437</v>
      </c>
      <c r="J552" s="154">
        <f>Tabela4[[#This Row],[VALOR]]-Tabela4[[#This Row],[PECAS]]</f>
        <v>280</v>
      </c>
      <c r="K552" s="157">
        <v>717</v>
      </c>
      <c r="L552" s="151">
        <v>0</v>
      </c>
      <c r="M552" s="151">
        <v>0</v>
      </c>
      <c r="N552" s="24"/>
      <c r="O552" s="151">
        <v>0</v>
      </c>
      <c r="P552" s="151">
        <v>0</v>
      </c>
      <c r="Q552" s="151">
        <v>0</v>
      </c>
      <c r="R552" s="151">
        <v>0</v>
      </c>
      <c r="S552" s="154">
        <v>280</v>
      </c>
      <c r="T552" s="151">
        <v>0</v>
      </c>
      <c r="U552" s="151">
        <v>0</v>
      </c>
      <c r="V552" s="15"/>
      <c r="W552" s="22">
        <v>4</v>
      </c>
      <c r="X552" s="149">
        <v>0</v>
      </c>
      <c r="Y552" s="15" t="s">
        <v>807</v>
      </c>
      <c r="Z552" s="155">
        <v>0</v>
      </c>
      <c r="AA552" s="149">
        <f>Tabela4[[#This Row],[VALOR]]-Tabela4[[#This Row],[PNEUS]]-Tabela4[[#This Row],[BATERIA]]</f>
        <v>717</v>
      </c>
      <c r="AB552" s="19" t="s">
        <v>30</v>
      </c>
      <c r="AC552" s="30">
        <v>0</v>
      </c>
      <c r="AD552" s="162">
        <v>0</v>
      </c>
      <c r="AE552" s="162">
        <v>0</v>
      </c>
      <c r="AF552" s="162">
        <v>0</v>
      </c>
      <c r="AG552" s="162">
        <v>0</v>
      </c>
      <c r="AH552" s="162">
        <v>0</v>
      </c>
      <c r="AI552" s="162">
        <v>0</v>
      </c>
      <c r="AJ552" s="162">
        <v>0</v>
      </c>
    </row>
    <row r="553" spans="1:36" x14ac:dyDescent="0.25">
      <c r="A553" t="s">
        <v>305</v>
      </c>
      <c r="B553" t="s">
        <v>991</v>
      </c>
      <c r="C553" s="143">
        <v>45388</v>
      </c>
      <c r="D553" s="142">
        <v>45388</v>
      </c>
      <c r="E553">
        <f>Tabela4[[#This Row],[DATA FATURAMENTO]]-Tabela4[[#This Row],[DATA ORÇAMENTO]]</f>
        <v>0</v>
      </c>
      <c r="F553">
        <v>11150</v>
      </c>
      <c r="G553" s="15" t="s">
        <v>31</v>
      </c>
      <c r="H553" s="54"/>
      <c r="I553" s="151">
        <v>20</v>
      </c>
      <c r="J553" s="154">
        <f>Tabela4[[#This Row],[VALOR]]-Tabela4[[#This Row],[PECAS]]</f>
        <v>470</v>
      </c>
      <c r="K553" s="157">
        <v>490</v>
      </c>
      <c r="L553" s="151">
        <v>0</v>
      </c>
      <c r="M553" s="151">
        <v>0</v>
      </c>
      <c r="N553" s="24"/>
      <c r="O553" s="151">
        <v>0</v>
      </c>
      <c r="P553" s="151">
        <v>0</v>
      </c>
      <c r="Q553" s="151">
        <v>0</v>
      </c>
      <c r="R553" s="151">
        <v>0</v>
      </c>
      <c r="S553" s="154">
        <v>0</v>
      </c>
      <c r="T553" s="151">
        <v>0</v>
      </c>
      <c r="U553" s="151">
        <v>0</v>
      </c>
      <c r="V553" s="15"/>
      <c r="W553" s="22">
        <v>0</v>
      </c>
      <c r="X553" s="149">
        <v>0</v>
      </c>
      <c r="Y553" s="15"/>
      <c r="Z553" s="155">
        <v>0</v>
      </c>
      <c r="AA553" s="149">
        <f>Tabela4[[#This Row],[VALOR]]-Tabela4[[#This Row],[PNEUS]]-Tabela4[[#This Row],[BATERIA]]</f>
        <v>490</v>
      </c>
      <c r="AB553" s="19" t="s">
        <v>30</v>
      </c>
      <c r="AC553" s="30">
        <v>0</v>
      </c>
      <c r="AD553" s="162">
        <v>0</v>
      </c>
      <c r="AE553" s="162">
        <v>0</v>
      </c>
      <c r="AF553" s="162">
        <v>0</v>
      </c>
      <c r="AG553" s="162">
        <v>0</v>
      </c>
      <c r="AH553" s="162">
        <v>0</v>
      </c>
      <c r="AI553" s="162">
        <v>0</v>
      </c>
      <c r="AJ553" s="162">
        <v>0</v>
      </c>
    </row>
    <row r="554" spans="1:36" x14ac:dyDescent="0.25">
      <c r="A554" t="s">
        <v>327</v>
      </c>
      <c r="B554" t="s">
        <v>1021</v>
      </c>
      <c r="C554" s="143">
        <v>45390</v>
      </c>
      <c r="D554" s="142">
        <v>45390</v>
      </c>
      <c r="E554">
        <f>Tabela4[[#This Row],[DATA FATURAMENTO]]-Tabela4[[#This Row],[DATA ORÇAMENTO]]</f>
        <v>0</v>
      </c>
      <c r="F554">
        <v>11155</v>
      </c>
      <c r="G554" s="25" t="s">
        <v>31</v>
      </c>
      <c r="H554" s="25"/>
      <c r="I554" s="155">
        <v>461.56</v>
      </c>
      <c r="J554" s="154">
        <f>Tabela4[[#This Row],[VALOR]]-Tabela4[[#This Row],[PECAS]]</f>
        <v>160.44</v>
      </c>
      <c r="K554" s="150">
        <v>622</v>
      </c>
      <c r="L554" s="155">
        <v>0</v>
      </c>
      <c r="M554" s="155">
        <v>0</v>
      </c>
      <c r="N554" s="67"/>
      <c r="O554" s="155">
        <v>0</v>
      </c>
      <c r="P554" s="155">
        <v>0</v>
      </c>
      <c r="Q554" s="155">
        <v>0</v>
      </c>
      <c r="R554" s="155">
        <v>0</v>
      </c>
      <c r="S554" s="154">
        <v>0</v>
      </c>
      <c r="T554" s="155">
        <v>0</v>
      </c>
      <c r="U554" s="155">
        <v>0</v>
      </c>
      <c r="V554" s="25"/>
      <c r="W554" s="22">
        <v>0</v>
      </c>
      <c r="X554" s="149">
        <v>0</v>
      </c>
      <c r="Y554" s="25"/>
      <c r="Z554" s="155">
        <v>0</v>
      </c>
      <c r="AA554" s="149">
        <f>Tabela4[[#This Row],[VALOR]]-Tabela4[[#This Row],[PNEUS]]-Tabela4[[#This Row],[BATERIA]]</f>
        <v>622</v>
      </c>
      <c r="AB554" s="27" t="s">
        <v>24</v>
      </c>
      <c r="AC554" s="30">
        <v>0</v>
      </c>
      <c r="AD554" s="162">
        <v>0</v>
      </c>
      <c r="AE554" s="162">
        <v>0</v>
      </c>
      <c r="AF554" s="162">
        <v>0</v>
      </c>
      <c r="AG554" s="162">
        <v>0</v>
      </c>
      <c r="AH554" s="162">
        <v>0</v>
      </c>
      <c r="AI554" s="162">
        <v>0</v>
      </c>
      <c r="AJ554" s="162">
        <v>0</v>
      </c>
    </row>
    <row r="555" spans="1:36" x14ac:dyDescent="0.25">
      <c r="A555" t="s">
        <v>329</v>
      </c>
      <c r="B555" t="s">
        <v>898</v>
      </c>
      <c r="C555" s="143">
        <v>45390</v>
      </c>
      <c r="D555" s="142">
        <v>45390</v>
      </c>
      <c r="E555">
        <f>Tabela4[[#This Row],[DATA FATURAMENTO]]-Tabela4[[#This Row],[DATA ORÇAMENTO]]</f>
        <v>0</v>
      </c>
      <c r="F555">
        <v>11156</v>
      </c>
      <c r="G555" s="15" t="s">
        <v>35</v>
      </c>
      <c r="H555" s="25"/>
      <c r="I555" s="151">
        <v>633.79999999999995</v>
      </c>
      <c r="J555" s="154">
        <f>Tabela4[[#This Row],[VALOR]]-Tabela4[[#This Row],[PECAS]]</f>
        <v>0</v>
      </c>
      <c r="K555" s="150">
        <v>633.79999999999995</v>
      </c>
      <c r="L555" s="151">
        <v>0</v>
      </c>
      <c r="M555" s="151">
        <v>0</v>
      </c>
      <c r="N555" s="24"/>
      <c r="O555" s="151">
        <v>0</v>
      </c>
      <c r="P555" s="151">
        <v>0</v>
      </c>
      <c r="Q555" s="151">
        <v>0</v>
      </c>
      <c r="R555" s="151">
        <v>0</v>
      </c>
      <c r="S555" s="154">
        <v>80</v>
      </c>
      <c r="T555" s="151">
        <v>0</v>
      </c>
      <c r="U555" s="151">
        <v>0</v>
      </c>
      <c r="V555" s="15"/>
      <c r="W555" s="22">
        <v>4</v>
      </c>
      <c r="X555" s="149">
        <v>0</v>
      </c>
      <c r="Y555" s="15" t="s">
        <v>807</v>
      </c>
      <c r="Z555" s="151">
        <v>0</v>
      </c>
      <c r="AA555" s="149">
        <f>Tabela4[[#This Row],[VALOR]]-Tabela4[[#This Row],[PNEUS]]-Tabela4[[#This Row],[BATERIA]]</f>
        <v>633.79999999999995</v>
      </c>
      <c r="AB555" s="19" t="s">
        <v>34</v>
      </c>
      <c r="AC555" s="30">
        <v>0</v>
      </c>
      <c r="AD555" s="162">
        <v>0</v>
      </c>
      <c r="AE555" s="162">
        <v>0</v>
      </c>
      <c r="AF555" s="162">
        <v>0</v>
      </c>
      <c r="AG555" s="162">
        <v>0</v>
      </c>
      <c r="AH555" s="162">
        <v>0</v>
      </c>
      <c r="AI555" s="162">
        <v>0</v>
      </c>
      <c r="AJ555" s="162">
        <v>0</v>
      </c>
    </row>
    <row r="556" spans="1:36" x14ac:dyDescent="0.25">
      <c r="A556" t="s">
        <v>331</v>
      </c>
      <c r="B556" t="s">
        <v>1022</v>
      </c>
      <c r="C556" s="143">
        <v>45390</v>
      </c>
      <c r="D556" s="142">
        <v>45390</v>
      </c>
      <c r="E556">
        <f>Tabela4[[#This Row],[DATA FATURAMENTO]]-Tabela4[[#This Row],[DATA ORÇAMENTO]]</f>
        <v>0</v>
      </c>
      <c r="F556">
        <v>11170</v>
      </c>
      <c r="G556" s="15" t="s">
        <v>22</v>
      </c>
      <c r="H556" s="54"/>
      <c r="I556" s="151">
        <v>589.9</v>
      </c>
      <c r="J556" s="154">
        <f>Tabela4[[#This Row],[VALOR]]-Tabela4[[#This Row],[PECAS]]</f>
        <v>229.14999999999998</v>
      </c>
      <c r="K556" s="150">
        <v>819.05</v>
      </c>
      <c r="L556" s="151">
        <v>0</v>
      </c>
      <c r="M556" s="151">
        <f>116.4+21+66.53</f>
        <v>203.93</v>
      </c>
      <c r="N556" s="24"/>
      <c r="O556" s="151">
        <v>0</v>
      </c>
      <c r="P556" s="151">
        <v>0</v>
      </c>
      <c r="Q556" s="151">
        <v>0</v>
      </c>
      <c r="R556" s="151">
        <v>0</v>
      </c>
      <c r="S556" s="154">
        <v>162.62</v>
      </c>
      <c r="T556" s="151">
        <v>0</v>
      </c>
      <c r="U556" s="151">
        <v>0</v>
      </c>
      <c r="V556" s="15"/>
      <c r="W556" s="22">
        <v>4</v>
      </c>
      <c r="X556" s="149">
        <v>0</v>
      </c>
      <c r="Y556" s="15" t="s">
        <v>807</v>
      </c>
      <c r="Z556" s="151">
        <v>0</v>
      </c>
      <c r="AA556" s="149">
        <f>Tabela4[[#This Row],[VALOR]]-Tabela4[[#This Row],[PNEUS]]-Tabela4[[#This Row],[BATERIA]]</f>
        <v>819.05</v>
      </c>
      <c r="AB556" s="19" t="s">
        <v>30</v>
      </c>
      <c r="AC556" s="30">
        <v>0</v>
      </c>
      <c r="AD556" s="162">
        <v>0</v>
      </c>
      <c r="AE556" s="162">
        <v>0</v>
      </c>
      <c r="AF556" s="162">
        <v>0</v>
      </c>
      <c r="AG556" s="162">
        <v>0</v>
      </c>
      <c r="AH556" s="162">
        <v>0</v>
      </c>
      <c r="AI556" s="162">
        <v>0</v>
      </c>
      <c r="AJ556" s="162">
        <v>0</v>
      </c>
    </row>
    <row r="557" spans="1:36" x14ac:dyDescent="0.25">
      <c r="A557" t="s">
        <v>332</v>
      </c>
      <c r="B557" t="s">
        <v>1023</v>
      </c>
      <c r="C557" s="143">
        <v>45390</v>
      </c>
      <c r="D557" s="142">
        <v>45390</v>
      </c>
      <c r="E557">
        <f>Tabela4[[#This Row],[DATA FATURAMENTO]]-Tabela4[[#This Row],[DATA ORÇAMENTO]]</f>
        <v>0</v>
      </c>
      <c r="F557">
        <v>11165</v>
      </c>
      <c r="G557" s="15" t="s">
        <v>22</v>
      </c>
      <c r="H557" s="54"/>
      <c r="I557" s="151">
        <v>0</v>
      </c>
      <c r="J557" s="154">
        <f>Tabela4[[#This Row],[VALOR]]-Tabela4[[#This Row],[PECAS]]</f>
        <v>344.03</v>
      </c>
      <c r="K557" s="150">
        <v>344.03</v>
      </c>
      <c r="L557" s="151">
        <v>0</v>
      </c>
      <c r="M557" s="151">
        <v>0</v>
      </c>
      <c r="N557" s="24"/>
      <c r="O557" s="151">
        <v>0</v>
      </c>
      <c r="P557" s="151">
        <v>0</v>
      </c>
      <c r="Q557" s="151">
        <v>0</v>
      </c>
      <c r="R557" s="151">
        <v>0</v>
      </c>
      <c r="S557" s="154">
        <v>0</v>
      </c>
      <c r="T557" s="151">
        <v>0</v>
      </c>
      <c r="U557" s="151">
        <v>0</v>
      </c>
      <c r="V557" s="15"/>
      <c r="W557" s="22">
        <v>0</v>
      </c>
      <c r="X557" s="149">
        <v>0</v>
      </c>
      <c r="Y557" s="15"/>
      <c r="Z557" s="151">
        <v>0</v>
      </c>
      <c r="AA557" s="149">
        <f>Tabela4[[#This Row],[VALOR]]-Tabela4[[#This Row],[PNEUS]]-Tabela4[[#This Row],[BATERIA]]</f>
        <v>344.03</v>
      </c>
      <c r="AB557" s="19" t="s">
        <v>27</v>
      </c>
      <c r="AC557" s="30">
        <v>0</v>
      </c>
      <c r="AD557" s="162">
        <v>0</v>
      </c>
      <c r="AE557" s="162">
        <v>0</v>
      </c>
      <c r="AF557" s="162">
        <v>0</v>
      </c>
      <c r="AG557" s="162">
        <v>0</v>
      </c>
      <c r="AH557" s="162">
        <v>0</v>
      </c>
      <c r="AI557" s="162">
        <v>0</v>
      </c>
      <c r="AJ557" s="162">
        <v>0</v>
      </c>
    </row>
    <row r="558" spans="1:36" x14ac:dyDescent="0.25">
      <c r="A558" t="s">
        <v>189</v>
      </c>
      <c r="B558" t="s">
        <v>854</v>
      </c>
      <c r="C558" s="143">
        <v>45390</v>
      </c>
      <c r="D558" s="142">
        <v>45390</v>
      </c>
      <c r="E558">
        <f>Tabela4[[#This Row],[DATA FATURAMENTO]]-Tabela4[[#This Row],[DATA ORÇAMENTO]]</f>
        <v>0</v>
      </c>
      <c r="F558">
        <v>11173</v>
      </c>
      <c r="G558" s="15" t="s">
        <v>28</v>
      </c>
      <c r="H558" s="54"/>
      <c r="I558" s="151">
        <v>169.3</v>
      </c>
      <c r="J558" s="154">
        <f>Tabela4[[#This Row],[VALOR]]-Tabela4[[#This Row],[PECAS]]</f>
        <v>187.2</v>
      </c>
      <c r="K558" s="150">
        <v>356.5</v>
      </c>
      <c r="L558" s="151">
        <v>0</v>
      </c>
      <c r="M558" s="151">
        <v>0</v>
      </c>
      <c r="N558" s="24"/>
      <c r="O558" s="151">
        <v>0</v>
      </c>
      <c r="P558" s="151">
        <v>0</v>
      </c>
      <c r="Q558" s="151">
        <v>0</v>
      </c>
      <c r="R558" s="151">
        <v>0</v>
      </c>
      <c r="S558" s="154">
        <v>0</v>
      </c>
      <c r="T558" s="151">
        <v>0</v>
      </c>
      <c r="U558" s="151">
        <v>0</v>
      </c>
      <c r="V558" s="15"/>
      <c r="W558" s="22">
        <v>0</v>
      </c>
      <c r="X558" s="149">
        <v>0</v>
      </c>
      <c r="Y558" s="15"/>
      <c r="Z558" s="151">
        <v>0</v>
      </c>
      <c r="AA558" s="149">
        <f>Tabela4[[#This Row],[VALOR]]-Tabela4[[#This Row],[PNEUS]]-Tabela4[[#This Row],[BATERIA]]</f>
        <v>356.5</v>
      </c>
      <c r="AB558" s="19" t="s">
        <v>32</v>
      </c>
      <c r="AC558" s="30">
        <v>0</v>
      </c>
      <c r="AD558" s="162">
        <v>0</v>
      </c>
      <c r="AE558" s="162">
        <v>0</v>
      </c>
      <c r="AF558" s="162">
        <v>0</v>
      </c>
      <c r="AG558" s="162">
        <v>0</v>
      </c>
      <c r="AH558" s="162">
        <v>0</v>
      </c>
      <c r="AI558" s="162">
        <v>0</v>
      </c>
      <c r="AJ558" s="162">
        <v>0</v>
      </c>
    </row>
    <row r="559" spans="1:36" x14ac:dyDescent="0.25">
      <c r="A559" t="s">
        <v>330</v>
      </c>
      <c r="B559" t="s">
        <v>1024</v>
      </c>
      <c r="C559" s="143">
        <v>45390</v>
      </c>
      <c r="D559" s="141">
        <v>45391</v>
      </c>
      <c r="E559">
        <f>Tabela4[[#This Row],[DATA FATURAMENTO]]-Tabela4[[#This Row],[DATA ORÇAMENTO]]</f>
        <v>1</v>
      </c>
      <c r="F559">
        <v>11158</v>
      </c>
      <c r="G559" s="25" t="s">
        <v>22</v>
      </c>
      <c r="H559" s="25"/>
      <c r="I559" s="155">
        <v>3032</v>
      </c>
      <c r="J559" s="154">
        <f>Tabela4[[#This Row],[VALOR]]-Tabela4[[#This Row],[PECAS]]</f>
        <v>1368</v>
      </c>
      <c r="K559" s="150">
        <v>4400</v>
      </c>
      <c r="L559" s="155">
        <v>0</v>
      </c>
      <c r="M559" s="155">
        <v>0</v>
      </c>
      <c r="N559" s="67"/>
      <c r="O559" s="155">
        <v>30</v>
      </c>
      <c r="P559" s="155">
        <v>0</v>
      </c>
      <c r="Q559" s="155">
        <v>0</v>
      </c>
      <c r="R559" s="155">
        <v>0</v>
      </c>
      <c r="S559" s="154">
        <v>0</v>
      </c>
      <c r="T559" s="155">
        <v>0</v>
      </c>
      <c r="U559" s="155">
        <v>0</v>
      </c>
      <c r="V559" s="25"/>
      <c r="W559" s="22">
        <v>0</v>
      </c>
      <c r="X559" s="149">
        <v>0</v>
      </c>
      <c r="Y559" s="25"/>
      <c r="Z559" s="155">
        <v>0</v>
      </c>
      <c r="AA559" s="149">
        <f>Tabela4[[#This Row],[VALOR]]-Tabela4[[#This Row],[PNEUS]]-Tabela4[[#This Row],[BATERIA]]</f>
        <v>4400</v>
      </c>
      <c r="AB559" s="27" t="s">
        <v>32</v>
      </c>
      <c r="AC559" s="30">
        <v>0</v>
      </c>
      <c r="AD559" s="162">
        <v>0</v>
      </c>
      <c r="AE559" s="162">
        <v>0</v>
      </c>
      <c r="AF559" s="162">
        <v>0</v>
      </c>
      <c r="AG559" s="162">
        <v>0</v>
      </c>
      <c r="AH559" s="162">
        <v>0</v>
      </c>
      <c r="AI559" s="162">
        <v>0</v>
      </c>
      <c r="AJ559" s="162">
        <v>0</v>
      </c>
    </row>
    <row r="560" spans="1:36" x14ac:dyDescent="0.25">
      <c r="A560" t="s">
        <v>1025</v>
      </c>
      <c r="B560" t="s">
        <v>1026</v>
      </c>
      <c r="C560" s="143">
        <v>45390</v>
      </c>
      <c r="D560" s="141">
        <v>45391</v>
      </c>
      <c r="E560">
        <f>Tabela4[[#This Row],[DATA FATURAMENTO]]-Tabela4[[#This Row],[DATA ORÇAMENTO]]</f>
        <v>1</v>
      </c>
      <c r="F560">
        <v>11166</v>
      </c>
      <c r="G560" s="15" t="s">
        <v>22</v>
      </c>
      <c r="H560" s="25"/>
      <c r="I560" s="151">
        <v>80</v>
      </c>
      <c r="J560" s="154">
        <f>Tabela4[[#This Row],[VALOR]]-Tabela4[[#This Row],[PECAS]]</f>
        <v>726</v>
      </c>
      <c r="K560" s="150">
        <v>806</v>
      </c>
      <c r="L560" s="151">
        <v>0</v>
      </c>
      <c r="M560" s="151">
        <v>0</v>
      </c>
      <c r="N560" s="24"/>
      <c r="O560" s="151">
        <v>220</v>
      </c>
      <c r="P560" s="151">
        <v>0</v>
      </c>
      <c r="Q560" s="151">
        <v>290</v>
      </c>
      <c r="R560" s="151">
        <v>0</v>
      </c>
      <c r="S560" s="154">
        <v>80</v>
      </c>
      <c r="T560" s="151">
        <v>0</v>
      </c>
      <c r="U560" s="151">
        <v>0</v>
      </c>
      <c r="V560" s="15"/>
      <c r="W560" s="22">
        <v>0</v>
      </c>
      <c r="X560" s="149">
        <v>0</v>
      </c>
      <c r="Y560" s="15"/>
      <c r="Z560" s="151">
        <v>0</v>
      </c>
      <c r="AA560" s="149">
        <f>Tabela4[[#This Row],[VALOR]]-Tabela4[[#This Row],[PNEUS]]-Tabela4[[#This Row],[BATERIA]]</f>
        <v>806</v>
      </c>
      <c r="AB560" s="19" t="s">
        <v>27</v>
      </c>
      <c r="AC560" s="30">
        <v>0</v>
      </c>
      <c r="AD560" s="162">
        <v>0</v>
      </c>
      <c r="AE560" s="162">
        <v>0</v>
      </c>
      <c r="AF560" s="162">
        <v>0</v>
      </c>
      <c r="AG560" s="162">
        <v>0</v>
      </c>
      <c r="AH560" s="162">
        <v>0</v>
      </c>
      <c r="AI560" s="162">
        <v>0</v>
      </c>
      <c r="AJ560" s="162">
        <v>0</v>
      </c>
    </row>
    <row r="561" spans="1:36" x14ac:dyDescent="0.25">
      <c r="A561" t="s">
        <v>982</v>
      </c>
      <c r="B561" t="s">
        <v>875</v>
      </c>
      <c r="C561" s="143">
        <v>45391</v>
      </c>
      <c r="D561" s="141">
        <v>45391</v>
      </c>
      <c r="E561">
        <f>Tabela4[[#This Row],[DATA FATURAMENTO]]-Tabela4[[#This Row],[DATA ORÇAMENTO]]</f>
        <v>0</v>
      </c>
      <c r="F561">
        <v>11181</v>
      </c>
      <c r="G561" s="15" t="s">
        <v>22</v>
      </c>
      <c r="H561" s="54"/>
      <c r="I561" s="151">
        <v>119.9</v>
      </c>
      <c r="J561" s="154">
        <f>Tabela4[[#This Row],[VALOR]]-Tabela4[[#This Row],[PECAS]]</f>
        <v>216.1</v>
      </c>
      <c r="K561" s="150">
        <v>336</v>
      </c>
      <c r="L561" s="151">
        <v>0</v>
      </c>
      <c r="M561" s="151">
        <v>0</v>
      </c>
      <c r="N561" s="24"/>
      <c r="O561" s="151">
        <v>0</v>
      </c>
      <c r="P561" s="151">
        <v>0</v>
      </c>
      <c r="Q561" s="151">
        <v>0</v>
      </c>
      <c r="R561" s="151">
        <v>0</v>
      </c>
      <c r="S561" s="154">
        <v>0</v>
      </c>
      <c r="T561" s="151">
        <v>0</v>
      </c>
      <c r="U561" s="151">
        <v>0</v>
      </c>
      <c r="V561" s="15"/>
      <c r="W561" s="22">
        <v>0</v>
      </c>
      <c r="X561" s="149">
        <v>0</v>
      </c>
      <c r="Y561" s="15"/>
      <c r="Z561" s="151">
        <v>0</v>
      </c>
      <c r="AA561" s="149">
        <f>Tabela4[[#This Row],[VALOR]]-Tabela4[[#This Row],[PNEUS]]-Tabela4[[#This Row],[BATERIA]]</f>
        <v>336</v>
      </c>
      <c r="AB561" s="19" t="s">
        <v>32</v>
      </c>
      <c r="AC561" s="30">
        <v>0</v>
      </c>
      <c r="AD561" s="162">
        <v>0</v>
      </c>
      <c r="AE561" s="162">
        <v>0</v>
      </c>
      <c r="AF561" s="162">
        <v>0</v>
      </c>
      <c r="AG561" s="162">
        <v>0</v>
      </c>
      <c r="AH561" s="162">
        <v>0</v>
      </c>
      <c r="AI561" s="162">
        <v>0</v>
      </c>
      <c r="AJ561" s="162">
        <v>0</v>
      </c>
    </row>
    <row r="562" spans="1:36" x14ac:dyDescent="0.25">
      <c r="A562" t="s">
        <v>1027</v>
      </c>
      <c r="B562" t="s">
        <v>875</v>
      </c>
      <c r="C562" s="143">
        <v>45391</v>
      </c>
      <c r="D562" s="141">
        <v>45391</v>
      </c>
      <c r="E562">
        <f>Tabela4[[#This Row],[DATA FATURAMENTO]]-Tabela4[[#This Row],[DATA ORÇAMENTO]]</f>
        <v>0</v>
      </c>
      <c r="F562">
        <v>11176</v>
      </c>
      <c r="G562" s="15" t="s">
        <v>6</v>
      </c>
      <c r="H562" s="54"/>
      <c r="I562" s="151">
        <v>530</v>
      </c>
      <c r="J562" s="154">
        <f>Tabela4[[#This Row],[VALOR]]-Tabela4[[#This Row],[PECAS]]</f>
        <v>0</v>
      </c>
      <c r="K562" s="150">
        <v>530</v>
      </c>
      <c r="L562" s="151">
        <v>0</v>
      </c>
      <c r="M562" s="151">
        <v>0</v>
      </c>
      <c r="N562" s="24"/>
      <c r="O562" s="151">
        <v>0</v>
      </c>
      <c r="P562" s="151">
        <v>0</v>
      </c>
      <c r="Q562" s="151">
        <v>0</v>
      </c>
      <c r="R562" s="151">
        <v>0</v>
      </c>
      <c r="S562" s="154">
        <v>0</v>
      </c>
      <c r="T562" s="151">
        <v>0</v>
      </c>
      <c r="U562" s="151">
        <v>530</v>
      </c>
      <c r="V562" s="15" t="s">
        <v>997</v>
      </c>
      <c r="W562" s="22">
        <v>0</v>
      </c>
      <c r="X562" s="149">
        <v>0</v>
      </c>
      <c r="Y562" s="15"/>
      <c r="Z562" s="151">
        <v>0</v>
      </c>
      <c r="AA562" s="149">
        <f>Tabela4[[#This Row],[VALOR]]-Tabela4[[#This Row],[PNEUS]]-Tabela4[[#This Row],[BATERIA]]</f>
        <v>0</v>
      </c>
      <c r="AB562" s="19" t="s">
        <v>6</v>
      </c>
      <c r="AC562" s="30">
        <v>0</v>
      </c>
      <c r="AD562" s="162">
        <v>0</v>
      </c>
      <c r="AE562" s="162">
        <v>0</v>
      </c>
      <c r="AF562" s="162">
        <v>0</v>
      </c>
      <c r="AG562" s="162">
        <v>0</v>
      </c>
      <c r="AH562" s="162">
        <v>0</v>
      </c>
      <c r="AI562" s="162">
        <v>0</v>
      </c>
      <c r="AJ562" s="162">
        <v>0</v>
      </c>
    </row>
    <row r="563" spans="1:36" x14ac:dyDescent="0.25">
      <c r="A563" t="s">
        <v>322</v>
      </c>
      <c r="B563" t="s">
        <v>1028</v>
      </c>
      <c r="C563" s="142">
        <v>45387</v>
      </c>
      <c r="D563" s="142">
        <v>45392</v>
      </c>
      <c r="E563">
        <f>Tabela4[[#This Row],[DATA FATURAMENTO]]-Tabela4[[#This Row],[DATA ORÇAMENTO]]</f>
        <v>5</v>
      </c>
      <c r="F563" s="25">
        <v>11136</v>
      </c>
      <c r="G563" s="25" t="s">
        <v>31</v>
      </c>
      <c r="H563" s="25"/>
      <c r="I563" s="155">
        <v>1815.7</v>
      </c>
      <c r="J563" s="154">
        <f>Tabela4[[#This Row],[VALOR]]-Tabela4[[#This Row],[PECAS]]</f>
        <v>1031.9999999999998</v>
      </c>
      <c r="K563" s="153">
        <v>2847.7</v>
      </c>
      <c r="L563" s="155">
        <v>0</v>
      </c>
      <c r="M563" s="155">
        <v>0</v>
      </c>
      <c r="N563" s="67"/>
      <c r="O563" s="155">
        <v>0</v>
      </c>
      <c r="P563" s="155">
        <v>0</v>
      </c>
      <c r="Q563" s="155">
        <v>0</v>
      </c>
      <c r="R563" s="155">
        <v>0</v>
      </c>
      <c r="S563" s="154">
        <v>0</v>
      </c>
      <c r="T563" s="155">
        <v>0</v>
      </c>
      <c r="U563" s="155">
        <v>0</v>
      </c>
      <c r="V563" s="25"/>
      <c r="W563" s="22">
        <v>0</v>
      </c>
      <c r="X563" s="149">
        <v>0</v>
      </c>
      <c r="Y563" s="25"/>
      <c r="Z563" s="155">
        <v>0</v>
      </c>
      <c r="AA563" s="149">
        <f>Tabela4[[#This Row],[VALOR]]-Tabela4[[#This Row],[PNEUS]]-Tabela4[[#This Row],[BATERIA]]</f>
        <v>2847.7</v>
      </c>
      <c r="AB563" s="27" t="s">
        <v>32</v>
      </c>
      <c r="AC563" s="30">
        <v>0</v>
      </c>
      <c r="AD563" s="162">
        <v>0</v>
      </c>
      <c r="AE563" s="162">
        <v>0</v>
      </c>
      <c r="AF563" s="162">
        <v>0</v>
      </c>
      <c r="AG563" s="162">
        <v>0</v>
      </c>
      <c r="AH563" s="162">
        <v>0</v>
      </c>
      <c r="AI563" s="162">
        <v>0</v>
      </c>
      <c r="AJ563" s="162">
        <v>0</v>
      </c>
    </row>
    <row r="564" spans="1:36" x14ac:dyDescent="0.25">
      <c r="A564" t="s">
        <v>287</v>
      </c>
      <c r="B564" t="s">
        <v>1029</v>
      </c>
      <c r="C564" s="143">
        <v>45378</v>
      </c>
      <c r="D564" s="142">
        <v>45393</v>
      </c>
      <c r="E564">
        <f>Tabela4[[#This Row],[DATA FATURAMENTO]]-Tabela4[[#This Row],[DATA ORÇAMENTO]]</f>
        <v>15</v>
      </c>
      <c r="F564">
        <v>11060</v>
      </c>
      <c r="G564" s="25" t="s">
        <v>31</v>
      </c>
      <c r="H564" s="25"/>
      <c r="I564" s="155">
        <v>0</v>
      </c>
      <c r="J564" s="154">
        <f>Tabela4[[#This Row],[VALOR]]-Tabela4[[#This Row],[PECAS]]</f>
        <v>120</v>
      </c>
      <c r="K564" s="150">
        <v>120</v>
      </c>
      <c r="L564" s="155">
        <v>0</v>
      </c>
      <c r="M564" s="155">
        <v>0</v>
      </c>
      <c r="N564" s="67"/>
      <c r="O564" s="155">
        <v>0</v>
      </c>
      <c r="P564" s="155">
        <v>0</v>
      </c>
      <c r="Q564" s="155">
        <v>0</v>
      </c>
      <c r="R564" s="155">
        <v>0</v>
      </c>
      <c r="S564" s="154">
        <v>0</v>
      </c>
      <c r="T564" s="155">
        <v>0</v>
      </c>
      <c r="U564" s="155">
        <v>0</v>
      </c>
      <c r="V564" s="25"/>
      <c r="W564" s="22">
        <v>0</v>
      </c>
      <c r="X564" s="149">
        <v>0</v>
      </c>
      <c r="Y564" s="25"/>
      <c r="Z564" s="155">
        <v>0</v>
      </c>
      <c r="AA564" s="149">
        <f>Tabela4[[#This Row],[VALOR]]-Tabela4[[#This Row],[PNEUS]]-Tabela4[[#This Row],[BATERIA]]</f>
        <v>120</v>
      </c>
      <c r="AB564" s="27" t="s">
        <v>38</v>
      </c>
      <c r="AC564" s="30">
        <v>0</v>
      </c>
      <c r="AD564" s="162">
        <v>0</v>
      </c>
      <c r="AE564" s="162">
        <v>0</v>
      </c>
      <c r="AF564" s="162">
        <v>0</v>
      </c>
      <c r="AG564" s="162">
        <v>0</v>
      </c>
      <c r="AH564" s="162">
        <v>0</v>
      </c>
      <c r="AI564" s="162">
        <v>0</v>
      </c>
      <c r="AJ564" s="162">
        <v>0</v>
      </c>
    </row>
    <row r="565" spans="1:36" x14ac:dyDescent="0.25">
      <c r="A565" t="s">
        <v>334</v>
      </c>
      <c r="B565" t="s">
        <v>948</v>
      </c>
      <c r="C565" s="143">
        <v>45388</v>
      </c>
      <c r="D565" s="142">
        <v>45393</v>
      </c>
      <c r="E565">
        <f>Tabela4[[#This Row],[DATA FATURAMENTO]]-Tabela4[[#This Row],[DATA ORÇAMENTO]]</f>
        <v>5</v>
      </c>
      <c r="F565">
        <v>11151</v>
      </c>
      <c r="G565" s="15" t="s">
        <v>33</v>
      </c>
      <c r="H565" s="25"/>
      <c r="I565" s="151">
        <v>2827.1</v>
      </c>
      <c r="J565" s="154">
        <f>Tabela4[[#This Row],[VALOR]]-Tabela4[[#This Row],[PECAS]]</f>
        <v>1992.9</v>
      </c>
      <c r="K565" s="150">
        <v>4820</v>
      </c>
      <c r="L565" s="151">
        <v>0</v>
      </c>
      <c r="M565" s="151">
        <f>71+20.4</f>
        <v>91.4</v>
      </c>
      <c r="N565" s="24"/>
      <c r="O565" s="151">
        <v>47.7</v>
      </c>
      <c r="P565" s="151">
        <v>0</v>
      </c>
      <c r="Q565" s="151">
        <v>0</v>
      </c>
      <c r="R565" s="151">
        <v>0</v>
      </c>
      <c r="S565" s="154">
        <v>0</v>
      </c>
      <c r="T565" s="151">
        <v>0</v>
      </c>
      <c r="U565" s="151">
        <v>0</v>
      </c>
      <c r="V565" s="15"/>
      <c r="W565" s="22">
        <v>4</v>
      </c>
      <c r="X565" s="149">
        <v>0</v>
      </c>
      <c r="Y565" s="15" t="s">
        <v>654</v>
      </c>
      <c r="Z565" s="151">
        <v>0</v>
      </c>
      <c r="AA565" s="149">
        <f>Tabela4[[#This Row],[VALOR]]-Tabela4[[#This Row],[PNEUS]]-Tabela4[[#This Row],[BATERIA]]</f>
        <v>4820</v>
      </c>
      <c r="AB565" s="19" t="s">
        <v>27</v>
      </c>
      <c r="AC565" s="30">
        <v>0</v>
      </c>
      <c r="AD565" s="162">
        <v>0</v>
      </c>
      <c r="AE565" s="162">
        <v>0</v>
      </c>
      <c r="AF565" s="162">
        <v>0</v>
      </c>
      <c r="AG565" s="162">
        <v>0</v>
      </c>
      <c r="AH565" s="162">
        <v>0</v>
      </c>
      <c r="AI565" s="162">
        <v>0</v>
      </c>
      <c r="AJ565" s="162">
        <v>0</v>
      </c>
    </row>
    <row r="566" spans="1:36" x14ac:dyDescent="0.25">
      <c r="A566" t="s">
        <v>328</v>
      </c>
      <c r="B566" t="s">
        <v>984</v>
      </c>
      <c r="C566" s="143">
        <v>45390</v>
      </c>
      <c r="D566" s="142">
        <v>45393</v>
      </c>
      <c r="E566">
        <f>Tabela4[[#This Row],[DATA FATURAMENTO]]-Tabela4[[#This Row],[DATA ORÇAMENTO]]</f>
        <v>3</v>
      </c>
      <c r="F566">
        <v>11157</v>
      </c>
      <c r="G566" s="15" t="s">
        <v>39</v>
      </c>
      <c r="H566" s="54" t="s">
        <v>44</v>
      </c>
      <c r="I566" s="151">
        <v>0</v>
      </c>
      <c r="J566" s="154">
        <f>Tabela4[[#This Row],[VALOR]]-Tabela4[[#This Row],[PECAS]]</f>
        <v>120.02</v>
      </c>
      <c r="K566" s="150">
        <v>120.02</v>
      </c>
      <c r="L566" s="151">
        <v>0</v>
      </c>
      <c r="M566" s="151">
        <v>0</v>
      </c>
      <c r="N566" s="24"/>
      <c r="O566" s="151">
        <v>0</v>
      </c>
      <c r="P566" s="151">
        <v>0</v>
      </c>
      <c r="Q566" s="151">
        <v>0</v>
      </c>
      <c r="R566" s="151">
        <v>0</v>
      </c>
      <c r="S566" s="154">
        <v>0</v>
      </c>
      <c r="T566" s="151">
        <v>0</v>
      </c>
      <c r="U566" s="151">
        <v>0</v>
      </c>
      <c r="V566" s="15"/>
      <c r="W566" s="22">
        <v>0</v>
      </c>
      <c r="X566" s="149">
        <v>0</v>
      </c>
      <c r="Y566" s="15"/>
      <c r="Z566" s="151">
        <v>0</v>
      </c>
      <c r="AA566" s="149">
        <f>Tabela4[[#This Row],[VALOR]]-Tabela4[[#This Row],[PNEUS]]-Tabela4[[#This Row],[BATERIA]]</f>
        <v>120.02</v>
      </c>
      <c r="AB566" s="19" t="s">
        <v>34</v>
      </c>
      <c r="AC566" s="30">
        <v>0</v>
      </c>
      <c r="AD566" s="162">
        <v>0</v>
      </c>
      <c r="AE566" s="162">
        <v>0</v>
      </c>
      <c r="AF566" s="162">
        <v>0</v>
      </c>
      <c r="AG566" s="162">
        <v>0</v>
      </c>
      <c r="AH566" s="162">
        <v>0</v>
      </c>
      <c r="AI566" s="162">
        <v>0</v>
      </c>
      <c r="AJ566" s="162">
        <v>0</v>
      </c>
    </row>
    <row r="567" spans="1:36" x14ac:dyDescent="0.25">
      <c r="A567" t="s">
        <v>333</v>
      </c>
      <c r="B567" t="s">
        <v>1030</v>
      </c>
      <c r="C567" s="143">
        <v>45390</v>
      </c>
      <c r="D567" s="142">
        <v>45393</v>
      </c>
      <c r="E567">
        <f>Tabela4[[#This Row],[DATA FATURAMENTO]]-Tabela4[[#This Row],[DATA ORÇAMENTO]]</f>
        <v>3</v>
      </c>
      <c r="F567">
        <v>11172</v>
      </c>
      <c r="G567" s="15" t="s">
        <v>22</v>
      </c>
      <c r="H567" s="54"/>
      <c r="I567" s="151">
        <v>148.19999999999999</v>
      </c>
      <c r="J567" s="154">
        <f>Tabela4[[#This Row],[VALOR]]-Tabela4[[#This Row],[PECAS]]</f>
        <v>281.8</v>
      </c>
      <c r="K567" s="150">
        <v>430</v>
      </c>
      <c r="L567" s="151">
        <v>0</v>
      </c>
      <c r="M567" s="151">
        <f>148.2</f>
        <v>148.19999999999999</v>
      </c>
      <c r="N567" s="24"/>
      <c r="O567" s="151">
        <v>0</v>
      </c>
      <c r="P567" s="151">
        <v>0</v>
      </c>
      <c r="Q567" s="151">
        <v>0</v>
      </c>
      <c r="R567" s="151">
        <v>0</v>
      </c>
      <c r="S567" s="154">
        <v>0</v>
      </c>
      <c r="T567" s="151">
        <v>0</v>
      </c>
      <c r="U567" s="151">
        <v>0</v>
      </c>
      <c r="V567" s="15"/>
      <c r="W567" s="22">
        <v>0</v>
      </c>
      <c r="X567" s="149">
        <v>0</v>
      </c>
      <c r="Y567" s="15"/>
      <c r="Z567" s="151">
        <v>0</v>
      </c>
      <c r="AA567" s="149">
        <f>Tabela4[[#This Row],[VALOR]]-Tabela4[[#This Row],[PNEUS]]-Tabela4[[#This Row],[BATERIA]]</f>
        <v>430</v>
      </c>
      <c r="AB567" s="19" t="s">
        <v>27</v>
      </c>
      <c r="AC567" s="30">
        <v>0</v>
      </c>
      <c r="AD567" s="162">
        <v>0</v>
      </c>
      <c r="AE567" s="162">
        <v>0</v>
      </c>
      <c r="AF567" s="162">
        <v>0</v>
      </c>
      <c r="AG567" s="162">
        <v>0</v>
      </c>
      <c r="AH567" s="162">
        <v>0</v>
      </c>
      <c r="AI567" s="162">
        <v>0</v>
      </c>
      <c r="AJ567" s="162">
        <v>0</v>
      </c>
    </row>
    <row r="568" spans="1:36" x14ac:dyDescent="0.25">
      <c r="A568" t="s">
        <v>335</v>
      </c>
      <c r="B568" t="s">
        <v>1031</v>
      </c>
      <c r="C568" s="143">
        <v>45391</v>
      </c>
      <c r="D568" s="142">
        <v>45393</v>
      </c>
      <c r="E568">
        <f>Tabela4[[#This Row],[DATA FATURAMENTO]]-Tabela4[[#This Row],[DATA ORÇAMENTO]]</f>
        <v>2</v>
      </c>
      <c r="F568">
        <v>11178</v>
      </c>
      <c r="G568" s="15" t="s">
        <v>22</v>
      </c>
      <c r="H568" s="54"/>
      <c r="I568" s="151">
        <v>1184</v>
      </c>
      <c r="J568" s="154">
        <f>Tabela4[[#This Row],[VALOR]]-Tabela4[[#This Row],[PECAS]]</f>
        <v>494</v>
      </c>
      <c r="K568" s="150">
        <v>1678</v>
      </c>
      <c r="L568" s="151">
        <v>0</v>
      </c>
      <c r="M568" s="151">
        <v>0</v>
      </c>
      <c r="N568" s="24"/>
      <c r="O568" s="151">
        <v>0</v>
      </c>
      <c r="P568" s="151">
        <v>0</v>
      </c>
      <c r="Q568" s="151">
        <v>0</v>
      </c>
      <c r="R568" s="151">
        <v>0</v>
      </c>
      <c r="S568" s="154">
        <v>0</v>
      </c>
      <c r="T568" s="151">
        <v>0</v>
      </c>
      <c r="U568" s="151">
        <v>0</v>
      </c>
      <c r="V568" s="15"/>
      <c r="W568" s="22">
        <v>4</v>
      </c>
      <c r="X568" s="149">
        <v>0</v>
      </c>
      <c r="Y568" s="15" t="s">
        <v>807</v>
      </c>
      <c r="Z568" s="151">
        <v>0</v>
      </c>
      <c r="AA568" s="149">
        <f>Tabela4[[#This Row],[VALOR]]-Tabela4[[#This Row],[PNEUS]]-Tabela4[[#This Row],[BATERIA]]</f>
        <v>1678</v>
      </c>
      <c r="AB568" s="19" t="s">
        <v>34</v>
      </c>
      <c r="AC568" s="30">
        <v>0</v>
      </c>
      <c r="AD568" s="162">
        <v>0</v>
      </c>
      <c r="AE568" s="162">
        <v>0</v>
      </c>
      <c r="AF568" s="162">
        <v>0</v>
      </c>
      <c r="AG568" s="162">
        <v>0</v>
      </c>
      <c r="AH568" s="162">
        <v>0</v>
      </c>
      <c r="AI568" s="162">
        <v>0</v>
      </c>
      <c r="AJ568" s="162">
        <v>0</v>
      </c>
    </row>
    <row r="569" spans="1:36" x14ac:dyDescent="0.25">
      <c r="A569" t="s">
        <v>1032</v>
      </c>
      <c r="B569" t="s">
        <v>939</v>
      </c>
      <c r="C569" s="143">
        <v>45392</v>
      </c>
      <c r="D569" s="142">
        <v>45393</v>
      </c>
      <c r="E569">
        <f>Tabela4[[#This Row],[DATA FATURAMENTO]]-Tabela4[[#This Row],[DATA ORÇAMENTO]]</f>
        <v>1</v>
      </c>
      <c r="F569">
        <v>11185</v>
      </c>
      <c r="G569" s="15" t="s">
        <v>22</v>
      </c>
      <c r="H569" s="54"/>
      <c r="I569" s="151">
        <v>4060.6</v>
      </c>
      <c r="J569" s="154">
        <f>Tabela4[[#This Row],[VALOR]]-Tabela4[[#This Row],[PECAS]]</f>
        <v>1843.7800000000002</v>
      </c>
      <c r="K569" s="150">
        <v>5904.38</v>
      </c>
      <c r="L569" s="151">
        <v>0</v>
      </c>
      <c r="M569" s="151">
        <v>0</v>
      </c>
      <c r="N569" s="24"/>
      <c r="O569" s="151">
        <v>0</v>
      </c>
      <c r="P569" s="151">
        <v>0</v>
      </c>
      <c r="Q569" s="151">
        <v>0</v>
      </c>
      <c r="R569" s="151">
        <v>0</v>
      </c>
      <c r="S569" s="154">
        <v>0</v>
      </c>
      <c r="T569" s="151">
        <v>0</v>
      </c>
      <c r="U569" s="151">
        <v>0</v>
      </c>
      <c r="V569" s="15"/>
      <c r="W569" s="22">
        <v>4</v>
      </c>
      <c r="X569" s="149">
        <v>0</v>
      </c>
      <c r="Y569" s="15" t="s">
        <v>1033</v>
      </c>
      <c r="Z569" s="151">
        <v>0</v>
      </c>
      <c r="AA569" s="149">
        <f>Tabela4[[#This Row],[VALOR]]-Tabela4[[#This Row],[PNEUS]]-Tabela4[[#This Row],[BATERIA]]</f>
        <v>5904.38</v>
      </c>
      <c r="AB569" s="19" t="s">
        <v>32</v>
      </c>
      <c r="AC569" s="30">
        <v>0</v>
      </c>
      <c r="AD569" s="162">
        <v>0</v>
      </c>
      <c r="AE569" s="162">
        <v>0</v>
      </c>
      <c r="AF569" s="162">
        <v>0</v>
      </c>
      <c r="AG569" s="162">
        <v>0</v>
      </c>
      <c r="AH569" s="162">
        <v>0</v>
      </c>
      <c r="AI569" s="162">
        <v>0</v>
      </c>
      <c r="AJ569" s="162">
        <v>0</v>
      </c>
    </row>
    <row r="570" spans="1:36" x14ac:dyDescent="0.25">
      <c r="A570" t="s">
        <v>211</v>
      </c>
      <c r="B570" t="s">
        <v>895</v>
      </c>
      <c r="C570" s="143">
        <v>45392</v>
      </c>
      <c r="D570" s="142">
        <v>45393</v>
      </c>
      <c r="E570">
        <f>Tabela4[[#This Row],[DATA FATURAMENTO]]-Tabela4[[#This Row],[DATA ORÇAMENTO]]</f>
        <v>1</v>
      </c>
      <c r="F570">
        <v>11189</v>
      </c>
      <c r="G570" s="15" t="s">
        <v>35</v>
      </c>
      <c r="H570" s="54"/>
      <c r="I570" s="151">
        <v>195</v>
      </c>
      <c r="J570" s="154">
        <f>Tabela4[[#This Row],[VALOR]]-Tabela4[[#This Row],[PECAS]]</f>
        <v>205</v>
      </c>
      <c r="K570" s="150">
        <v>400</v>
      </c>
      <c r="L570" s="151">
        <v>0</v>
      </c>
      <c r="M570" s="151">
        <v>70</v>
      </c>
      <c r="N570" s="24"/>
      <c r="O570" s="151">
        <v>0</v>
      </c>
      <c r="P570" s="151">
        <v>0</v>
      </c>
      <c r="Q570" s="151">
        <v>0</v>
      </c>
      <c r="R570" s="151">
        <v>0</v>
      </c>
      <c r="S570" s="154">
        <v>0</v>
      </c>
      <c r="T570" s="151">
        <v>0</v>
      </c>
      <c r="U570" s="151">
        <v>0</v>
      </c>
      <c r="V570" s="15"/>
      <c r="W570" s="22">
        <v>0</v>
      </c>
      <c r="X570" s="149">
        <v>0</v>
      </c>
      <c r="Y570" s="15"/>
      <c r="Z570" s="151">
        <v>0</v>
      </c>
      <c r="AA570" s="149">
        <f>Tabela4[[#This Row],[VALOR]]-Tabela4[[#This Row],[PNEUS]]-Tabela4[[#This Row],[BATERIA]]</f>
        <v>400</v>
      </c>
      <c r="AB570" s="19" t="s">
        <v>24</v>
      </c>
      <c r="AC570" s="30">
        <v>0</v>
      </c>
      <c r="AD570" s="162">
        <v>0</v>
      </c>
      <c r="AE570" s="162">
        <v>0</v>
      </c>
      <c r="AF570" s="162">
        <v>0</v>
      </c>
      <c r="AG570" s="162">
        <v>0</v>
      </c>
      <c r="AH570" s="162">
        <v>0</v>
      </c>
      <c r="AI570" s="162">
        <v>0</v>
      </c>
      <c r="AJ570" s="162">
        <v>0</v>
      </c>
    </row>
    <row r="571" spans="1:36" x14ac:dyDescent="0.25">
      <c r="A571" t="s">
        <v>343</v>
      </c>
      <c r="B571" t="s">
        <v>886</v>
      </c>
      <c r="C571" s="143">
        <v>45393</v>
      </c>
      <c r="D571" s="142">
        <v>45393</v>
      </c>
      <c r="E571">
        <f>Tabela4[[#This Row],[DATA FATURAMENTO]]-Tabela4[[#This Row],[DATA ORÇAMENTO]]</f>
        <v>0</v>
      </c>
      <c r="F571">
        <v>11193</v>
      </c>
      <c r="G571" s="15" t="s">
        <v>39</v>
      </c>
      <c r="H571" s="54" t="s">
        <v>44</v>
      </c>
      <c r="I571" s="151">
        <v>40</v>
      </c>
      <c r="J571" s="154">
        <f>Tabela4[[#This Row],[VALOR]]-Tabela4[[#This Row],[PECAS]]</f>
        <v>220.01</v>
      </c>
      <c r="K571" s="150">
        <v>260.01</v>
      </c>
      <c r="L571" s="151">
        <v>0</v>
      </c>
      <c r="M571" s="151">
        <v>0</v>
      </c>
      <c r="N571" s="24"/>
      <c r="O571" s="151">
        <v>0</v>
      </c>
      <c r="P571" s="151">
        <v>0</v>
      </c>
      <c r="Q571" s="151">
        <v>0</v>
      </c>
      <c r="R571" s="151">
        <v>0</v>
      </c>
      <c r="S571" s="154">
        <v>0</v>
      </c>
      <c r="T571" s="151">
        <v>0</v>
      </c>
      <c r="U571" s="151">
        <v>0</v>
      </c>
      <c r="V571" s="15"/>
      <c r="W571" s="22">
        <v>0</v>
      </c>
      <c r="X571" s="149">
        <v>0</v>
      </c>
      <c r="Y571" s="15"/>
      <c r="Z571" s="151">
        <v>0</v>
      </c>
      <c r="AA571" s="149">
        <f>Tabela4[[#This Row],[VALOR]]-Tabela4[[#This Row],[PNEUS]]-Tabela4[[#This Row],[BATERIA]]</f>
        <v>260.01</v>
      </c>
      <c r="AB571" s="19" t="s">
        <v>32</v>
      </c>
      <c r="AC571" s="30">
        <v>0</v>
      </c>
      <c r="AD571" s="162">
        <v>0</v>
      </c>
      <c r="AE571" s="162">
        <v>0</v>
      </c>
      <c r="AF571" s="162">
        <v>0</v>
      </c>
      <c r="AG571" s="162">
        <v>0</v>
      </c>
      <c r="AH571" s="162">
        <v>0</v>
      </c>
      <c r="AI571" s="162">
        <v>0</v>
      </c>
      <c r="AJ571" s="162">
        <v>0</v>
      </c>
    </row>
    <row r="572" spans="1:36" x14ac:dyDescent="0.25">
      <c r="A572" t="s">
        <v>306</v>
      </c>
      <c r="B572" t="s">
        <v>1013</v>
      </c>
      <c r="C572" s="143">
        <v>45393</v>
      </c>
      <c r="D572" s="142">
        <v>45393</v>
      </c>
      <c r="E572">
        <f>Tabela4[[#This Row],[DATA FATURAMENTO]]-Tabela4[[#This Row],[DATA ORÇAMENTO]]</f>
        <v>0</v>
      </c>
      <c r="F572">
        <v>11194</v>
      </c>
      <c r="G572" s="15" t="s">
        <v>22</v>
      </c>
      <c r="H572" s="54"/>
      <c r="I572" s="151">
        <v>495</v>
      </c>
      <c r="J572" s="154">
        <f>Tabela4[[#This Row],[VALOR]]-Tabela4[[#This Row],[PECAS]]</f>
        <v>175</v>
      </c>
      <c r="K572" s="150">
        <v>670</v>
      </c>
      <c r="L572" s="151">
        <v>0</v>
      </c>
      <c r="M572" s="151">
        <v>0</v>
      </c>
      <c r="N572" s="24"/>
      <c r="O572" s="151">
        <v>0</v>
      </c>
      <c r="P572" s="151">
        <v>0</v>
      </c>
      <c r="Q572" s="151">
        <v>0</v>
      </c>
      <c r="R572" s="151">
        <v>0</v>
      </c>
      <c r="S572" s="154">
        <v>0</v>
      </c>
      <c r="T572" s="151">
        <v>0</v>
      </c>
      <c r="U572" s="151">
        <v>0</v>
      </c>
      <c r="V572" s="15"/>
      <c r="W572" s="22">
        <v>0</v>
      </c>
      <c r="X572" s="149">
        <v>0</v>
      </c>
      <c r="Y572" s="15"/>
      <c r="Z572" s="151">
        <v>0</v>
      </c>
      <c r="AA572" s="149">
        <f>Tabela4[[#This Row],[VALOR]]-Tabela4[[#This Row],[PNEUS]]-Tabela4[[#This Row],[BATERIA]]</f>
        <v>670</v>
      </c>
      <c r="AB572" s="19" t="s">
        <v>32</v>
      </c>
      <c r="AC572" s="30">
        <v>0</v>
      </c>
      <c r="AD572" s="162">
        <v>0</v>
      </c>
      <c r="AE572" s="162">
        <v>0</v>
      </c>
      <c r="AF572" s="162">
        <v>0</v>
      </c>
      <c r="AG572" s="162">
        <v>0</v>
      </c>
      <c r="AH572" s="162">
        <v>0</v>
      </c>
      <c r="AI572" s="162">
        <v>0</v>
      </c>
      <c r="AJ572" s="162">
        <v>0</v>
      </c>
    </row>
    <row r="573" spans="1:36" x14ac:dyDescent="0.25">
      <c r="A573" t="s">
        <v>1034</v>
      </c>
      <c r="B573" t="s">
        <v>1035</v>
      </c>
      <c r="C573" s="143">
        <v>45393</v>
      </c>
      <c r="D573" s="142">
        <v>45393</v>
      </c>
      <c r="E573">
        <f>Tabela4[[#This Row],[DATA FATURAMENTO]]-Tabela4[[#This Row],[DATA ORÇAMENTO]]</f>
        <v>0</v>
      </c>
      <c r="F573">
        <v>11195</v>
      </c>
      <c r="G573" s="15" t="s">
        <v>39</v>
      </c>
      <c r="H573" s="54" t="s">
        <v>44</v>
      </c>
      <c r="I573" s="151">
        <v>40</v>
      </c>
      <c r="J573" s="154">
        <f>Tabela4[[#This Row],[VALOR]]-Tabela4[[#This Row],[PECAS]]</f>
        <v>220.01</v>
      </c>
      <c r="K573" s="150">
        <v>260.01</v>
      </c>
      <c r="L573" s="151">
        <v>0</v>
      </c>
      <c r="M573" s="151">
        <v>0</v>
      </c>
      <c r="N573" s="24"/>
      <c r="O573" s="151">
        <v>0</v>
      </c>
      <c r="P573" s="151">
        <v>0</v>
      </c>
      <c r="Q573" s="151">
        <v>0</v>
      </c>
      <c r="R573" s="151">
        <v>0</v>
      </c>
      <c r="S573" s="154">
        <v>0</v>
      </c>
      <c r="T573" s="151">
        <v>0</v>
      </c>
      <c r="U573" s="151">
        <v>0</v>
      </c>
      <c r="V573" s="15"/>
      <c r="W573" s="22">
        <v>0</v>
      </c>
      <c r="X573" s="149">
        <v>0</v>
      </c>
      <c r="Y573" s="15"/>
      <c r="Z573" s="151">
        <v>0</v>
      </c>
      <c r="AA573" s="149">
        <f>Tabela4[[#This Row],[VALOR]]-Tabela4[[#This Row],[PNEUS]]-Tabela4[[#This Row],[BATERIA]]</f>
        <v>260.01</v>
      </c>
      <c r="AB573" s="19" t="s">
        <v>24</v>
      </c>
      <c r="AC573" s="30">
        <v>0</v>
      </c>
      <c r="AD573" s="162">
        <v>0</v>
      </c>
      <c r="AE573" s="162">
        <v>0</v>
      </c>
      <c r="AF573" s="162">
        <v>0</v>
      </c>
      <c r="AG573" s="162">
        <v>0</v>
      </c>
      <c r="AH573" s="162">
        <v>0</v>
      </c>
      <c r="AI573" s="162">
        <v>0</v>
      </c>
      <c r="AJ573" s="162">
        <v>0</v>
      </c>
    </row>
    <row r="574" spans="1:36" x14ac:dyDescent="0.25">
      <c r="A574" t="s">
        <v>189</v>
      </c>
      <c r="B574" t="s">
        <v>854</v>
      </c>
      <c r="C574" s="143">
        <v>45365</v>
      </c>
      <c r="D574" s="142">
        <v>45394</v>
      </c>
      <c r="E574">
        <f>Tabela4[[#This Row],[DATA FATURAMENTO]]-Tabela4[[#This Row],[DATA ORÇAMENTO]]</f>
        <v>29</v>
      </c>
      <c r="F574">
        <v>10911</v>
      </c>
      <c r="G574" s="25" t="s">
        <v>28</v>
      </c>
      <c r="H574" s="25"/>
      <c r="I574" s="155">
        <v>2478.5</v>
      </c>
      <c r="J574" s="154">
        <f>Tabela4[[#This Row],[VALOR]]-Tabela4[[#This Row],[PECAS]]</f>
        <v>2684.04</v>
      </c>
      <c r="K574" s="150">
        <v>5162.54</v>
      </c>
      <c r="L574" s="155">
        <v>0</v>
      </c>
      <c r="M574" s="155">
        <f>91.8</f>
        <v>91.8</v>
      </c>
      <c r="N574" s="67"/>
      <c r="O574" s="155">
        <v>0</v>
      </c>
      <c r="P574" s="155">
        <v>0</v>
      </c>
      <c r="Q574" s="155">
        <v>0</v>
      </c>
      <c r="R574" s="155">
        <v>0</v>
      </c>
      <c r="S574" s="154">
        <v>193.01</v>
      </c>
      <c r="T574" s="155">
        <v>0</v>
      </c>
      <c r="U574" s="155">
        <v>0</v>
      </c>
      <c r="V574" s="25"/>
      <c r="W574" s="28">
        <v>3</v>
      </c>
      <c r="X574" s="149">
        <v>0</v>
      </c>
      <c r="Y574" s="25" t="s">
        <v>654</v>
      </c>
      <c r="Z574" s="155">
        <v>0</v>
      </c>
      <c r="AA574" s="149">
        <f>Tabela4[[#This Row],[VALOR]]-Tabela4[[#This Row],[PNEUS]]-Tabela4[[#This Row],[BATERIA]]</f>
        <v>5162.54</v>
      </c>
      <c r="AB574" s="27" t="s">
        <v>24</v>
      </c>
      <c r="AC574" s="30">
        <v>0</v>
      </c>
      <c r="AD574" s="162">
        <v>0</v>
      </c>
      <c r="AE574" s="162">
        <v>0</v>
      </c>
      <c r="AF574" s="162">
        <v>0</v>
      </c>
      <c r="AG574" s="162">
        <v>0</v>
      </c>
      <c r="AH574" s="162">
        <v>0</v>
      </c>
      <c r="AI574" s="162">
        <v>0</v>
      </c>
      <c r="AJ574" s="162">
        <v>0</v>
      </c>
    </row>
    <row r="575" spans="1:36" x14ac:dyDescent="0.25">
      <c r="A575" t="s">
        <v>212</v>
      </c>
      <c r="B575" t="s">
        <v>1036</v>
      </c>
      <c r="C575" s="143">
        <v>45394</v>
      </c>
      <c r="D575" s="142">
        <v>45394</v>
      </c>
      <c r="E575">
        <f>Tabela4[[#This Row],[DATA FATURAMENTO]]-Tabela4[[#This Row],[DATA ORÇAMENTO]]</f>
        <v>0</v>
      </c>
      <c r="F575">
        <v>11214</v>
      </c>
      <c r="G575" s="15" t="s">
        <v>25</v>
      </c>
      <c r="H575" s="25"/>
      <c r="I575" s="151">
        <v>8080.53</v>
      </c>
      <c r="J575" s="154">
        <f>Tabela4[[#This Row],[VALOR]]-Tabela4[[#This Row],[PECAS]]</f>
        <v>1040.8000000000002</v>
      </c>
      <c r="K575" s="150">
        <v>9121.33</v>
      </c>
      <c r="L575" s="151">
        <v>0</v>
      </c>
      <c r="M575" s="151">
        <f>125.6+130+40</f>
        <v>295.60000000000002</v>
      </c>
      <c r="N575" s="24"/>
      <c r="O575" s="151">
        <f>218+40.8</f>
        <v>258.8</v>
      </c>
      <c r="P575" s="151">
        <f>94.95*2+6.4</f>
        <v>196.3</v>
      </c>
      <c r="Q575" s="151">
        <v>0</v>
      </c>
      <c r="R575" s="151">
        <v>0</v>
      </c>
      <c r="S575" s="154">
        <v>0</v>
      </c>
      <c r="T575" s="151">
        <v>6506</v>
      </c>
      <c r="U575" s="151">
        <v>0</v>
      </c>
      <c r="V575" s="15"/>
      <c r="W575" s="22">
        <v>5</v>
      </c>
      <c r="X575" s="149">
        <v>0</v>
      </c>
      <c r="Y575" s="15" t="s">
        <v>654</v>
      </c>
      <c r="Z575" s="151">
        <v>0</v>
      </c>
      <c r="AA575" s="149">
        <f>Tabela4[[#This Row],[VALOR]]-Tabela4[[#This Row],[PNEUS]]-Tabela4[[#This Row],[BATERIA]]</f>
        <v>2615.33</v>
      </c>
      <c r="AB575" s="19" t="s">
        <v>24</v>
      </c>
      <c r="AC575" s="30">
        <v>0</v>
      </c>
      <c r="AD575" s="162">
        <v>0</v>
      </c>
      <c r="AE575" s="162">
        <v>0</v>
      </c>
      <c r="AF575" s="162">
        <v>0</v>
      </c>
      <c r="AG575" s="162">
        <v>0</v>
      </c>
      <c r="AH575" s="162">
        <v>0</v>
      </c>
      <c r="AI575" s="162">
        <v>0</v>
      </c>
      <c r="AJ575" s="162">
        <v>0</v>
      </c>
    </row>
    <row r="576" spans="1:36" x14ac:dyDescent="0.25">
      <c r="A576" t="s">
        <v>345</v>
      </c>
      <c r="B576" t="s">
        <v>1037</v>
      </c>
      <c r="C576" s="143">
        <v>45394</v>
      </c>
      <c r="D576" s="142">
        <v>45394</v>
      </c>
      <c r="E576">
        <f>Tabela4[[#This Row],[DATA FATURAMENTO]]-Tabela4[[#This Row],[DATA ORÇAMENTO]]</f>
        <v>0</v>
      </c>
      <c r="F576">
        <v>11200</v>
      </c>
      <c r="G576" s="15" t="s">
        <v>22</v>
      </c>
      <c r="H576" s="54"/>
      <c r="I576" s="151">
        <v>140.30000000000001</v>
      </c>
      <c r="J576" s="154">
        <f>Tabela4[[#This Row],[VALOR]]-Tabela4[[#This Row],[PECAS]]</f>
        <v>77.699999999999989</v>
      </c>
      <c r="K576" s="150">
        <v>218</v>
      </c>
      <c r="L576" s="151">
        <v>0</v>
      </c>
      <c r="M576" s="151">
        <v>0</v>
      </c>
      <c r="N576" s="24"/>
      <c r="O576" s="151">
        <v>0</v>
      </c>
      <c r="P576" s="151">
        <v>140.30000000000001</v>
      </c>
      <c r="Q576" s="151">
        <v>0</v>
      </c>
      <c r="R576" s="151">
        <v>0</v>
      </c>
      <c r="S576" s="154">
        <v>0</v>
      </c>
      <c r="T576" s="151">
        <v>0</v>
      </c>
      <c r="U576" s="151">
        <v>0</v>
      </c>
      <c r="V576" s="15"/>
      <c r="W576" s="22">
        <v>0</v>
      </c>
      <c r="X576" s="149">
        <v>0</v>
      </c>
      <c r="Y576" s="15"/>
      <c r="Z576" s="151">
        <v>0</v>
      </c>
      <c r="AA576" s="149">
        <f>Tabela4[[#This Row],[VALOR]]-Tabela4[[#This Row],[PNEUS]]-Tabela4[[#This Row],[BATERIA]]</f>
        <v>218</v>
      </c>
      <c r="AB576" s="19" t="s">
        <v>27</v>
      </c>
      <c r="AC576" s="30">
        <v>0</v>
      </c>
      <c r="AD576" s="162">
        <v>0</v>
      </c>
      <c r="AE576" s="162">
        <v>0</v>
      </c>
      <c r="AF576" s="162">
        <v>0</v>
      </c>
      <c r="AG576" s="162">
        <v>0</v>
      </c>
      <c r="AH576" s="162">
        <v>0</v>
      </c>
      <c r="AI576" s="162">
        <v>0</v>
      </c>
      <c r="AJ576" s="162">
        <v>0</v>
      </c>
    </row>
    <row r="577" spans="1:36" x14ac:dyDescent="0.25">
      <c r="A577" t="s">
        <v>1038</v>
      </c>
      <c r="B577" t="s">
        <v>889</v>
      </c>
      <c r="C577" s="143">
        <v>45394</v>
      </c>
      <c r="D577" s="142">
        <v>45394</v>
      </c>
      <c r="E577">
        <f>Tabela4[[#This Row],[DATA FATURAMENTO]]-Tabela4[[#This Row],[DATA ORÇAMENTO]]</f>
        <v>0</v>
      </c>
      <c r="F577">
        <v>11203</v>
      </c>
      <c r="G577" s="15" t="s">
        <v>22</v>
      </c>
      <c r="H577" s="54"/>
      <c r="I577" s="151">
        <v>0</v>
      </c>
      <c r="J577" s="154">
        <f>Tabela4[[#This Row],[VALOR]]-Tabela4[[#This Row],[PECAS]]</f>
        <v>170</v>
      </c>
      <c r="K577" s="150">
        <v>170</v>
      </c>
      <c r="L577" s="151">
        <v>0</v>
      </c>
      <c r="M577" s="151">
        <v>0</v>
      </c>
      <c r="N577" s="24"/>
      <c r="O577" s="151">
        <v>0</v>
      </c>
      <c r="P577" s="151">
        <v>0</v>
      </c>
      <c r="Q577" s="151">
        <v>0</v>
      </c>
      <c r="R577" s="151">
        <v>0</v>
      </c>
      <c r="S577" s="154">
        <v>170</v>
      </c>
      <c r="T577" s="151">
        <v>0</v>
      </c>
      <c r="U577" s="151">
        <v>0</v>
      </c>
      <c r="V577" s="15"/>
      <c r="W577" s="22">
        <v>0</v>
      </c>
      <c r="X577" s="149">
        <v>0</v>
      </c>
      <c r="Y577" s="15"/>
      <c r="Z577" s="151">
        <v>0</v>
      </c>
      <c r="AA577" s="149">
        <f>Tabela4[[#This Row],[VALOR]]-Tabela4[[#This Row],[PNEUS]]-Tabela4[[#This Row],[BATERIA]]</f>
        <v>170</v>
      </c>
      <c r="AB577" s="19" t="s">
        <v>27</v>
      </c>
      <c r="AC577" s="30">
        <v>0</v>
      </c>
      <c r="AD577" s="162">
        <v>0</v>
      </c>
      <c r="AE577" s="162">
        <v>0</v>
      </c>
      <c r="AF577" s="162">
        <v>0</v>
      </c>
      <c r="AG577" s="162">
        <v>0</v>
      </c>
      <c r="AH577" s="162">
        <v>0</v>
      </c>
      <c r="AI577" s="162">
        <v>0</v>
      </c>
      <c r="AJ577" s="162">
        <v>0</v>
      </c>
    </row>
    <row r="578" spans="1:36" x14ac:dyDescent="0.25">
      <c r="A578" t="s">
        <v>339</v>
      </c>
      <c r="B578" t="s">
        <v>1039</v>
      </c>
      <c r="C578" s="143">
        <v>45394</v>
      </c>
      <c r="D578" s="142">
        <v>45394</v>
      </c>
      <c r="E578">
        <f>Tabela4[[#This Row],[DATA FATURAMENTO]]-Tabela4[[#This Row],[DATA ORÇAMENTO]]</f>
        <v>0</v>
      </c>
      <c r="F578">
        <v>11204</v>
      </c>
      <c r="G578" s="15" t="s">
        <v>22</v>
      </c>
      <c r="H578" s="54"/>
      <c r="I578" s="151">
        <v>1270</v>
      </c>
      <c r="J578" s="154">
        <f>Tabela4[[#This Row],[VALOR]]-Tabela4[[#This Row],[PECAS]]</f>
        <v>790</v>
      </c>
      <c r="K578" s="150">
        <v>2060</v>
      </c>
      <c r="L578" s="151">
        <v>0</v>
      </c>
      <c r="M578" s="151">
        <v>0</v>
      </c>
      <c r="N578" s="24"/>
      <c r="O578" s="151">
        <v>48</v>
      </c>
      <c r="P578" s="151">
        <v>0</v>
      </c>
      <c r="Q578" s="151">
        <v>0</v>
      </c>
      <c r="R578" s="151">
        <v>0</v>
      </c>
      <c r="S578" s="154">
        <v>0</v>
      </c>
      <c r="T578" s="151">
        <v>0</v>
      </c>
      <c r="U578" s="151">
        <v>0</v>
      </c>
      <c r="V578" s="15"/>
      <c r="W578" s="22">
        <v>0</v>
      </c>
      <c r="X578" s="149">
        <v>0</v>
      </c>
      <c r="Y578" s="15"/>
      <c r="Z578" s="151">
        <v>0</v>
      </c>
      <c r="AA578" s="149">
        <f>Tabela4[[#This Row],[VALOR]]-Tabela4[[#This Row],[PNEUS]]-Tabela4[[#This Row],[BATERIA]]</f>
        <v>2060</v>
      </c>
      <c r="AB578" s="19" t="s">
        <v>34</v>
      </c>
      <c r="AC578" s="30">
        <v>0</v>
      </c>
      <c r="AD578" s="162">
        <v>0</v>
      </c>
      <c r="AE578" s="162">
        <v>0</v>
      </c>
      <c r="AF578" s="162">
        <v>0</v>
      </c>
      <c r="AG578" s="162">
        <v>0</v>
      </c>
      <c r="AH578" s="162">
        <v>0</v>
      </c>
      <c r="AI578" s="162">
        <v>0</v>
      </c>
      <c r="AJ578" s="162">
        <v>0</v>
      </c>
    </row>
    <row r="579" spans="1:36" x14ac:dyDescent="0.25">
      <c r="A579" t="s">
        <v>237</v>
      </c>
      <c r="B579" t="s">
        <v>1040</v>
      </c>
      <c r="C579" s="143">
        <v>45394</v>
      </c>
      <c r="D579" s="142">
        <v>45394</v>
      </c>
      <c r="E579">
        <f>Tabela4[[#This Row],[DATA FATURAMENTO]]-Tabela4[[#This Row],[DATA ORÇAMENTO]]</f>
        <v>0</v>
      </c>
      <c r="F579">
        <v>11206</v>
      </c>
      <c r="G579" s="15" t="s">
        <v>22</v>
      </c>
      <c r="H579" s="54"/>
      <c r="I579" s="151">
        <v>0</v>
      </c>
      <c r="J579" s="154">
        <f>Tabela4[[#This Row],[VALOR]]-Tabela4[[#This Row],[PECAS]]</f>
        <v>180</v>
      </c>
      <c r="K579" s="150">
        <v>180</v>
      </c>
      <c r="L579" s="151">
        <v>0</v>
      </c>
      <c r="M579" s="151">
        <v>0</v>
      </c>
      <c r="N579" s="24"/>
      <c r="O579" s="151">
        <v>0</v>
      </c>
      <c r="P579" s="151">
        <v>0</v>
      </c>
      <c r="Q579" s="151">
        <v>0</v>
      </c>
      <c r="R579" s="151">
        <v>0</v>
      </c>
      <c r="S579" s="154">
        <v>0</v>
      </c>
      <c r="T579" s="151">
        <v>0</v>
      </c>
      <c r="U579" s="151">
        <v>0</v>
      </c>
      <c r="V579" s="15"/>
      <c r="W579" s="22">
        <v>0</v>
      </c>
      <c r="X579" s="149">
        <v>0</v>
      </c>
      <c r="Y579" s="15"/>
      <c r="Z579" s="151">
        <v>0</v>
      </c>
      <c r="AA579" s="149">
        <f>Tabela4[[#This Row],[VALOR]]-Tabela4[[#This Row],[PNEUS]]-Tabela4[[#This Row],[BATERIA]]</f>
        <v>180</v>
      </c>
      <c r="AB579" s="19" t="s">
        <v>27</v>
      </c>
      <c r="AC579" s="30">
        <v>0</v>
      </c>
      <c r="AD579" s="162">
        <v>0</v>
      </c>
      <c r="AE579" s="162">
        <v>0</v>
      </c>
      <c r="AF579" s="162">
        <v>0</v>
      </c>
      <c r="AG579" s="162">
        <v>0</v>
      </c>
      <c r="AH579" s="162">
        <v>0</v>
      </c>
      <c r="AI579" s="162">
        <v>0</v>
      </c>
      <c r="AJ579" s="162">
        <v>0</v>
      </c>
    </row>
    <row r="580" spans="1:36" x14ac:dyDescent="0.25">
      <c r="A580" t="s">
        <v>291</v>
      </c>
      <c r="B580" t="s">
        <v>971</v>
      </c>
      <c r="C580" s="143">
        <v>45394</v>
      </c>
      <c r="D580" s="142">
        <v>45394</v>
      </c>
      <c r="E580">
        <f>Tabela4[[#This Row],[DATA FATURAMENTO]]-Tabela4[[#This Row],[DATA ORÇAMENTO]]</f>
        <v>0</v>
      </c>
      <c r="F580">
        <v>11213</v>
      </c>
      <c r="G580" s="15" t="s">
        <v>22</v>
      </c>
      <c r="H580" s="54"/>
      <c r="I580" s="151">
        <v>741.8</v>
      </c>
      <c r="J580" s="154">
        <f>Tabela4[[#This Row],[VALOR]]-Tabela4[[#This Row],[PECAS]]</f>
        <v>750</v>
      </c>
      <c r="K580" s="150">
        <v>1491.8</v>
      </c>
      <c r="L580" s="151">
        <v>0</v>
      </c>
      <c r="M580" s="151">
        <v>0</v>
      </c>
      <c r="N580" s="24"/>
      <c r="O580" s="151">
        <v>240</v>
      </c>
      <c r="P580" s="151">
        <v>0</v>
      </c>
      <c r="Q580" s="151">
        <v>110</v>
      </c>
      <c r="R580" s="151">
        <v>0</v>
      </c>
      <c r="S580" s="154">
        <v>0</v>
      </c>
      <c r="T580" s="151">
        <v>0</v>
      </c>
      <c r="U580" s="151">
        <v>0</v>
      </c>
      <c r="V580" s="15"/>
      <c r="W580" s="22">
        <v>0</v>
      </c>
      <c r="X580" s="149">
        <v>0</v>
      </c>
      <c r="Y580" s="15"/>
      <c r="Z580" s="151">
        <v>0</v>
      </c>
      <c r="AA580" s="149">
        <f>Tabela4[[#This Row],[VALOR]]-Tabela4[[#This Row],[PNEUS]]-Tabela4[[#This Row],[BATERIA]]</f>
        <v>1491.8</v>
      </c>
      <c r="AB580" s="19" t="s">
        <v>24</v>
      </c>
      <c r="AC580" s="30">
        <v>0</v>
      </c>
      <c r="AD580" s="162">
        <v>0</v>
      </c>
      <c r="AE580" s="162">
        <v>0</v>
      </c>
      <c r="AF580" s="162">
        <v>0</v>
      </c>
      <c r="AG580" s="162">
        <v>0</v>
      </c>
      <c r="AH580" s="162">
        <v>0</v>
      </c>
      <c r="AI580" s="162">
        <v>0</v>
      </c>
      <c r="AJ580" s="162">
        <v>0</v>
      </c>
    </row>
    <row r="581" spans="1:36" x14ac:dyDescent="0.25">
      <c r="A581" t="s">
        <v>186</v>
      </c>
      <c r="B581" t="s">
        <v>1041</v>
      </c>
      <c r="C581" s="143">
        <v>45365</v>
      </c>
      <c r="D581" s="142">
        <v>45395</v>
      </c>
      <c r="E581">
        <f>Tabela4[[#This Row],[DATA FATURAMENTO]]-Tabela4[[#This Row],[DATA ORÇAMENTO]]</f>
        <v>30</v>
      </c>
      <c r="F581">
        <v>10914</v>
      </c>
      <c r="G581" s="25" t="s">
        <v>37</v>
      </c>
      <c r="H581" s="25"/>
      <c r="I581" s="155">
        <v>2237.8000000000002</v>
      </c>
      <c r="J581" s="154">
        <f>Tabela4[[#This Row],[VALOR]]-Tabela4[[#This Row],[PECAS]]</f>
        <v>1128.0099999999998</v>
      </c>
      <c r="K581" s="150">
        <v>3365.81</v>
      </c>
      <c r="L581" s="155">
        <v>100</v>
      </c>
      <c r="M581" s="155">
        <f>22.95+40</f>
        <v>62.95</v>
      </c>
      <c r="N581" s="67"/>
      <c r="O581" s="155">
        <v>0</v>
      </c>
      <c r="P581" s="155">
        <v>0</v>
      </c>
      <c r="Q581" s="155">
        <v>0</v>
      </c>
      <c r="R581" s="155">
        <v>0</v>
      </c>
      <c r="S581" s="154">
        <v>145.41999999999999</v>
      </c>
      <c r="T581" s="155">
        <v>0</v>
      </c>
      <c r="U581" s="155">
        <v>0</v>
      </c>
      <c r="V581" s="25"/>
      <c r="W581" s="28">
        <v>4</v>
      </c>
      <c r="X581" s="149">
        <v>0</v>
      </c>
      <c r="Y581" s="25" t="s">
        <v>753</v>
      </c>
      <c r="Z581" s="155">
        <f>45.42+100</f>
        <v>145.42000000000002</v>
      </c>
      <c r="AA581" s="149">
        <f>Tabela4[[#This Row],[VALOR]]-Tabela4[[#This Row],[PNEUS]]-Tabela4[[#This Row],[BATERIA]]</f>
        <v>3365.81</v>
      </c>
      <c r="AB581" s="27" t="s">
        <v>34</v>
      </c>
      <c r="AC581" s="30">
        <v>0</v>
      </c>
      <c r="AD581" s="162">
        <v>0</v>
      </c>
      <c r="AE581" s="162">
        <v>0</v>
      </c>
      <c r="AF581" s="162">
        <v>0</v>
      </c>
      <c r="AG581" s="162">
        <v>0</v>
      </c>
      <c r="AH581" s="162">
        <v>0</v>
      </c>
      <c r="AI581" s="162">
        <v>0</v>
      </c>
      <c r="AJ581" s="162">
        <v>0</v>
      </c>
    </row>
    <row r="582" spans="1:36" x14ac:dyDescent="0.25">
      <c r="A582" t="s">
        <v>189</v>
      </c>
      <c r="B582" t="s">
        <v>854</v>
      </c>
      <c r="C582" s="143">
        <v>45386</v>
      </c>
      <c r="D582" s="142">
        <v>45395</v>
      </c>
      <c r="E582">
        <f>Tabela4[[#This Row],[DATA FATURAMENTO]]-Tabela4[[#This Row],[DATA ORÇAMENTO]]</f>
        <v>9</v>
      </c>
      <c r="F582">
        <v>11132</v>
      </c>
      <c r="G582" s="15"/>
      <c r="H582" s="25"/>
      <c r="I582" s="151">
        <v>134.30000000000001</v>
      </c>
      <c r="J582" s="154">
        <f>Tabela4[[#This Row],[VALOR]]-Tabela4[[#This Row],[PECAS]]</f>
        <v>399.99999999999994</v>
      </c>
      <c r="K582" s="150">
        <v>534.29999999999995</v>
      </c>
      <c r="L582" s="151">
        <v>0</v>
      </c>
      <c r="M582" s="151">
        <v>0</v>
      </c>
      <c r="N582" s="24"/>
      <c r="O582" s="151">
        <v>0</v>
      </c>
      <c r="P582" s="151">
        <v>0</v>
      </c>
      <c r="Q582" s="151">
        <v>0</v>
      </c>
      <c r="R582" s="151">
        <v>0</v>
      </c>
      <c r="S582" s="154">
        <v>0</v>
      </c>
      <c r="T582" s="151">
        <v>0</v>
      </c>
      <c r="U582" s="151">
        <v>0</v>
      </c>
      <c r="V582" s="15"/>
      <c r="W582" s="22">
        <v>0</v>
      </c>
      <c r="X582" s="149">
        <v>0</v>
      </c>
      <c r="Y582" s="15"/>
      <c r="Z582" s="151">
        <v>0</v>
      </c>
      <c r="AA582" s="149">
        <f>Tabela4[[#This Row],[VALOR]]-Tabela4[[#This Row],[PNEUS]]-Tabela4[[#This Row],[BATERIA]]</f>
        <v>534.29999999999995</v>
      </c>
      <c r="AB582" s="19" t="s">
        <v>38</v>
      </c>
      <c r="AC582" s="30">
        <v>0</v>
      </c>
      <c r="AD582" s="162">
        <v>0</v>
      </c>
      <c r="AE582" s="162">
        <v>0</v>
      </c>
      <c r="AF582" s="162">
        <v>0</v>
      </c>
      <c r="AG582" s="162">
        <v>0</v>
      </c>
      <c r="AH582" s="162">
        <v>0</v>
      </c>
      <c r="AI582" s="162">
        <v>0</v>
      </c>
      <c r="AJ582" s="162">
        <v>0</v>
      </c>
    </row>
    <row r="583" spans="1:36" x14ac:dyDescent="0.25">
      <c r="A583" t="s">
        <v>347</v>
      </c>
      <c r="B583" t="s">
        <v>1042</v>
      </c>
      <c r="C583" s="143">
        <v>45394</v>
      </c>
      <c r="D583" s="142">
        <v>45395</v>
      </c>
      <c r="E583">
        <f>Tabela4[[#This Row],[DATA FATURAMENTO]]-Tabela4[[#This Row],[DATA ORÇAMENTO]]</f>
        <v>1</v>
      </c>
      <c r="F583">
        <v>11202</v>
      </c>
      <c r="G583" s="15" t="s">
        <v>39</v>
      </c>
      <c r="H583" s="54" t="s">
        <v>44</v>
      </c>
      <c r="I583" s="151">
        <v>100</v>
      </c>
      <c r="J583" s="154">
        <f>Tabela4[[#This Row],[VALOR]]-Tabela4[[#This Row],[PECAS]]</f>
        <v>240.01999999999998</v>
      </c>
      <c r="K583" s="150">
        <v>340.02</v>
      </c>
      <c r="L583" s="151">
        <v>0</v>
      </c>
      <c r="M583" s="151">
        <v>0</v>
      </c>
      <c r="N583" s="24"/>
      <c r="O583" s="151">
        <v>0</v>
      </c>
      <c r="P583" s="151">
        <v>0</v>
      </c>
      <c r="Q583" s="151">
        <v>0</v>
      </c>
      <c r="R583" s="151">
        <v>0</v>
      </c>
      <c r="S583" s="154">
        <v>0</v>
      </c>
      <c r="T583" s="151">
        <v>0</v>
      </c>
      <c r="U583" s="151">
        <v>0</v>
      </c>
      <c r="V583" s="15"/>
      <c r="W583" s="22">
        <v>0</v>
      </c>
      <c r="X583" s="149">
        <v>0</v>
      </c>
      <c r="Y583" s="15"/>
      <c r="Z583" s="151">
        <v>0</v>
      </c>
      <c r="AA583" s="149">
        <f>Tabela4[[#This Row],[VALOR]]-Tabela4[[#This Row],[PNEUS]]-Tabela4[[#This Row],[BATERIA]]</f>
        <v>340.02</v>
      </c>
      <c r="AB583" s="19" t="s">
        <v>32</v>
      </c>
      <c r="AC583" s="30">
        <v>0</v>
      </c>
      <c r="AD583" s="162">
        <v>0</v>
      </c>
      <c r="AE583" s="162">
        <v>0</v>
      </c>
      <c r="AF583" s="162">
        <v>0</v>
      </c>
      <c r="AG583" s="162">
        <v>0</v>
      </c>
      <c r="AH583" s="162">
        <v>0</v>
      </c>
      <c r="AI583" s="162">
        <v>0</v>
      </c>
      <c r="AJ583" s="162">
        <v>0</v>
      </c>
    </row>
    <row r="584" spans="1:36" x14ac:dyDescent="0.25">
      <c r="A584" t="s">
        <v>350</v>
      </c>
      <c r="B584" t="s">
        <v>1043</v>
      </c>
      <c r="C584" s="143">
        <v>45395</v>
      </c>
      <c r="D584" s="142">
        <v>45395</v>
      </c>
      <c r="E584">
        <f>Tabela4[[#This Row],[DATA FATURAMENTO]]-Tabela4[[#This Row],[DATA ORÇAMENTO]]</f>
        <v>0</v>
      </c>
      <c r="F584">
        <v>11218</v>
      </c>
      <c r="G584" s="15" t="s">
        <v>22</v>
      </c>
      <c r="H584" s="54"/>
      <c r="I584" s="151">
        <v>514.99</v>
      </c>
      <c r="J584" s="154">
        <f>Tabela4[[#This Row],[VALOR]]-Tabela4[[#This Row],[PECAS]]</f>
        <v>9.9999999999909051E-3</v>
      </c>
      <c r="K584" s="150">
        <v>515</v>
      </c>
      <c r="L584" s="151">
        <v>0</v>
      </c>
      <c r="M584" s="151">
        <v>35</v>
      </c>
      <c r="N584" s="24"/>
      <c r="O584" s="151">
        <v>0</v>
      </c>
      <c r="P584" s="151">
        <v>0</v>
      </c>
      <c r="Q584" s="151">
        <v>0</v>
      </c>
      <c r="R584" s="151">
        <v>0</v>
      </c>
      <c r="S584" s="154">
        <v>79.989999999999995</v>
      </c>
      <c r="T584" s="151">
        <v>0</v>
      </c>
      <c r="U584" s="151">
        <v>0</v>
      </c>
      <c r="V584" s="15"/>
      <c r="W584" s="22">
        <v>4</v>
      </c>
      <c r="X584" s="149">
        <v>0</v>
      </c>
      <c r="Y584" s="15" t="s">
        <v>638</v>
      </c>
      <c r="Z584" s="151">
        <v>0</v>
      </c>
      <c r="AA584" s="149">
        <f>Tabela4[[#This Row],[VALOR]]-Tabela4[[#This Row],[PNEUS]]-Tabela4[[#This Row],[BATERIA]]</f>
        <v>515</v>
      </c>
      <c r="AB584" s="19" t="s">
        <v>24</v>
      </c>
      <c r="AC584" s="30">
        <v>0</v>
      </c>
      <c r="AD584" s="162">
        <v>0</v>
      </c>
      <c r="AE584" s="162">
        <v>0</v>
      </c>
      <c r="AF584" s="162">
        <v>0</v>
      </c>
      <c r="AG584" s="162">
        <v>0</v>
      </c>
      <c r="AH584" s="162">
        <v>0</v>
      </c>
      <c r="AI584" s="162">
        <v>0</v>
      </c>
      <c r="AJ584" s="162">
        <v>0</v>
      </c>
    </row>
    <row r="585" spans="1:36" x14ac:dyDescent="0.25">
      <c r="A585" t="s">
        <v>1044</v>
      </c>
      <c r="B585" t="s">
        <v>1045</v>
      </c>
      <c r="C585" s="143">
        <v>45377</v>
      </c>
      <c r="D585" s="142">
        <v>45397</v>
      </c>
      <c r="E585">
        <f>Tabela4[[#This Row],[DATA FATURAMENTO]]-Tabela4[[#This Row],[DATA ORÇAMENTO]]</f>
        <v>20</v>
      </c>
      <c r="F585">
        <v>11045</v>
      </c>
      <c r="G585" s="25" t="s">
        <v>37</v>
      </c>
      <c r="H585" s="25"/>
      <c r="I585" s="155">
        <v>25</v>
      </c>
      <c r="J585" s="154">
        <f>Tabela4[[#This Row],[VALOR]]-Tabela4[[#This Row],[PECAS]]</f>
        <v>13.600000000000001</v>
      </c>
      <c r="K585" s="150">
        <v>38.6</v>
      </c>
      <c r="L585" s="155">
        <v>0</v>
      </c>
      <c r="M585" s="155">
        <v>0</v>
      </c>
      <c r="N585" s="67"/>
      <c r="O585" s="155">
        <v>0</v>
      </c>
      <c r="P585" s="155">
        <v>0</v>
      </c>
      <c r="Q585" s="155">
        <v>0</v>
      </c>
      <c r="R585" s="155">
        <v>0</v>
      </c>
      <c r="S585" s="154">
        <v>0</v>
      </c>
      <c r="T585" s="155">
        <v>0</v>
      </c>
      <c r="U585" s="155">
        <v>0</v>
      </c>
      <c r="V585" s="25"/>
      <c r="W585" s="22">
        <v>0</v>
      </c>
      <c r="X585" s="149">
        <v>0</v>
      </c>
      <c r="Y585" s="25"/>
      <c r="Z585" s="155">
        <v>0</v>
      </c>
      <c r="AA585" s="149">
        <f>Tabela4[[#This Row],[VALOR]]-Tabela4[[#This Row],[PNEUS]]-Tabela4[[#This Row],[BATERIA]]</f>
        <v>38.6</v>
      </c>
      <c r="AB585" s="27" t="s">
        <v>38</v>
      </c>
      <c r="AC585" s="30">
        <v>0</v>
      </c>
      <c r="AD585" s="162">
        <v>0</v>
      </c>
      <c r="AE585" s="162">
        <v>0</v>
      </c>
      <c r="AF585" s="162">
        <v>0</v>
      </c>
      <c r="AG585" s="162">
        <v>0</v>
      </c>
      <c r="AH585" s="162">
        <v>0</v>
      </c>
      <c r="AI585" s="162">
        <v>0</v>
      </c>
      <c r="AJ585" s="162">
        <v>0</v>
      </c>
    </row>
    <row r="586" spans="1:36" x14ac:dyDescent="0.25">
      <c r="A586" t="s">
        <v>235</v>
      </c>
      <c r="B586" t="s">
        <v>907</v>
      </c>
      <c r="C586" s="143">
        <v>45387</v>
      </c>
      <c r="D586" s="142">
        <v>45397</v>
      </c>
      <c r="E586">
        <f>Tabela4[[#This Row],[DATA FATURAMENTO]]-Tabela4[[#This Row],[DATA ORÇAMENTO]]</f>
        <v>10</v>
      </c>
      <c r="F586">
        <v>11138</v>
      </c>
      <c r="G586" s="15" t="s">
        <v>35</v>
      </c>
      <c r="H586" s="25"/>
      <c r="I586" s="151">
        <v>343.1</v>
      </c>
      <c r="J586" s="154">
        <f>Tabela4[[#This Row],[VALOR]]-Tabela4[[#This Row],[PECAS]]</f>
        <v>236.89999999999998</v>
      </c>
      <c r="K586" s="150">
        <v>580</v>
      </c>
      <c r="L586" s="151">
        <v>0</v>
      </c>
      <c r="M586" s="151">
        <v>0</v>
      </c>
      <c r="N586" s="24"/>
      <c r="O586" s="151">
        <v>0</v>
      </c>
      <c r="P586" s="151">
        <v>0</v>
      </c>
      <c r="Q586" s="151">
        <v>0</v>
      </c>
      <c r="R586" s="151">
        <v>0</v>
      </c>
      <c r="S586" s="154">
        <v>0</v>
      </c>
      <c r="T586" s="151">
        <v>0</v>
      </c>
      <c r="U586" s="151">
        <v>0</v>
      </c>
      <c r="V586" s="15"/>
      <c r="W586" s="22">
        <v>0</v>
      </c>
      <c r="X586" s="149">
        <v>0</v>
      </c>
      <c r="Y586" s="15"/>
      <c r="Z586" s="151">
        <v>0</v>
      </c>
      <c r="AA586" s="149">
        <f>Tabela4[[#This Row],[VALOR]]-Tabela4[[#This Row],[PNEUS]]-Tabela4[[#This Row],[BATERIA]]</f>
        <v>580</v>
      </c>
      <c r="AB586" s="19" t="s">
        <v>30</v>
      </c>
      <c r="AC586" s="30">
        <v>0</v>
      </c>
      <c r="AD586" s="162">
        <v>0</v>
      </c>
      <c r="AE586" s="162">
        <v>0</v>
      </c>
      <c r="AF586" s="162">
        <v>0</v>
      </c>
      <c r="AG586" s="162">
        <v>0</v>
      </c>
      <c r="AH586" s="162">
        <v>0</v>
      </c>
      <c r="AI586" s="162">
        <v>0</v>
      </c>
      <c r="AJ586" s="162">
        <v>0</v>
      </c>
    </row>
    <row r="587" spans="1:36" x14ac:dyDescent="0.25">
      <c r="A587" t="s">
        <v>356</v>
      </c>
      <c r="B587" t="s">
        <v>1046</v>
      </c>
      <c r="C587" s="143">
        <v>45397</v>
      </c>
      <c r="D587" s="142">
        <v>45397</v>
      </c>
      <c r="E587">
        <f>Tabela4[[#This Row],[DATA FATURAMENTO]]-Tabela4[[#This Row],[DATA ORÇAMENTO]]</f>
        <v>0</v>
      </c>
      <c r="F587">
        <v>11227</v>
      </c>
      <c r="G587" s="15" t="s">
        <v>35</v>
      </c>
      <c r="H587" s="54"/>
      <c r="I587" s="151">
        <v>1107.2</v>
      </c>
      <c r="J587" s="154">
        <f>Tabela4[[#This Row],[VALOR]]-Tabela4[[#This Row],[PECAS]]</f>
        <v>289.79999999999995</v>
      </c>
      <c r="K587" s="150">
        <v>1397</v>
      </c>
      <c r="L587" s="151">
        <v>0</v>
      </c>
      <c r="M587" s="151">
        <v>0</v>
      </c>
      <c r="N587" s="24"/>
      <c r="O587" s="151">
        <v>0</v>
      </c>
      <c r="P587" s="151">
        <v>0</v>
      </c>
      <c r="Q587" s="151">
        <v>0</v>
      </c>
      <c r="R587" s="151">
        <v>0</v>
      </c>
      <c r="S587" s="154">
        <v>0</v>
      </c>
      <c r="T587" s="151">
        <v>0</v>
      </c>
      <c r="U587" s="151">
        <v>0</v>
      </c>
      <c r="V587" s="15"/>
      <c r="W587" s="22">
        <v>0</v>
      </c>
      <c r="X587" s="149">
        <v>0</v>
      </c>
      <c r="Y587" s="15"/>
      <c r="Z587" s="151">
        <v>0</v>
      </c>
      <c r="AA587" s="149">
        <f>Tabela4[[#This Row],[VALOR]]-Tabela4[[#This Row],[PNEUS]]-Tabela4[[#This Row],[BATERIA]]</f>
        <v>1397</v>
      </c>
      <c r="AB587" s="19" t="s">
        <v>32</v>
      </c>
      <c r="AC587" s="30">
        <v>0</v>
      </c>
      <c r="AD587" s="162">
        <v>0</v>
      </c>
      <c r="AE587" s="162">
        <v>0</v>
      </c>
      <c r="AF587" s="162">
        <v>0</v>
      </c>
      <c r="AG587" s="162">
        <v>0</v>
      </c>
      <c r="AH587" s="162">
        <v>0</v>
      </c>
      <c r="AI587" s="162">
        <v>0</v>
      </c>
      <c r="AJ587" s="162">
        <v>0</v>
      </c>
    </row>
    <row r="588" spans="1:36" x14ac:dyDescent="0.25">
      <c r="A588" t="s">
        <v>355</v>
      </c>
      <c r="B588" t="s">
        <v>914</v>
      </c>
      <c r="C588" s="143">
        <v>45397</v>
      </c>
      <c r="D588" s="142">
        <v>45397</v>
      </c>
      <c r="E588">
        <f>Tabela4[[#This Row],[DATA FATURAMENTO]]-Tabela4[[#This Row],[DATA ORÇAMENTO]]</f>
        <v>0</v>
      </c>
      <c r="F588">
        <v>11229</v>
      </c>
      <c r="G588" s="15" t="s">
        <v>35</v>
      </c>
      <c r="H588" s="54"/>
      <c r="I588" s="151">
        <v>184.8</v>
      </c>
      <c r="J588" s="154">
        <f>Tabela4[[#This Row],[VALOR]]-Tabela4[[#This Row],[PECAS]]</f>
        <v>190</v>
      </c>
      <c r="K588" s="150">
        <v>374.8</v>
      </c>
      <c r="L588" s="151">
        <v>0</v>
      </c>
      <c r="M588" s="151">
        <v>0</v>
      </c>
      <c r="N588" s="24"/>
      <c r="O588" s="151">
        <v>47</v>
      </c>
      <c r="P588" s="151">
        <v>0</v>
      </c>
      <c r="Q588" s="151">
        <v>0</v>
      </c>
      <c r="R588" s="151">
        <v>0</v>
      </c>
      <c r="S588" s="154">
        <v>0</v>
      </c>
      <c r="T588" s="151">
        <v>0</v>
      </c>
      <c r="U588" s="151">
        <v>0</v>
      </c>
      <c r="V588" s="15"/>
      <c r="W588" s="22">
        <v>0</v>
      </c>
      <c r="X588" s="149">
        <v>0</v>
      </c>
      <c r="Y588" s="15"/>
      <c r="Z588" s="151">
        <v>0</v>
      </c>
      <c r="AA588" s="149">
        <f>Tabela4[[#This Row],[VALOR]]-Tabela4[[#This Row],[PNEUS]]-Tabela4[[#This Row],[BATERIA]]</f>
        <v>374.8</v>
      </c>
      <c r="AB588" s="19" t="s">
        <v>34</v>
      </c>
      <c r="AC588" s="30">
        <v>0</v>
      </c>
      <c r="AD588" s="162">
        <v>0</v>
      </c>
      <c r="AE588" s="162">
        <v>0</v>
      </c>
      <c r="AF588" s="162">
        <v>0</v>
      </c>
      <c r="AG588" s="162">
        <v>0</v>
      </c>
      <c r="AH588" s="162">
        <v>0</v>
      </c>
      <c r="AI588" s="162">
        <v>0</v>
      </c>
      <c r="AJ588" s="162">
        <v>0</v>
      </c>
    </row>
    <row r="589" spans="1:36" x14ac:dyDescent="0.25">
      <c r="A589" t="s">
        <v>357</v>
      </c>
      <c r="B589" t="s">
        <v>1047</v>
      </c>
      <c r="C589" s="143">
        <v>45397</v>
      </c>
      <c r="D589" s="142">
        <v>45397</v>
      </c>
      <c r="E589">
        <f>Tabela4[[#This Row],[DATA FATURAMENTO]]-Tabela4[[#This Row],[DATA ORÇAMENTO]]</f>
        <v>0</v>
      </c>
      <c r="F589">
        <v>11230</v>
      </c>
      <c r="G589" s="15" t="s">
        <v>22</v>
      </c>
      <c r="H589" s="54"/>
      <c r="I589" s="151">
        <v>171.2</v>
      </c>
      <c r="J589" s="154">
        <f>Tabela4[[#This Row],[VALOR]]-Tabela4[[#This Row],[PECAS]]</f>
        <v>290.01</v>
      </c>
      <c r="K589" s="150">
        <v>461.21</v>
      </c>
      <c r="L589" s="151">
        <v>0</v>
      </c>
      <c r="M589" s="151">
        <v>0</v>
      </c>
      <c r="N589" s="24"/>
      <c r="O589" s="151">
        <v>0</v>
      </c>
      <c r="P589" s="151">
        <v>0</v>
      </c>
      <c r="Q589" s="151">
        <v>0</v>
      </c>
      <c r="R589" s="151">
        <v>0</v>
      </c>
      <c r="S589" s="154">
        <v>0</v>
      </c>
      <c r="T589" s="151">
        <v>0</v>
      </c>
      <c r="U589" s="151">
        <v>0</v>
      </c>
      <c r="V589" s="15"/>
      <c r="W589" s="22">
        <v>0</v>
      </c>
      <c r="X589" s="149">
        <v>0</v>
      </c>
      <c r="Y589" s="15"/>
      <c r="Z589" s="151">
        <v>0</v>
      </c>
      <c r="AA589" s="149">
        <f>Tabela4[[#This Row],[VALOR]]-Tabela4[[#This Row],[PNEUS]]-Tabela4[[#This Row],[BATERIA]]</f>
        <v>461.21</v>
      </c>
      <c r="AB589" s="19" t="s">
        <v>34</v>
      </c>
      <c r="AC589" s="30">
        <v>0</v>
      </c>
      <c r="AD589" s="162">
        <v>0</v>
      </c>
      <c r="AE589" s="162">
        <v>0</v>
      </c>
      <c r="AF589" s="162">
        <v>0</v>
      </c>
      <c r="AG589" s="162">
        <v>0</v>
      </c>
      <c r="AH589" s="162">
        <v>0</v>
      </c>
      <c r="AI589" s="162">
        <v>0</v>
      </c>
      <c r="AJ589" s="162">
        <v>0</v>
      </c>
    </row>
    <row r="590" spans="1:36" x14ac:dyDescent="0.25">
      <c r="A590" t="s">
        <v>358</v>
      </c>
      <c r="B590" t="s">
        <v>1048</v>
      </c>
      <c r="C590" s="143">
        <v>45397</v>
      </c>
      <c r="D590" s="142">
        <v>45397</v>
      </c>
      <c r="E590">
        <f>Tabela4[[#This Row],[DATA FATURAMENTO]]-Tabela4[[#This Row],[DATA ORÇAMENTO]]</f>
        <v>0</v>
      </c>
      <c r="F590">
        <v>11231</v>
      </c>
      <c r="G590" s="15" t="s">
        <v>22</v>
      </c>
      <c r="H590" s="54"/>
      <c r="I590" s="151">
        <v>283.2</v>
      </c>
      <c r="J590" s="154">
        <f>Tabela4[[#This Row],[VALOR]]-Tabela4[[#This Row],[PECAS]]</f>
        <v>253.44</v>
      </c>
      <c r="K590" s="150">
        <v>536.64</v>
      </c>
      <c r="L590" s="151">
        <v>0</v>
      </c>
      <c r="M590" s="151">
        <v>0</v>
      </c>
      <c r="N590" s="24"/>
      <c r="O590" s="151">
        <v>0</v>
      </c>
      <c r="P590" s="151">
        <v>0</v>
      </c>
      <c r="Q590" s="151">
        <v>0</v>
      </c>
      <c r="R590" s="151">
        <v>0</v>
      </c>
      <c r="S590" s="154">
        <v>0</v>
      </c>
      <c r="T590" s="151">
        <v>0</v>
      </c>
      <c r="U590" s="151">
        <v>0</v>
      </c>
      <c r="V590" s="15"/>
      <c r="W590" s="22">
        <v>0</v>
      </c>
      <c r="X590" s="149">
        <v>0</v>
      </c>
      <c r="Y590" s="15"/>
      <c r="Z590" s="151">
        <v>0</v>
      </c>
      <c r="AA590" s="149">
        <f>Tabela4[[#This Row],[VALOR]]-Tabela4[[#This Row],[PNEUS]]-Tabela4[[#This Row],[BATERIA]]</f>
        <v>536.64</v>
      </c>
      <c r="AB590" s="19" t="s">
        <v>32</v>
      </c>
      <c r="AC590" s="30">
        <v>0</v>
      </c>
      <c r="AD590" s="162">
        <v>0</v>
      </c>
      <c r="AE590" s="162">
        <v>0</v>
      </c>
      <c r="AF590" s="162">
        <v>0</v>
      </c>
      <c r="AG590" s="162">
        <v>0</v>
      </c>
      <c r="AH590" s="162">
        <v>0</v>
      </c>
      <c r="AI590" s="162">
        <v>0</v>
      </c>
      <c r="AJ590" s="162">
        <v>0</v>
      </c>
    </row>
    <row r="591" spans="1:36" x14ac:dyDescent="0.25">
      <c r="A591" t="s">
        <v>341</v>
      </c>
      <c r="B591" t="s">
        <v>1049</v>
      </c>
      <c r="C591" s="143">
        <v>45393</v>
      </c>
      <c r="D591" s="142">
        <v>45398</v>
      </c>
      <c r="E591">
        <f>Tabela4[[#This Row],[DATA FATURAMENTO]]-Tabela4[[#This Row],[DATA ORÇAMENTO]]</f>
        <v>5</v>
      </c>
      <c r="F591">
        <v>11191</v>
      </c>
      <c r="G591" s="25" t="s">
        <v>35</v>
      </c>
      <c r="H591" s="25"/>
      <c r="I591" s="155">
        <v>2690.6</v>
      </c>
      <c r="J591" s="154">
        <f>Tabela4[[#This Row],[VALOR]]-Tabela4[[#This Row],[PECAS]]</f>
        <v>1059.4000000000001</v>
      </c>
      <c r="K591" s="150">
        <v>3750</v>
      </c>
      <c r="L591" s="155">
        <v>0</v>
      </c>
      <c r="M591" s="155">
        <v>0</v>
      </c>
      <c r="N591" s="67"/>
      <c r="O591" s="155">
        <v>180</v>
      </c>
      <c r="P591" s="155">
        <v>0</v>
      </c>
      <c r="Q591" s="155">
        <v>0</v>
      </c>
      <c r="R591" s="155">
        <v>0</v>
      </c>
      <c r="S591" s="154">
        <v>0</v>
      </c>
      <c r="T591" s="155">
        <v>0</v>
      </c>
      <c r="U591" s="155">
        <v>0</v>
      </c>
      <c r="V591" s="25"/>
      <c r="W591" s="28">
        <v>4</v>
      </c>
      <c r="X591" s="149">
        <v>0</v>
      </c>
      <c r="Y591" s="25" t="s">
        <v>654</v>
      </c>
      <c r="Z591" s="155">
        <v>0</v>
      </c>
      <c r="AA591" s="149">
        <f>Tabela4[[#This Row],[VALOR]]-Tabela4[[#This Row],[PNEUS]]-Tabela4[[#This Row],[BATERIA]]</f>
        <v>3750</v>
      </c>
      <c r="AB591" s="27" t="s">
        <v>24</v>
      </c>
      <c r="AC591" s="30">
        <v>0</v>
      </c>
      <c r="AD591" s="162">
        <v>0</v>
      </c>
      <c r="AE591" s="162">
        <v>0</v>
      </c>
      <c r="AF591" s="162">
        <v>0</v>
      </c>
      <c r="AG591" s="162">
        <v>0</v>
      </c>
      <c r="AH591" s="162">
        <v>0</v>
      </c>
      <c r="AI591" s="162">
        <v>0</v>
      </c>
      <c r="AJ591" s="162">
        <v>0</v>
      </c>
    </row>
    <row r="592" spans="1:36" x14ac:dyDescent="0.25">
      <c r="A592" t="s">
        <v>361</v>
      </c>
      <c r="B592" t="s">
        <v>1050</v>
      </c>
      <c r="C592" s="143">
        <v>45398</v>
      </c>
      <c r="D592" s="141">
        <v>45398</v>
      </c>
      <c r="E592">
        <f>Tabela4[[#This Row],[DATA FATURAMENTO]]-Tabela4[[#This Row],[DATA ORÇAMENTO]]</f>
        <v>0</v>
      </c>
      <c r="F592">
        <v>11241</v>
      </c>
      <c r="G592" s="15" t="s">
        <v>35</v>
      </c>
      <c r="H592" s="25"/>
      <c r="I592" s="151">
        <v>105</v>
      </c>
      <c r="J592" s="154">
        <f>Tabela4[[#This Row],[VALOR]]-Tabela4[[#This Row],[PECAS]]</f>
        <v>170.54000000000002</v>
      </c>
      <c r="K592" s="150">
        <v>275.54000000000002</v>
      </c>
      <c r="L592" s="151">
        <v>0</v>
      </c>
      <c r="M592" s="151">
        <v>0</v>
      </c>
      <c r="N592" s="24"/>
      <c r="O592" s="151">
        <v>0</v>
      </c>
      <c r="P592" s="151">
        <v>0</v>
      </c>
      <c r="Q592" s="151">
        <v>0</v>
      </c>
      <c r="R592" s="151">
        <v>0</v>
      </c>
      <c r="S592" s="154">
        <v>0</v>
      </c>
      <c r="T592" s="151">
        <v>0</v>
      </c>
      <c r="U592" s="151">
        <v>0</v>
      </c>
      <c r="V592" s="15"/>
      <c r="W592" s="22">
        <v>0</v>
      </c>
      <c r="X592" s="149">
        <v>0</v>
      </c>
      <c r="Y592" s="15"/>
      <c r="Z592" s="151">
        <v>0</v>
      </c>
      <c r="AA592" s="149">
        <f>Tabela4[[#This Row],[VALOR]]-Tabela4[[#This Row],[PNEUS]]-Tabela4[[#This Row],[BATERIA]]</f>
        <v>275.54000000000002</v>
      </c>
      <c r="AB592" s="19" t="s">
        <v>24</v>
      </c>
      <c r="AC592" s="30">
        <v>0</v>
      </c>
      <c r="AD592" s="162">
        <v>0</v>
      </c>
      <c r="AE592" s="162">
        <v>0</v>
      </c>
      <c r="AF592" s="162">
        <v>0</v>
      </c>
      <c r="AG592" s="162">
        <v>0</v>
      </c>
      <c r="AH592" s="162">
        <v>0</v>
      </c>
      <c r="AI592" s="162">
        <v>0</v>
      </c>
      <c r="AJ592" s="162">
        <v>0</v>
      </c>
    </row>
    <row r="593" spans="1:36" x14ac:dyDescent="0.25">
      <c r="A593" t="s">
        <v>1051</v>
      </c>
      <c r="B593" t="s">
        <v>1022</v>
      </c>
      <c r="C593" s="143">
        <v>45398</v>
      </c>
      <c r="D593" s="141">
        <v>45398</v>
      </c>
      <c r="E593">
        <f>Tabela4[[#This Row],[DATA FATURAMENTO]]-Tabela4[[#This Row],[DATA ORÇAMENTO]]</f>
        <v>0</v>
      </c>
      <c r="F593">
        <v>11242</v>
      </c>
      <c r="G593" s="15" t="s">
        <v>22</v>
      </c>
      <c r="H593" s="54"/>
      <c r="I593" s="151">
        <v>308</v>
      </c>
      <c r="J593" s="154">
        <f>Tabela4[[#This Row],[VALOR]]-Tabela4[[#This Row],[PECAS]]</f>
        <v>0</v>
      </c>
      <c r="K593" s="150">
        <v>308</v>
      </c>
      <c r="L593" s="151">
        <v>0</v>
      </c>
      <c r="M593" s="151">
        <v>0</v>
      </c>
      <c r="N593" s="24"/>
      <c r="O593" s="151">
        <v>0</v>
      </c>
      <c r="P593" s="151">
        <v>0</v>
      </c>
      <c r="Q593" s="151">
        <v>0</v>
      </c>
      <c r="R593" s="151">
        <v>0</v>
      </c>
      <c r="S593" s="154">
        <v>0</v>
      </c>
      <c r="T593" s="151">
        <v>0</v>
      </c>
      <c r="U593" s="151">
        <v>0</v>
      </c>
      <c r="V593" s="15"/>
      <c r="W593" s="22">
        <v>4</v>
      </c>
      <c r="X593" s="149">
        <v>0</v>
      </c>
      <c r="Y593" s="15" t="s">
        <v>807</v>
      </c>
      <c r="Z593" s="151">
        <v>0</v>
      </c>
      <c r="AA593" s="149">
        <f>Tabela4[[#This Row],[VALOR]]-Tabela4[[#This Row],[PNEUS]]-Tabela4[[#This Row],[BATERIA]]</f>
        <v>308</v>
      </c>
      <c r="AB593" s="19" t="s">
        <v>27</v>
      </c>
      <c r="AC593" s="30">
        <v>0</v>
      </c>
      <c r="AD593" s="162">
        <v>0</v>
      </c>
      <c r="AE593" s="162">
        <v>0</v>
      </c>
      <c r="AF593" s="162">
        <v>0</v>
      </c>
      <c r="AG593" s="162">
        <v>0</v>
      </c>
      <c r="AH593" s="162">
        <v>0</v>
      </c>
      <c r="AI593" s="162">
        <v>0</v>
      </c>
      <c r="AJ593" s="162">
        <v>0</v>
      </c>
    </row>
    <row r="594" spans="1:36" x14ac:dyDescent="0.25">
      <c r="A594" t="s">
        <v>354</v>
      </c>
      <c r="B594" t="s">
        <v>1052</v>
      </c>
      <c r="C594" s="143">
        <v>45397</v>
      </c>
      <c r="D594" s="142">
        <v>45399</v>
      </c>
      <c r="E594">
        <f>Tabela4[[#This Row],[DATA FATURAMENTO]]-Tabela4[[#This Row],[DATA ORÇAMENTO]]</f>
        <v>2</v>
      </c>
      <c r="F594">
        <v>11225</v>
      </c>
      <c r="G594" s="25" t="s">
        <v>22</v>
      </c>
      <c r="H594" s="25"/>
      <c r="I594" s="155">
        <v>2075.6999999999998</v>
      </c>
      <c r="J594" s="154">
        <f>Tabela4[[#This Row],[VALOR]]-Tabela4[[#This Row],[PECAS]]</f>
        <v>1138.3000000000002</v>
      </c>
      <c r="K594" s="150">
        <v>3214</v>
      </c>
      <c r="L594" s="155">
        <v>0</v>
      </c>
      <c r="M594" s="155">
        <v>0</v>
      </c>
      <c r="N594" s="67"/>
      <c r="O594" s="155">
        <v>212.3</v>
      </c>
      <c r="P594" s="155">
        <v>0</v>
      </c>
      <c r="Q594" s="155">
        <v>0</v>
      </c>
      <c r="R594" s="155">
        <v>0</v>
      </c>
      <c r="S594" s="154">
        <v>230</v>
      </c>
      <c r="T594" s="155">
        <v>0</v>
      </c>
      <c r="U594" s="155">
        <v>0</v>
      </c>
      <c r="V594" s="25"/>
      <c r="W594" s="28">
        <v>6</v>
      </c>
      <c r="X594" s="149">
        <v>0</v>
      </c>
      <c r="Y594" s="25" t="s">
        <v>645</v>
      </c>
      <c r="Z594" s="155">
        <v>230</v>
      </c>
      <c r="AA594" s="149">
        <f>Tabela4[[#This Row],[VALOR]]-Tabela4[[#This Row],[PNEUS]]-Tabela4[[#This Row],[BATERIA]]</f>
        <v>3214</v>
      </c>
      <c r="AB594" s="27" t="s">
        <v>27</v>
      </c>
      <c r="AC594" s="30">
        <v>0</v>
      </c>
      <c r="AD594" s="162">
        <v>0</v>
      </c>
      <c r="AE594" s="162">
        <v>0</v>
      </c>
      <c r="AF594" s="162">
        <v>0</v>
      </c>
      <c r="AG594" s="162">
        <v>0</v>
      </c>
      <c r="AH594" s="162">
        <v>0</v>
      </c>
      <c r="AI594" s="162">
        <v>0</v>
      </c>
      <c r="AJ594" s="162">
        <v>0</v>
      </c>
    </row>
    <row r="595" spans="1:36" x14ac:dyDescent="0.25">
      <c r="A595" t="s">
        <v>352</v>
      </c>
      <c r="B595" t="s">
        <v>1053</v>
      </c>
      <c r="C595" s="143">
        <v>45397</v>
      </c>
      <c r="D595" s="141">
        <v>45399</v>
      </c>
      <c r="E595">
        <f>Tabela4[[#This Row],[DATA FATURAMENTO]]-Tabela4[[#This Row],[DATA ORÇAMENTO]]</f>
        <v>2</v>
      </c>
      <c r="F595">
        <v>11226</v>
      </c>
      <c r="G595" s="15" t="s">
        <v>35</v>
      </c>
      <c r="H595" s="25"/>
      <c r="I595" s="151">
        <v>0</v>
      </c>
      <c r="J595" s="154">
        <f>Tabela4[[#This Row],[VALOR]]-Tabela4[[#This Row],[PECAS]]</f>
        <v>220</v>
      </c>
      <c r="K595" s="150">
        <v>220</v>
      </c>
      <c r="L595" s="151">
        <v>0</v>
      </c>
      <c r="M595" s="151">
        <v>0</v>
      </c>
      <c r="N595" s="24"/>
      <c r="O595" s="151">
        <v>0</v>
      </c>
      <c r="P595" s="151">
        <v>0</v>
      </c>
      <c r="Q595" s="151">
        <v>0</v>
      </c>
      <c r="R595" s="151">
        <v>0</v>
      </c>
      <c r="S595" s="154">
        <v>0</v>
      </c>
      <c r="T595" s="151">
        <v>0</v>
      </c>
      <c r="U595" s="151">
        <v>0</v>
      </c>
      <c r="V595" s="15"/>
      <c r="W595" s="22">
        <v>0</v>
      </c>
      <c r="X595" s="149">
        <v>0</v>
      </c>
      <c r="Y595" s="15"/>
      <c r="Z595" s="151">
        <v>0</v>
      </c>
      <c r="AA595" s="149">
        <f>Tabela4[[#This Row],[VALOR]]-Tabela4[[#This Row],[PNEUS]]-Tabela4[[#This Row],[BATERIA]]</f>
        <v>220</v>
      </c>
      <c r="AB595" s="19" t="s">
        <v>24</v>
      </c>
      <c r="AC595" s="30">
        <v>0</v>
      </c>
      <c r="AD595" s="162">
        <v>0</v>
      </c>
      <c r="AE595" s="162">
        <v>0</v>
      </c>
      <c r="AF595" s="162">
        <v>0</v>
      </c>
      <c r="AG595" s="162">
        <v>0</v>
      </c>
      <c r="AH595" s="162">
        <v>0</v>
      </c>
      <c r="AI595" s="162">
        <v>0</v>
      </c>
      <c r="AJ595" s="162">
        <v>0</v>
      </c>
    </row>
    <row r="596" spans="1:36" x14ac:dyDescent="0.25">
      <c r="A596" t="s">
        <v>359</v>
      </c>
      <c r="B596" t="s">
        <v>1054</v>
      </c>
      <c r="C596" s="143">
        <v>45398</v>
      </c>
      <c r="D596" s="141">
        <v>45399</v>
      </c>
      <c r="E596">
        <f>Tabela4[[#This Row],[DATA FATURAMENTO]]-Tabela4[[#This Row],[DATA ORÇAMENTO]]</f>
        <v>1</v>
      </c>
      <c r="F596">
        <v>11243</v>
      </c>
      <c r="G596" s="15" t="s">
        <v>31</v>
      </c>
      <c r="H596" s="54"/>
      <c r="I596" s="151">
        <v>994.4</v>
      </c>
      <c r="J596" s="154">
        <f>Tabela4[[#This Row],[VALOR]]-Tabela4[[#This Row],[PECAS]]</f>
        <v>216.48000000000013</v>
      </c>
      <c r="K596" s="150">
        <v>1210.8800000000001</v>
      </c>
      <c r="L596" s="151">
        <v>0</v>
      </c>
      <c r="M596" s="151">
        <v>0</v>
      </c>
      <c r="N596" s="24"/>
      <c r="O596" s="151">
        <v>0</v>
      </c>
      <c r="P596" s="151">
        <v>0</v>
      </c>
      <c r="Q596" s="151">
        <v>0</v>
      </c>
      <c r="R596" s="151">
        <v>0</v>
      </c>
      <c r="S596" s="154">
        <v>0</v>
      </c>
      <c r="T596" s="151">
        <v>0</v>
      </c>
      <c r="U596" s="151">
        <v>0</v>
      </c>
      <c r="V596" s="15"/>
      <c r="W596" s="22">
        <v>4</v>
      </c>
      <c r="X596" s="149">
        <v>0</v>
      </c>
      <c r="Y596" s="15" t="s">
        <v>1055</v>
      </c>
      <c r="Z596" s="151">
        <v>0</v>
      </c>
      <c r="AA596" s="149">
        <f>Tabela4[[#This Row],[VALOR]]-Tabela4[[#This Row],[PNEUS]]-Tabela4[[#This Row],[BATERIA]]</f>
        <v>1210.8800000000001</v>
      </c>
      <c r="AB596" s="19" t="s">
        <v>24</v>
      </c>
      <c r="AC596" s="30">
        <v>0</v>
      </c>
      <c r="AD596" s="162">
        <v>0</v>
      </c>
      <c r="AE596" s="162">
        <v>0</v>
      </c>
      <c r="AF596" s="162">
        <v>0</v>
      </c>
      <c r="AG596" s="162">
        <v>0</v>
      </c>
      <c r="AH596" s="162">
        <v>0</v>
      </c>
      <c r="AI596" s="162">
        <v>0</v>
      </c>
      <c r="AJ596" s="162">
        <v>0</v>
      </c>
    </row>
    <row r="597" spans="1:36" x14ac:dyDescent="0.25">
      <c r="A597" t="s">
        <v>366</v>
      </c>
      <c r="B597" t="s">
        <v>1056</v>
      </c>
      <c r="C597" s="143">
        <v>45399</v>
      </c>
      <c r="D597" s="141">
        <v>45399</v>
      </c>
      <c r="E597">
        <f>Tabela4[[#This Row],[DATA FATURAMENTO]]-Tabela4[[#This Row],[DATA ORÇAMENTO]]</f>
        <v>0</v>
      </c>
      <c r="F597">
        <v>11254</v>
      </c>
      <c r="G597" s="15" t="s">
        <v>22</v>
      </c>
      <c r="H597" s="54"/>
      <c r="I597" s="151">
        <v>397</v>
      </c>
      <c r="J597" s="154">
        <f>Tabela4[[#This Row],[VALOR]]-Tabela4[[#This Row],[PECAS]]</f>
        <v>0</v>
      </c>
      <c r="K597" s="150">
        <v>397</v>
      </c>
      <c r="L597" s="151">
        <v>0</v>
      </c>
      <c r="M597" s="151">
        <v>0</v>
      </c>
      <c r="N597" s="24"/>
      <c r="O597" s="151">
        <v>0</v>
      </c>
      <c r="P597" s="151">
        <v>0</v>
      </c>
      <c r="Q597" s="151">
        <v>0</v>
      </c>
      <c r="R597" s="151">
        <v>0</v>
      </c>
      <c r="S597" s="154">
        <v>80</v>
      </c>
      <c r="T597" s="151">
        <v>0</v>
      </c>
      <c r="U597" s="151">
        <v>0</v>
      </c>
      <c r="V597" s="15"/>
      <c r="W597" s="22">
        <v>4</v>
      </c>
      <c r="X597" s="149">
        <v>0</v>
      </c>
      <c r="Y597" s="15" t="s">
        <v>654</v>
      </c>
      <c r="Z597" s="151">
        <v>0</v>
      </c>
      <c r="AA597" s="149">
        <f>Tabela4[[#This Row],[VALOR]]-Tabela4[[#This Row],[PNEUS]]-Tabela4[[#This Row],[BATERIA]]</f>
        <v>397</v>
      </c>
      <c r="AB597" s="19" t="s">
        <v>34</v>
      </c>
      <c r="AC597" s="30">
        <v>0</v>
      </c>
      <c r="AD597" s="162">
        <v>0</v>
      </c>
      <c r="AE597" s="162">
        <v>0</v>
      </c>
      <c r="AF597" s="162">
        <v>0</v>
      </c>
      <c r="AG597" s="162">
        <v>0</v>
      </c>
      <c r="AH597" s="162">
        <v>0</v>
      </c>
      <c r="AI597" s="162">
        <v>0</v>
      </c>
      <c r="AJ597" s="162">
        <v>0</v>
      </c>
    </row>
    <row r="598" spans="1:36" x14ac:dyDescent="0.25">
      <c r="A598" t="s">
        <v>360</v>
      </c>
      <c r="B598" t="s">
        <v>898</v>
      </c>
      <c r="C598" s="143">
        <v>45400</v>
      </c>
      <c r="D598" s="142">
        <v>45400</v>
      </c>
      <c r="E598">
        <f>Tabela4[[#This Row],[DATA FATURAMENTO]]-Tabela4[[#This Row],[DATA ORÇAMENTO]]</f>
        <v>0</v>
      </c>
      <c r="F598">
        <v>11271</v>
      </c>
      <c r="G598" s="15" t="s">
        <v>35</v>
      </c>
      <c r="H598" s="25"/>
      <c r="I598" s="155">
        <v>1926</v>
      </c>
      <c r="J598" s="154">
        <f>Tabela4[[#This Row],[VALOR]]-Tabela4[[#This Row],[PECAS]]</f>
        <v>515</v>
      </c>
      <c r="K598" s="157">
        <v>2441</v>
      </c>
      <c r="L598" s="155">
        <v>0</v>
      </c>
      <c r="M598" s="155">
        <v>0</v>
      </c>
      <c r="N598" s="67"/>
      <c r="O598" s="155">
        <v>0</v>
      </c>
      <c r="P598" s="155">
        <v>0</v>
      </c>
      <c r="Q598" s="155">
        <v>0</v>
      </c>
      <c r="R598" s="155">
        <v>0</v>
      </c>
      <c r="S598" s="154">
        <v>0</v>
      </c>
      <c r="T598" s="155">
        <v>0</v>
      </c>
      <c r="U598" s="155">
        <v>0</v>
      </c>
      <c r="V598" s="25"/>
      <c r="W598" s="22">
        <v>0</v>
      </c>
      <c r="X598" s="149">
        <v>0</v>
      </c>
      <c r="Y598" s="25"/>
      <c r="Z598" s="155">
        <v>0</v>
      </c>
      <c r="AA598" s="149">
        <f>Tabela4[[#This Row],[VALOR]]-Tabela4[[#This Row],[PNEUS]]-Tabela4[[#This Row],[BATERIA]]</f>
        <v>2441</v>
      </c>
      <c r="AB598" s="27" t="s">
        <v>34</v>
      </c>
      <c r="AC598" s="30">
        <v>0</v>
      </c>
      <c r="AD598" s="162">
        <v>0</v>
      </c>
      <c r="AE598" s="162">
        <v>0</v>
      </c>
      <c r="AF598" s="162">
        <v>0</v>
      </c>
      <c r="AG598" s="162">
        <v>0</v>
      </c>
      <c r="AH598" s="162">
        <v>0</v>
      </c>
      <c r="AI598" s="162">
        <v>0</v>
      </c>
      <c r="AJ598" s="162">
        <v>0</v>
      </c>
    </row>
    <row r="599" spans="1:36" x14ac:dyDescent="0.25">
      <c r="A599" t="s">
        <v>365</v>
      </c>
      <c r="B599" t="s">
        <v>1057</v>
      </c>
      <c r="C599" s="143">
        <v>45398</v>
      </c>
      <c r="D599" s="141">
        <v>45400</v>
      </c>
      <c r="E599">
        <f>Tabela4[[#This Row],[DATA FATURAMENTO]]-Tabela4[[#This Row],[DATA ORÇAMENTO]]</f>
        <v>2</v>
      </c>
      <c r="F599">
        <v>11239</v>
      </c>
      <c r="G599" s="15" t="s">
        <v>22</v>
      </c>
      <c r="H599" s="25"/>
      <c r="I599" s="151">
        <v>1492</v>
      </c>
      <c r="J599" s="154">
        <f>Tabela4[[#This Row],[VALOR]]-Tabela4[[#This Row],[PECAS]]</f>
        <v>1203</v>
      </c>
      <c r="K599" s="157">
        <v>2695</v>
      </c>
      <c r="L599" s="151">
        <v>160.5</v>
      </c>
      <c r="M599" s="151">
        <f>65+160.5+70</f>
        <v>295.5</v>
      </c>
      <c r="N599" s="24"/>
      <c r="O599" s="151">
        <v>0</v>
      </c>
      <c r="P599" s="151">
        <v>0</v>
      </c>
      <c r="Q599" s="151">
        <v>0</v>
      </c>
      <c r="R599" s="151">
        <v>10</v>
      </c>
      <c r="S599" s="154">
        <v>160.5</v>
      </c>
      <c r="T599" s="151">
        <v>0</v>
      </c>
      <c r="U599" s="151">
        <v>0</v>
      </c>
      <c r="V599" s="15"/>
      <c r="W599" s="22">
        <v>4</v>
      </c>
      <c r="X599" s="149">
        <v>0</v>
      </c>
      <c r="Y599" s="15" t="s">
        <v>645</v>
      </c>
      <c r="Z599" s="151">
        <v>0</v>
      </c>
      <c r="AA599" s="149">
        <f>Tabela4[[#This Row],[VALOR]]-Tabela4[[#This Row],[PNEUS]]-Tabela4[[#This Row],[BATERIA]]</f>
        <v>2695</v>
      </c>
      <c r="AB599" s="19" t="s">
        <v>24</v>
      </c>
      <c r="AC599" s="30">
        <v>0</v>
      </c>
      <c r="AD599" s="162">
        <v>0</v>
      </c>
      <c r="AE599" s="162">
        <v>0</v>
      </c>
      <c r="AF599" s="162">
        <v>0</v>
      </c>
      <c r="AG599" s="162">
        <v>0</v>
      </c>
      <c r="AH599" s="162">
        <v>0</v>
      </c>
      <c r="AI599" s="162">
        <v>0</v>
      </c>
      <c r="AJ599" s="162">
        <v>0</v>
      </c>
    </row>
    <row r="600" spans="1:36" x14ac:dyDescent="0.25">
      <c r="A600" t="s">
        <v>371</v>
      </c>
      <c r="B600" t="s">
        <v>1058</v>
      </c>
      <c r="C600" s="143">
        <v>45400</v>
      </c>
      <c r="D600" s="141">
        <v>45400</v>
      </c>
      <c r="E600">
        <f>Tabela4[[#This Row],[DATA FATURAMENTO]]-Tabela4[[#This Row],[DATA ORÇAMENTO]]</f>
        <v>0</v>
      </c>
      <c r="F600">
        <v>11272</v>
      </c>
      <c r="G600" s="25" t="s">
        <v>22</v>
      </c>
      <c r="H600" s="54"/>
      <c r="I600" s="151">
        <v>104.9</v>
      </c>
      <c r="J600" s="154">
        <f>Tabela4[[#This Row],[VALOR]]-Tabela4[[#This Row],[PECAS]]</f>
        <v>112</v>
      </c>
      <c r="K600" s="157">
        <v>216.9</v>
      </c>
      <c r="L600" s="151">
        <v>0</v>
      </c>
      <c r="M600" s="151">
        <v>0</v>
      </c>
      <c r="N600" s="24"/>
      <c r="O600" s="151">
        <v>0</v>
      </c>
      <c r="P600" s="151">
        <v>0</v>
      </c>
      <c r="Q600" s="151">
        <v>0</v>
      </c>
      <c r="R600" s="151">
        <v>0</v>
      </c>
      <c r="S600" s="154">
        <v>0</v>
      </c>
      <c r="T600" s="151">
        <v>0</v>
      </c>
      <c r="U600" s="151">
        <v>0</v>
      </c>
      <c r="V600" s="15"/>
      <c r="W600" s="22">
        <v>0</v>
      </c>
      <c r="X600" s="149">
        <v>0</v>
      </c>
      <c r="Y600" s="15"/>
      <c r="Z600" s="151">
        <v>0</v>
      </c>
      <c r="AA600" s="149">
        <f>Tabela4[[#This Row],[VALOR]]-Tabela4[[#This Row],[PNEUS]]-Tabela4[[#This Row],[BATERIA]]</f>
        <v>216.9</v>
      </c>
      <c r="AB600" s="19" t="s">
        <v>32</v>
      </c>
      <c r="AC600" s="30">
        <v>0</v>
      </c>
      <c r="AD600" s="162">
        <v>0</v>
      </c>
      <c r="AE600" s="162">
        <v>0</v>
      </c>
      <c r="AF600" s="162">
        <v>0</v>
      </c>
      <c r="AG600" s="162">
        <v>0</v>
      </c>
      <c r="AH600" s="162">
        <v>0</v>
      </c>
      <c r="AI600" s="162">
        <v>0</v>
      </c>
      <c r="AJ600" s="162">
        <v>0</v>
      </c>
    </row>
    <row r="601" spans="1:36" x14ac:dyDescent="0.25">
      <c r="A601" t="s">
        <v>326</v>
      </c>
      <c r="B601" t="s">
        <v>854</v>
      </c>
      <c r="C601" s="143">
        <v>45394</v>
      </c>
      <c r="D601" s="142">
        <v>45401</v>
      </c>
      <c r="E601">
        <f>Tabela4[[#This Row],[DATA FATURAMENTO]]-Tabela4[[#This Row],[DATA ORÇAMENTO]]</f>
        <v>7</v>
      </c>
      <c r="F601">
        <v>11209</v>
      </c>
      <c r="G601" s="25" t="s">
        <v>31</v>
      </c>
      <c r="H601" s="25"/>
      <c r="I601" s="155">
        <v>86.9</v>
      </c>
      <c r="J601" s="154">
        <f>Tabela4[[#This Row],[VALOR]]-Tabela4[[#This Row],[PECAS]]</f>
        <v>460</v>
      </c>
      <c r="K601" s="150">
        <v>546.9</v>
      </c>
      <c r="L601" s="155">
        <v>0</v>
      </c>
      <c r="M601" s="155">
        <v>0</v>
      </c>
      <c r="N601" s="67"/>
      <c r="O601" s="155">
        <v>0</v>
      </c>
      <c r="P601" s="155">
        <v>0</v>
      </c>
      <c r="Q601" s="155">
        <v>0</v>
      </c>
      <c r="R601" s="155">
        <v>0</v>
      </c>
      <c r="S601" s="154">
        <v>0</v>
      </c>
      <c r="T601" s="155">
        <v>0</v>
      </c>
      <c r="U601" s="155">
        <v>0</v>
      </c>
      <c r="V601" s="25"/>
      <c r="W601" s="22">
        <v>0</v>
      </c>
      <c r="X601" s="149">
        <v>0</v>
      </c>
      <c r="Y601" s="25"/>
      <c r="Z601" s="155">
        <v>0</v>
      </c>
      <c r="AA601" s="149">
        <f>Tabela4[[#This Row],[VALOR]]-Tabela4[[#This Row],[PNEUS]]-Tabela4[[#This Row],[BATERIA]]</f>
        <v>546.9</v>
      </c>
      <c r="AB601" s="27" t="s">
        <v>38</v>
      </c>
      <c r="AC601" s="30">
        <v>0</v>
      </c>
      <c r="AD601" s="162">
        <v>0</v>
      </c>
      <c r="AE601" s="162">
        <v>0</v>
      </c>
      <c r="AF601" s="162">
        <v>0</v>
      </c>
      <c r="AG601" s="162">
        <v>0</v>
      </c>
      <c r="AH601" s="162">
        <v>0</v>
      </c>
      <c r="AI601" s="162">
        <v>0</v>
      </c>
      <c r="AJ601" s="162">
        <v>0</v>
      </c>
    </row>
    <row r="602" spans="1:36" x14ac:dyDescent="0.25">
      <c r="A602" t="s">
        <v>351</v>
      </c>
      <c r="B602" t="s">
        <v>1059</v>
      </c>
      <c r="C602" s="143">
        <v>45399</v>
      </c>
      <c r="D602" s="142">
        <v>45401</v>
      </c>
      <c r="E602">
        <f>Tabela4[[#This Row],[DATA FATURAMENTO]]-Tabela4[[#This Row],[DATA ORÇAMENTO]]</f>
        <v>2</v>
      </c>
      <c r="F602">
        <v>11247</v>
      </c>
      <c r="G602" s="15" t="s">
        <v>22</v>
      </c>
      <c r="H602" s="25"/>
      <c r="I602" s="151">
        <v>3142</v>
      </c>
      <c r="J602" s="154">
        <f>Tabela4[[#This Row],[VALOR]]-Tabela4[[#This Row],[PECAS]]</f>
        <v>2158.0100000000002</v>
      </c>
      <c r="K602" s="150">
        <v>5300.01</v>
      </c>
      <c r="L602" s="151">
        <v>0</v>
      </c>
      <c r="M602" s="151">
        <f>116.4+25.4+157.51</f>
        <v>299.31</v>
      </c>
      <c r="N602" s="24"/>
      <c r="O602" s="151">
        <v>240</v>
      </c>
      <c r="P602" s="151">
        <v>0</v>
      </c>
      <c r="Q602" s="151">
        <v>0</v>
      </c>
      <c r="R602" s="151">
        <v>0</v>
      </c>
      <c r="S602" s="154">
        <v>0</v>
      </c>
      <c r="T602" s="151">
        <v>0</v>
      </c>
      <c r="U602" s="151">
        <v>0</v>
      </c>
      <c r="V602" s="15"/>
      <c r="W602" s="22">
        <v>4</v>
      </c>
      <c r="X602" s="149">
        <v>0</v>
      </c>
      <c r="Y602" s="15" t="s">
        <v>1060</v>
      </c>
      <c r="Z602" s="151">
        <v>0</v>
      </c>
      <c r="AA602" s="149">
        <f>Tabela4[[#This Row],[VALOR]]-Tabela4[[#This Row],[PNEUS]]-Tabela4[[#This Row],[BATERIA]]</f>
        <v>5300.01</v>
      </c>
      <c r="AB602" s="19" t="s">
        <v>32</v>
      </c>
      <c r="AC602" s="30">
        <v>0</v>
      </c>
      <c r="AD602" s="162">
        <v>0</v>
      </c>
      <c r="AE602" s="162">
        <v>0</v>
      </c>
      <c r="AF602" s="162">
        <v>0</v>
      </c>
      <c r="AG602" s="162">
        <v>0</v>
      </c>
      <c r="AH602" s="162">
        <v>0</v>
      </c>
      <c r="AI602" s="162">
        <v>0</v>
      </c>
      <c r="AJ602" s="162">
        <v>0</v>
      </c>
    </row>
    <row r="603" spans="1:36" x14ac:dyDescent="0.25">
      <c r="A603" t="s">
        <v>1061</v>
      </c>
      <c r="B603" t="s">
        <v>1062</v>
      </c>
      <c r="C603" s="143">
        <v>45397</v>
      </c>
      <c r="D603" s="142">
        <v>45401</v>
      </c>
      <c r="E603">
        <f>Tabela4[[#This Row],[DATA FATURAMENTO]]-Tabela4[[#This Row],[DATA ORÇAMENTO]]</f>
        <v>4</v>
      </c>
      <c r="F603">
        <v>11236</v>
      </c>
      <c r="G603" s="15" t="s">
        <v>6</v>
      </c>
      <c r="H603" s="54"/>
      <c r="I603" s="151">
        <v>530</v>
      </c>
      <c r="J603" s="154">
        <f>Tabela4[[#This Row],[VALOR]]-Tabela4[[#This Row],[PECAS]]</f>
        <v>9.9999999999909051E-3</v>
      </c>
      <c r="K603" s="150">
        <v>530.01</v>
      </c>
      <c r="L603" s="151">
        <v>0</v>
      </c>
      <c r="M603" s="151">
        <v>0</v>
      </c>
      <c r="N603" s="24"/>
      <c r="O603" s="151">
        <v>0</v>
      </c>
      <c r="P603" s="151">
        <v>0</v>
      </c>
      <c r="Q603" s="151">
        <v>0</v>
      </c>
      <c r="R603" s="151">
        <v>0</v>
      </c>
      <c r="S603" s="154">
        <v>0</v>
      </c>
      <c r="T603" s="151">
        <v>0</v>
      </c>
      <c r="U603" s="151">
        <v>530.01</v>
      </c>
      <c r="V603" s="15" t="s">
        <v>884</v>
      </c>
      <c r="W603" s="22">
        <v>0</v>
      </c>
      <c r="X603" s="149">
        <v>0</v>
      </c>
      <c r="Y603" s="15"/>
      <c r="Z603" s="151">
        <v>0</v>
      </c>
      <c r="AA603" s="149">
        <f>Tabela4[[#This Row],[VALOR]]-Tabela4[[#This Row],[PNEUS]]-Tabela4[[#This Row],[BATERIA]]</f>
        <v>0</v>
      </c>
      <c r="AB603" s="19" t="s">
        <v>6</v>
      </c>
      <c r="AC603" s="30">
        <v>0</v>
      </c>
      <c r="AD603" s="162">
        <v>0</v>
      </c>
      <c r="AE603" s="162">
        <v>0</v>
      </c>
      <c r="AF603" s="162">
        <v>0</v>
      </c>
      <c r="AG603" s="162">
        <v>0</v>
      </c>
      <c r="AH603" s="162">
        <v>0</v>
      </c>
      <c r="AI603" s="162">
        <v>0</v>
      </c>
      <c r="AJ603" s="162">
        <v>0</v>
      </c>
    </row>
    <row r="604" spans="1:36" x14ac:dyDescent="0.25">
      <c r="A604" t="s">
        <v>367</v>
      </c>
      <c r="B604" t="s">
        <v>1063</v>
      </c>
      <c r="C604" s="143">
        <v>45399</v>
      </c>
      <c r="D604" s="142">
        <v>45401</v>
      </c>
      <c r="E604">
        <f>Tabela4[[#This Row],[DATA FATURAMENTO]]-Tabela4[[#This Row],[DATA ORÇAMENTO]]</f>
        <v>2</v>
      </c>
      <c r="F604">
        <v>11255</v>
      </c>
      <c r="G604" s="15" t="s">
        <v>39</v>
      </c>
      <c r="H604" s="54"/>
      <c r="I604" s="151">
        <v>20</v>
      </c>
      <c r="J604" s="154">
        <f>Tabela4[[#This Row],[VALOR]]-Tabela4[[#This Row],[PECAS]]</f>
        <v>120.02000000000001</v>
      </c>
      <c r="K604" s="150">
        <v>140.02000000000001</v>
      </c>
      <c r="L604" s="151">
        <v>0</v>
      </c>
      <c r="M604" s="151">
        <v>0</v>
      </c>
      <c r="N604" s="24"/>
      <c r="O604" s="151">
        <v>0</v>
      </c>
      <c r="P604" s="151">
        <v>0</v>
      </c>
      <c r="Q604" s="151">
        <v>0</v>
      </c>
      <c r="R604" s="151">
        <v>0</v>
      </c>
      <c r="S604" s="154">
        <v>0</v>
      </c>
      <c r="T604" s="151">
        <v>0</v>
      </c>
      <c r="U604" s="151">
        <v>0</v>
      </c>
      <c r="V604" s="15"/>
      <c r="W604" s="22">
        <v>0</v>
      </c>
      <c r="X604" s="149">
        <v>0</v>
      </c>
      <c r="Y604" s="15"/>
      <c r="Z604" s="151">
        <v>0</v>
      </c>
      <c r="AA604" s="149">
        <f>Tabela4[[#This Row],[VALOR]]-Tabela4[[#This Row],[PNEUS]]-Tabela4[[#This Row],[BATERIA]]</f>
        <v>140.02000000000001</v>
      </c>
      <c r="AB604" s="19" t="s">
        <v>27</v>
      </c>
      <c r="AC604" s="30">
        <v>0</v>
      </c>
      <c r="AD604" s="162">
        <v>0</v>
      </c>
      <c r="AE604" s="162">
        <v>0</v>
      </c>
      <c r="AF604" s="162">
        <v>0</v>
      </c>
      <c r="AG604" s="162">
        <v>0</v>
      </c>
      <c r="AH604" s="162">
        <v>0</v>
      </c>
      <c r="AI604" s="162">
        <v>0</v>
      </c>
      <c r="AJ604" s="162">
        <v>0</v>
      </c>
    </row>
    <row r="605" spans="1:36" x14ac:dyDescent="0.25">
      <c r="A605" t="s">
        <v>375</v>
      </c>
      <c r="B605" t="s">
        <v>1064</v>
      </c>
      <c r="C605" s="143">
        <v>45400</v>
      </c>
      <c r="D605" s="142">
        <v>45401</v>
      </c>
      <c r="E605">
        <f>Tabela4[[#This Row],[DATA FATURAMENTO]]-Tabela4[[#This Row],[DATA ORÇAMENTO]]</f>
        <v>1</v>
      </c>
      <c r="F605">
        <v>11270</v>
      </c>
      <c r="G605" s="15" t="s">
        <v>22</v>
      </c>
      <c r="H605" s="54"/>
      <c r="I605" s="151">
        <v>2196.8000000000002</v>
      </c>
      <c r="J605" s="154">
        <f>Tabela4[[#This Row],[VALOR]]-Tabela4[[#This Row],[PECAS]]</f>
        <v>1493.1999999999998</v>
      </c>
      <c r="K605" s="150">
        <v>3690</v>
      </c>
      <c r="L605" s="151">
        <v>177.1</v>
      </c>
      <c r="M605" s="151">
        <v>0</v>
      </c>
      <c r="N605" s="24"/>
      <c r="O605" s="151">
        <v>177.09</v>
      </c>
      <c r="P605" s="151">
        <v>0</v>
      </c>
      <c r="Q605" s="151">
        <v>0</v>
      </c>
      <c r="R605" s="151">
        <v>0</v>
      </c>
      <c r="S605" s="154">
        <v>253</v>
      </c>
      <c r="T605" s="151">
        <v>0</v>
      </c>
      <c r="U605" s="151">
        <v>0</v>
      </c>
      <c r="V605" s="15"/>
      <c r="W605" s="22">
        <v>5</v>
      </c>
      <c r="X605" s="149">
        <v>0</v>
      </c>
      <c r="Y605" s="15" t="s">
        <v>635</v>
      </c>
      <c r="Z605" s="151">
        <v>253</v>
      </c>
      <c r="AA605" s="149">
        <f>Tabela4[[#This Row],[VALOR]]-Tabela4[[#This Row],[PNEUS]]-Tabela4[[#This Row],[BATERIA]]</f>
        <v>3690</v>
      </c>
      <c r="AB605" s="19" t="s">
        <v>27</v>
      </c>
      <c r="AC605" s="30">
        <v>0</v>
      </c>
      <c r="AD605" s="162">
        <v>0</v>
      </c>
      <c r="AE605" s="162">
        <v>0</v>
      </c>
      <c r="AF605" s="162">
        <v>0</v>
      </c>
      <c r="AG605" s="162">
        <v>0</v>
      </c>
      <c r="AH605" s="162">
        <v>0</v>
      </c>
      <c r="AI605" s="162">
        <v>0</v>
      </c>
      <c r="AJ605" s="162">
        <v>0</v>
      </c>
    </row>
    <row r="606" spans="1:36" x14ac:dyDescent="0.25">
      <c r="A606" t="s">
        <v>377</v>
      </c>
      <c r="B606" t="s">
        <v>1065</v>
      </c>
      <c r="C606" s="143">
        <v>45400</v>
      </c>
      <c r="D606" s="142">
        <v>45401</v>
      </c>
      <c r="E606">
        <f>Tabela4[[#This Row],[DATA FATURAMENTO]]-Tabela4[[#This Row],[DATA ORÇAMENTO]]</f>
        <v>1</v>
      </c>
      <c r="F606">
        <v>11259</v>
      </c>
      <c r="G606" s="15" t="s">
        <v>22</v>
      </c>
      <c r="H606" s="54"/>
      <c r="I606" s="151">
        <v>884.1</v>
      </c>
      <c r="J606" s="154">
        <f>Tabela4[[#This Row],[VALOR]]-Tabela4[[#This Row],[PECAS]]</f>
        <v>765.9</v>
      </c>
      <c r="K606" s="150">
        <v>1650</v>
      </c>
      <c r="L606" s="151">
        <v>0</v>
      </c>
      <c r="M606" s="151">
        <v>0</v>
      </c>
      <c r="N606" s="24"/>
      <c r="O606" s="151">
        <v>0</v>
      </c>
      <c r="P606" s="151">
        <v>0</v>
      </c>
      <c r="Q606" s="151">
        <v>0</v>
      </c>
      <c r="R606" s="151">
        <v>0</v>
      </c>
      <c r="S606" s="154">
        <v>0</v>
      </c>
      <c r="T606" s="151">
        <v>0</v>
      </c>
      <c r="U606" s="151">
        <v>0</v>
      </c>
      <c r="V606" s="15"/>
      <c r="W606" s="22">
        <v>4</v>
      </c>
      <c r="X606" s="149">
        <v>0</v>
      </c>
      <c r="Y606" s="15" t="s">
        <v>654</v>
      </c>
      <c r="Z606" s="151">
        <v>0</v>
      </c>
      <c r="AA606" s="149">
        <f>Tabela4[[#This Row],[VALOR]]-Tabela4[[#This Row],[PNEUS]]-Tabela4[[#This Row],[BATERIA]]</f>
        <v>1650</v>
      </c>
      <c r="AB606" s="19" t="s">
        <v>24</v>
      </c>
      <c r="AC606" s="30">
        <v>0</v>
      </c>
      <c r="AD606" s="162">
        <v>0</v>
      </c>
      <c r="AE606" s="162">
        <v>0</v>
      </c>
      <c r="AF606" s="162">
        <v>0</v>
      </c>
      <c r="AG606" s="162">
        <v>0</v>
      </c>
      <c r="AH606" s="162">
        <v>0</v>
      </c>
      <c r="AI606" s="162">
        <v>0</v>
      </c>
      <c r="AJ606" s="162">
        <v>0</v>
      </c>
    </row>
    <row r="607" spans="1:36" x14ac:dyDescent="0.25">
      <c r="A607" t="s">
        <v>1066</v>
      </c>
      <c r="B607" t="s">
        <v>950</v>
      </c>
      <c r="C607" s="143">
        <v>45399</v>
      </c>
      <c r="D607" s="142">
        <v>45402</v>
      </c>
      <c r="E607">
        <f>Tabela4[[#This Row],[DATA FATURAMENTO]]-Tabela4[[#This Row],[DATA ORÇAMENTO]]</f>
        <v>3</v>
      </c>
      <c r="F607">
        <v>11252</v>
      </c>
      <c r="G607" s="25" t="s">
        <v>22</v>
      </c>
      <c r="H607" s="25"/>
      <c r="I607" s="155">
        <v>17.899999999999999</v>
      </c>
      <c r="J607" s="154">
        <f>Tabela4[[#This Row],[VALOR]]-Tabela4[[#This Row],[PECAS]]</f>
        <v>0</v>
      </c>
      <c r="K607" s="150">
        <v>17.899999999999999</v>
      </c>
      <c r="L607" s="155">
        <v>0</v>
      </c>
      <c r="M607" s="155">
        <v>0</v>
      </c>
      <c r="N607" s="67"/>
      <c r="O607" s="155">
        <v>0</v>
      </c>
      <c r="P607" s="155">
        <v>0</v>
      </c>
      <c r="Q607" s="155">
        <v>0</v>
      </c>
      <c r="R607" s="155">
        <v>0</v>
      </c>
      <c r="S607" s="154">
        <v>0</v>
      </c>
      <c r="T607" s="155">
        <v>0</v>
      </c>
      <c r="U607" s="155">
        <v>0</v>
      </c>
      <c r="V607" s="25"/>
      <c r="W607" s="22">
        <v>0</v>
      </c>
      <c r="X607" s="149">
        <v>0</v>
      </c>
      <c r="Y607" s="25"/>
      <c r="Z607" s="155">
        <v>0</v>
      </c>
      <c r="AA607" s="149">
        <f>Tabela4[[#This Row],[VALOR]]-Tabela4[[#This Row],[PNEUS]]-Tabela4[[#This Row],[BATERIA]]</f>
        <v>17.899999999999999</v>
      </c>
      <c r="AB607" s="27" t="s">
        <v>38</v>
      </c>
      <c r="AC607" s="30">
        <v>0</v>
      </c>
      <c r="AD607" s="162">
        <v>0</v>
      </c>
      <c r="AE607" s="162">
        <v>0</v>
      </c>
      <c r="AF607" s="162">
        <v>0</v>
      </c>
      <c r="AG607" s="162">
        <v>0</v>
      </c>
      <c r="AH607" s="162">
        <v>0</v>
      </c>
      <c r="AI607" s="162">
        <v>0</v>
      </c>
      <c r="AJ607" s="162">
        <v>0</v>
      </c>
    </row>
    <row r="608" spans="1:36" x14ac:dyDescent="0.25">
      <c r="A608" t="s">
        <v>372</v>
      </c>
      <c r="B608" t="s">
        <v>1067</v>
      </c>
      <c r="C608" s="143">
        <v>45401</v>
      </c>
      <c r="D608" s="142">
        <v>45402</v>
      </c>
      <c r="E608">
        <f>Tabela4[[#This Row],[DATA FATURAMENTO]]-Tabela4[[#This Row],[DATA ORÇAMENTO]]</f>
        <v>1</v>
      </c>
      <c r="F608">
        <v>11278</v>
      </c>
      <c r="G608" s="15" t="s">
        <v>31</v>
      </c>
      <c r="H608" s="25"/>
      <c r="I608" s="151">
        <v>1296.7</v>
      </c>
      <c r="J608" s="154">
        <f>Tabela4[[#This Row],[VALOR]]-Tabela4[[#This Row],[PECAS]]</f>
        <v>1833.3</v>
      </c>
      <c r="K608" s="150">
        <v>3130</v>
      </c>
      <c r="L608" s="151">
        <v>90</v>
      </c>
      <c r="M608" s="151">
        <f>116.4+20.4</f>
        <v>136.80000000000001</v>
      </c>
      <c r="N608" s="24"/>
      <c r="O608" s="151">
        <v>213.3</v>
      </c>
      <c r="P608" s="151">
        <v>0</v>
      </c>
      <c r="Q608" s="151">
        <v>160</v>
      </c>
      <c r="R608" s="151">
        <v>0</v>
      </c>
      <c r="S608" s="154">
        <v>140</v>
      </c>
      <c r="T608" s="151">
        <v>0</v>
      </c>
      <c r="U608" s="151">
        <v>0</v>
      </c>
      <c r="V608" s="15"/>
      <c r="W608" s="22">
        <v>0</v>
      </c>
      <c r="X608" s="149">
        <v>0</v>
      </c>
      <c r="Y608" s="15"/>
      <c r="Z608" s="151">
        <v>140</v>
      </c>
      <c r="AA608" s="149">
        <f>Tabela4[[#This Row],[VALOR]]-Tabela4[[#This Row],[PNEUS]]-Tabela4[[#This Row],[BATERIA]]</f>
        <v>3130</v>
      </c>
      <c r="AB608" s="19" t="s">
        <v>27</v>
      </c>
      <c r="AC608" s="30">
        <v>0</v>
      </c>
      <c r="AD608" s="162">
        <v>0</v>
      </c>
      <c r="AE608" s="162">
        <v>0</v>
      </c>
      <c r="AF608" s="162">
        <v>0</v>
      </c>
      <c r="AG608" s="162">
        <v>0</v>
      </c>
      <c r="AH608" s="162">
        <v>0</v>
      </c>
      <c r="AI608" s="162">
        <v>0</v>
      </c>
      <c r="AJ608" s="162">
        <v>0</v>
      </c>
    </row>
    <row r="609" spans="1:36" x14ac:dyDescent="0.25">
      <c r="A609" t="s">
        <v>381</v>
      </c>
      <c r="B609" t="s">
        <v>1068</v>
      </c>
      <c r="C609" s="143">
        <v>45402</v>
      </c>
      <c r="D609" s="142">
        <v>45402</v>
      </c>
      <c r="E609">
        <f>Tabela4[[#This Row],[DATA FATURAMENTO]]-Tabela4[[#This Row],[DATA ORÇAMENTO]]</f>
        <v>0</v>
      </c>
      <c r="F609">
        <v>11287</v>
      </c>
      <c r="G609" s="15" t="s">
        <v>22</v>
      </c>
      <c r="H609" s="54"/>
      <c r="I609" s="151">
        <v>1320</v>
      </c>
      <c r="J609" s="154">
        <f>Tabela4[[#This Row],[VALOR]]-Tabela4[[#This Row],[PECAS]]</f>
        <v>340</v>
      </c>
      <c r="K609" s="150">
        <v>1660</v>
      </c>
      <c r="L609" s="151">
        <v>0</v>
      </c>
      <c r="M609" s="151">
        <v>0</v>
      </c>
      <c r="N609" s="24"/>
      <c r="O609" s="151">
        <v>0</v>
      </c>
      <c r="P609" s="151">
        <v>0</v>
      </c>
      <c r="Q609" s="151">
        <v>0</v>
      </c>
      <c r="R609" s="151">
        <v>0</v>
      </c>
      <c r="S609" s="154">
        <v>0</v>
      </c>
      <c r="T609" s="151">
        <v>0</v>
      </c>
      <c r="U609" s="151">
        <v>0</v>
      </c>
      <c r="V609" s="15"/>
      <c r="W609" s="22">
        <v>0</v>
      </c>
      <c r="X609" s="149">
        <v>0</v>
      </c>
      <c r="Y609" s="15"/>
      <c r="Z609" s="151">
        <v>0</v>
      </c>
      <c r="AA609" s="149">
        <f>Tabela4[[#This Row],[VALOR]]-Tabela4[[#This Row],[PNEUS]]-Tabela4[[#This Row],[BATERIA]]</f>
        <v>1660</v>
      </c>
      <c r="AB609" s="19" t="s">
        <v>34</v>
      </c>
      <c r="AC609" s="30">
        <v>0</v>
      </c>
      <c r="AD609" s="162">
        <v>0</v>
      </c>
      <c r="AE609" s="162">
        <v>0</v>
      </c>
      <c r="AF609" s="162">
        <v>0</v>
      </c>
      <c r="AG609" s="162">
        <v>0</v>
      </c>
      <c r="AH609" s="162">
        <v>0</v>
      </c>
      <c r="AI609" s="162">
        <v>0</v>
      </c>
      <c r="AJ609" s="162">
        <v>0</v>
      </c>
    </row>
    <row r="610" spans="1:36" x14ac:dyDescent="0.25">
      <c r="A610" t="s">
        <v>380</v>
      </c>
      <c r="B610" t="s">
        <v>914</v>
      </c>
      <c r="C610" s="143">
        <v>45401</v>
      </c>
      <c r="D610" s="142">
        <v>45402</v>
      </c>
      <c r="E610">
        <f>Tabela4[[#This Row],[DATA FATURAMENTO]]-Tabela4[[#This Row],[DATA ORÇAMENTO]]</f>
        <v>1</v>
      </c>
      <c r="F610">
        <v>11281</v>
      </c>
      <c r="G610" s="15" t="s">
        <v>22</v>
      </c>
      <c r="H610" s="54"/>
      <c r="I610" s="151">
        <v>585.88</v>
      </c>
      <c r="J610" s="154">
        <f>Tabela4[[#This Row],[VALOR]]-Tabela4[[#This Row],[PECAS]]</f>
        <v>80.259999999999991</v>
      </c>
      <c r="K610" s="150">
        <v>666.14</v>
      </c>
      <c r="L610" s="151">
        <v>0</v>
      </c>
      <c r="M610" s="151">
        <v>0</v>
      </c>
      <c r="N610" s="24"/>
      <c r="O610" s="151">
        <v>0</v>
      </c>
      <c r="P610" s="151">
        <v>0</v>
      </c>
      <c r="Q610" s="151">
        <v>0</v>
      </c>
      <c r="R610" s="151">
        <v>0</v>
      </c>
      <c r="S610" s="154">
        <v>0</v>
      </c>
      <c r="T610" s="151">
        <v>0</v>
      </c>
      <c r="U610" s="151">
        <v>0</v>
      </c>
      <c r="V610" s="15"/>
      <c r="W610" s="22">
        <v>4</v>
      </c>
      <c r="X610" s="149">
        <v>0</v>
      </c>
      <c r="Y610" s="15" t="s">
        <v>804</v>
      </c>
      <c r="Z610" s="151">
        <v>0</v>
      </c>
      <c r="AA610" s="149">
        <f>Tabela4[[#This Row],[VALOR]]-Tabela4[[#This Row],[PNEUS]]-Tabela4[[#This Row],[BATERIA]]</f>
        <v>666.14</v>
      </c>
      <c r="AB610" s="19" t="s">
        <v>34</v>
      </c>
      <c r="AC610" s="30">
        <v>0</v>
      </c>
      <c r="AD610" s="162">
        <v>0</v>
      </c>
      <c r="AE610" s="162">
        <v>0</v>
      </c>
      <c r="AF610" s="162">
        <v>0</v>
      </c>
      <c r="AG610" s="162">
        <v>0</v>
      </c>
      <c r="AH610" s="162">
        <v>0</v>
      </c>
      <c r="AI610" s="162">
        <v>0</v>
      </c>
      <c r="AJ610" s="162">
        <v>0</v>
      </c>
    </row>
    <row r="611" spans="1:36" x14ac:dyDescent="0.25">
      <c r="A611" t="s">
        <v>1069</v>
      </c>
      <c r="B611" t="s">
        <v>1070</v>
      </c>
      <c r="C611" s="143">
        <v>45401</v>
      </c>
      <c r="D611" s="142">
        <v>45402</v>
      </c>
      <c r="E611">
        <f>Tabela4[[#This Row],[DATA FATURAMENTO]]-Tabela4[[#This Row],[DATA ORÇAMENTO]]</f>
        <v>1</v>
      </c>
      <c r="F611">
        <v>11283</v>
      </c>
      <c r="G611" s="15" t="s">
        <v>22</v>
      </c>
      <c r="H611" s="54"/>
      <c r="I611" s="151">
        <v>210</v>
      </c>
      <c r="J611" s="154">
        <f>Tabela4[[#This Row],[VALOR]]-Tabela4[[#This Row],[PECAS]]</f>
        <v>590</v>
      </c>
      <c r="K611" s="150">
        <v>800</v>
      </c>
      <c r="L611" s="151">
        <v>0</v>
      </c>
      <c r="M611" s="151">
        <v>0</v>
      </c>
      <c r="N611" s="24"/>
      <c r="O611" s="151">
        <v>220</v>
      </c>
      <c r="P611" s="151">
        <v>0</v>
      </c>
      <c r="Q611" s="151">
        <v>95</v>
      </c>
      <c r="R611" s="151">
        <v>0</v>
      </c>
      <c r="S611" s="154">
        <v>0</v>
      </c>
      <c r="T611" s="151">
        <v>0</v>
      </c>
      <c r="U611" s="151">
        <v>0</v>
      </c>
      <c r="V611" s="15"/>
      <c r="W611" s="22">
        <v>0</v>
      </c>
      <c r="X611" s="149">
        <v>0</v>
      </c>
      <c r="Y611" s="15"/>
      <c r="Z611" s="151">
        <v>0</v>
      </c>
      <c r="AA611" s="149">
        <f>Tabela4[[#This Row],[VALOR]]-Tabela4[[#This Row],[PNEUS]]-Tabela4[[#This Row],[BATERIA]]</f>
        <v>800</v>
      </c>
      <c r="AB611" s="19" t="s">
        <v>27</v>
      </c>
      <c r="AC611" s="30">
        <v>0</v>
      </c>
      <c r="AD611" s="162">
        <v>0</v>
      </c>
      <c r="AE611" s="162">
        <v>0</v>
      </c>
      <c r="AF611" s="162">
        <v>0</v>
      </c>
      <c r="AG611" s="162">
        <v>0</v>
      </c>
      <c r="AH611" s="162">
        <v>0</v>
      </c>
      <c r="AI611" s="162">
        <v>0</v>
      </c>
      <c r="AJ611" s="162">
        <v>0</v>
      </c>
    </row>
    <row r="612" spans="1:36" x14ac:dyDescent="0.25">
      <c r="A612" t="s">
        <v>1071</v>
      </c>
      <c r="B612" t="s">
        <v>1072</v>
      </c>
      <c r="C612" s="143">
        <v>45401</v>
      </c>
      <c r="D612" s="142">
        <v>45402</v>
      </c>
      <c r="E612">
        <f>Tabela4[[#This Row],[DATA FATURAMENTO]]-Tabela4[[#This Row],[DATA ORÇAMENTO]]</f>
        <v>1</v>
      </c>
      <c r="F612">
        <v>11285</v>
      </c>
      <c r="G612" s="15" t="s">
        <v>22</v>
      </c>
      <c r="H612" s="54"/>
      <c r="I612" s="151">
        <v>275.39999999999998</v>
      </c>
      <c r="J612" s="154">
        <f>Tabela4[[#This Row],[VALOR]]-Tabela4[[#This Row],[PECAS]]</f>
        <v>152</v>
      </c>
      <c r="K612" s="150">
        <v>427.4</v>
      </c>
      <c r="L612" s="151">
        <v>0</v>
      </c>
      <c r="M612" s="151">
        <v>0</v>
      </c>
      <c r="N612" s="24"/>
      <c r="O612" s="151">
        <v>0</v>
      </c>
      <c r="P612" s="151">
        <v>0</v>
      </c>
      <c r="Q612" s="151">
        <v>0</v>
      </c>
      <c r="R612" s="151">
        <v>0</v>
      </c>
      <c r="S612" s="154">
        <v>63.7</v>
      </c>
      <c r="T612" s="151">
        <v>0</v>
      </c>
      <c r="U612" s="151">
        <v>0</v>
      </c>
      <c r="V612" s="15"/>
      <c r="W612" s="22">
        <v>3</v>
      </c>
      <c r="X612" s="149">
        <v>0</v>
      </c>
      <c r="Y612" s="15" t="s">
        <v>807</v>
      </c>
      <c r="Z612" s="151">
        <v>0</v>
      </c>
      <c r="AA612" s="149">
        <f>Tabela4[[#This Row],[VALOR]]-Tabela4[[#This Row],[PNEUS]]-Tabela4[[#This Row],[BATERIA]]</f>
        <v>427.4</v>
      </c>
      <c r="AB612" s="19" t="s">
        <v>24</v>
      </c>
      <c r="AC612" s="30">
        <v>0</v>
      </c>
      <c r="AD612" s="162">
        <v>0</v>
      </c>
      <c r="AE612" s="162">
        <v>0</v>
      </c>
      <c r="AF612" s="162">
        <v>0</v>
      </c>
      <c r="AG612" s="162">
        <v>0</v>
      </c>
      <c r="AH612" s="162">
        <v>0</v>
      </c>
      <c r="AI612" s="162">
        <v>0</v>
      </c>
      <c r="AJ612" s="162">
        <v>0</v>
      </c>
    </row>
    <row r="613" spans="1:36" x14ac:dyDescent="0.25">
      <c r="A613" t="s">
        <v>1073</v>
      </c>
      <c r="B613" t="s">
        <v>1074</v>
      </c>
      <c r="C613" s="143">
        <v>45402</v>
      </c>
      <c r="D613" s="142">
        <v>45402</v>
      </c>
      <c r="E613">
        <f>Tabela4[[#This Row],[DATA FATURAMENTO]]-Tabela4[[#This Row],[DATA ORÇAMENTO]]</f>
        <v>0</v>
      </c>
      <c r="F613">
        <v>11286</v>
      </c>
      <c r="G613" s="15" t="s">
        <v>39</v>
      </c>
      <c r="H613" s="54" t="s">
        <v>44</v>
      </c>
      <c r="I613" s="151">
        <v>105</v>
      </c>
      <c r="J613" s="154">
        <f>Tabela4[[#This Row],[VALOR]]-Tabela4[[#This Row],[PECAS]]</f>
        <v>150</v>
      </c>
      <c r="K613" s="150">
        <v>255</v>
      </c>
      <c r="L613" s="151">
        <v>0</v>
      </c>
      <c r="M613" s="151">
        <v>0</v>
      </c>
      <c r="N613" s="24"/>
      <c r="O613" s="151">
        <v>0</v>
      </c>
      <c r="P613" s="151">
        <v>0</v>
      </c>
      <c r="Q613" s="151">
        <v>0</v>
      </c>
      <c r="R613" s="151">
        <v>0</v>
      </c>
      <c r="S613" s="154">
        <v>0</v>
      </c>
      <c r="T613" s="151">
        <v>0</v>
      </c>
      <c r="U613" s="151">
        <v>0</v>
      </c>
      <c r="V613" s="15"/>
      <c r="W613" s="22">
        <v>0</v>
      </c>
      <c r="X613" s="149">
        <v>0</v>
      </c>
      <c r="Y613" s="15"/>
      <c r="Z613" s="151">
        <v>0</v>
      </c>
      <c r="AA613" s="149">
        <f>Tabela4[[#This Row],[VALOR]]-Tabela4[[#This Row],[PNEUS]]-Tabela4[[#This Row],[BATERIA]]</f>
        <v>255</v>
      </c>
      <c r="AB613" s="19" t="s">
        <v>24</v>
      </c>
      <c r="AC613" s="30">
        <v>0</v>
      </c>
      <c r="AD613" s="162">
        <v>0</v>
      </c>
      <c r="AE613" s="162">
        <v>0</v>
      </c>
      <c r="AF613" s="162">
        <v>0</v>
      </c>
      <c r="AG613" s="162">
        <v>0</v>
      </c>
      <c r="AH613" s="162">
        <v>0</v>
      </c>
      <c r="AI613" s="162">
        <v>0</v>
      </c>
      <c r="AJ613" s="162">
        <v>0</v>
      </c>
    </row>
    <row r="614" spans="1:36" x14ac:dyDescent="0.25">
      <c r="A614" t="s">
        <v>1075</v>
      </c>
      <c r="B614" t="s">
        <v>1076</v>
      </c>
      <c r="C614" s="143">
        <v>45397</v>
      </c>
      <c r="D614" s="142">
        <v>45404</v>
      </c>
      <c r="E614">
        <f>Tabela4[[#This Row],[DATA FATURAMENTO]]-Tabela4[[#This Row],[DATA ORÇAMENTO]]</f>
        <v>7</v>
      </c>
      <c r="F614">
        <v>11233</v>
      </c>
      <c r="G614" s="25" t="s">
        <v>6</v>
      </c>
      <c r="H614" s="25"/>
      <c r="I614" s="155">
        <v>522.5</v>
      </c>
      <c r="J614" s="154">
        <f>Tabela4[[#This Row],[VALOR]]-Tabela4[[#This Row],[PECAS]]</f>
        <v>9.9999999999909051E-3</v>
      </c>
      <c r="K614" s="150">
        <v>522.51</v>
      </c>
      <c r="L614" s="155">
        <v>0</v>
      </c>
      <c r="M614" s="155">
        <v>0</v>
      </c>
      <c r="N614" s="67"/>
      <c r="O614" s="155">
        <v>0</v>
      </c>
      <c r="P614" s="155">
        <v>0</v>
      </c>
      <c r="Q614" s="155">
        <v>0</v>
      </c>
      <c r="R614" s="155">
        <v>0</v>
      </c>
      <c r="S614" s="154">
        <v>0</v>
      </c>
      <c r="T614" s="155">
        <v>0</v>
      </c>
      <c r="U614" s="155">
        <v>522.51</v>
      </c>
      <c r="V614" s="25" t="s">
        <v>707</v>
      </c>
      <c r="W614" s="22">
        <v>0</v>
      </c>
      <c r="X614" s="149">
        <v>0</v>
      </c>
      <c r="Y614" s="25"/>
      <c r="Z614" s="155">
        <v>0</v>
      </c>
      <c r="AA614" s="149">
        <f>Tabela4[[#This Row],[VALOR]]-Tabela4[[#This Row],[PNEUS]]-Tabela4[[#This Row],[BATERIA]]</f>
        <v>0</v>
      </c>
      <c r="AB614" s="27" t="s">
        <v>6</v>
      </c>
      <c r="AC614" s="30">
        <v>0</v>
      </c>
      <c r="AD614" s="162">
        <v>0</v>
      </c>
      <c r="AE614" s="162">
        <v>0</v>
      </c>
      <c r="AF614" s="162">
        <v>0</v>
      </c>
      <c r="AG614" s="162">
        <v>0</v>
      </c>
      <c r="AH614" s="162">
        <v>0</v>
      </c>
      <c r="AI614" s="162">
        <v>0</v>
      </c>
      <c r="AJ614" s="162">
        <v>0</v>
      </c>
    </row>
    <row r="615" spans="1:36" x14ac:dyDescent="0.25">
      <c r="A615" t="s">
        <v>1077</v>
      </c>
      <c r="B615" t="s">
        <v>905</v>
      </c>
      <c r="C615" s="143">
        <v>45399</v>
      </c>
      <c r="D615" s="142">
        <v>45404</v>
      </c>
      <c r="E615">
        <f>Tabela4[[#This Row],[DATA FATURAMENTO]]-Tabela4[[#This Row],[DATA ORÇAMENTO]]</f>
        <v>5</v>
      </c>
      <c r="F615">
        <v>11257</v>
      </c>
      <c r="G615" s="15" t="s">
        <v>35</v>
      </c>
      <c r="H615" s="25"/>
      <c r="I615" s="151">
        <v>808.04</v>
      </c>
      <c r="J615" s="154">
        <f>Tabela4[[#This Row],[VALOR]]-Tabela4[[#This Row],[PECAS]]</f>
        <v>191.97000000000003</v>
      </c>
      <c r="K615" s="150">
        <v>1000.01</v>
      </c>
      <c r="L615" s="151">
        <v>0</v>
      </c>
      <c r="M615" s="151">
        <f>17.8+77.6</f>
        <v>95.399999999999991</v>
      </c>
      <c r="N615" s="24"/>
      <c r="O615" s="151">
        <v>0</v>
      </c>
      <c r="P615" s="151">
        <v>0</v>
      </c>
      <c r="Q615" s="151">
        <v>0</v>
      </c>
      <c r="R615" s="151">
        <v>0</v>
      </c>
      <c r="S615" s="154">
        <v>80</v>
      </c>
      <c r="T615" s="151">
        <v>0</v>
      </c>
      <c r="U615" s="151">
        <v>0</v>
      </c>
      <c r="V615" s="15"/>
      <c r="W615" s="22">
        <v>5</v>
      </c>
      <c r="X615" s="149">
        <v>0</v>
      </c>
      <c r="Y615" s="15" t="s">
        <v>807</v>
      </c>
      <c r="Z615" s="151">
        <v>80</v>
      </c>
      <c r="AA615" s="149">
        <f>Tabela4[[#This Row],[VALOR]]-Tabela4[[#This Row],[PNEUS]]-Tabela4[[#This Row],[BATERIA]]</f>
        <v>1000.01</v>
      </c>
      <c r="AB615" s="19" t="s">
        <v>24</v>
      </c>
      <c r="AC615" s="30">
        <v>0</v>
      </c>
      <c r="AD615" s="162">
        <v>0</v>
      </c>
      <c r="AE615" s="162">
        <v>0</v>
      </c>
      <c r="AF615" s="162">
        <v>0</v>
      </c>
      <c r="AG615" s="162">
        <v>0</v>
      </c>
      <c r="AH615" s="162">
        <v>0</v>
      </c>
      <c r="AI615" s="162">
        <v>0</v>
      </c>
      <c r="AJ615" s="162">
        <v>0</v>
      </c>
    </row>
    <row r="616" spans="1:36" x14ac:dyDescent="0.25">
      <c r="A616" t="s">
        <v>1078</v>
      </c>
      <c r="B616" t="s">
        <v>1079</v>
      </c>
      <c r="C616" s="143">
        <v>45401</v>
      </c>
      <c r="D616" s="142">
        <v>45404</v>
      </c>
      <c r="E616">
        <f>Tabela4[[#This Row],[DATA FATURAMENTO]]-Tabela4[[#This Row],[DATA ORÇAMENTO]]</f>
        <v>3</v>
      </c>
      <c r="F616">
        <v>11277</v>
      </c>
      <c r="G616" s="15" t="s">
        <v>22</v>
      </c>
      <c r="H616" s="54"/>
      <c r="I616" s="151">
        <v>937.7</v>
      </c>
      <c r="J616" s="154">
        <f>Tabela4[[#This Row],[VALOR]]-Tabela4[[#This Row],[PECAS]]</f>
        <v>490</v>
      </c>
      <c r="K616" s="150">
        <v>1427.7</v>
      </c>
      <c r="L616" s="151">
        <v>0</v>
      </c>
      <c r="M616" s="151">
        <v>0</v>
      </c>
      <c r="N616" s="24"/>
      <c r="O616" s="151">
        <v>0</v>
      </c>
      <c r="P616" s="151">
        <v>0</v>
      </c>
      <c r="Q616" s="151">
        <v>0</v>
      </c>
      <c r="R616" s="151">
        <v>0</v>
      </c>
      <c r="S616" s="154">
        <v>0</v>
      </c>
      <c r="T616" s="151">
        <v>0</v>
      </c>
      <c r="U616" s="151">
        <v>0</v>
      </c>
      <c r="V616" s="15"/>
      <c r="W616" s="22">
        <v>0</v>
      </c>
      <c r="X616" s="149">
        <v>0</v>
      </c>
      <c r="Y616" s="15"/>
      <c r="Z616" s="151">
        <v>0</v>
      </c>
      <c r="AA616" s="149">
        <f>Tabela4[[#This Row],[VALOR]]-Tabela4[[#This Row],[PNEUS]]-Tabela4[[#This Row],[BATERIA]]</f>
        <v>1427.7</v>
      </c>
      <c r="AB616" s="19" t="s">
        <v>34</v>
      </c>
      <c r="AC616" s="30">
        <v>0</v>
      </c>
      <c r="AD616" s="162">
        <v>0</v>
      </c>
      <c r="AE616" s="162">
        <v>0</v>
      </c>
      <c r="AF616" s="162">
        <v>0</v>
      </c>
      <c r="AG616" s="162">
        <v>0</v>
      </c>
      <c r="AH616" s="162">
        <v>0</v>
      </c>
      <c r="AI616" s="162">
        <v>0</v>
      </c>
      <c r="AJ616" s="162">
        <v>0</v>
      </c>
    </row>
    <row r="617" spans="1:36" x14ac:dyDescent="0.25">
      <c r="A617" t="s">
        <v>390</v>
      </c>
      <c r="B617" t="s">
        <v>1080</v>
      </c>
      <c r="C617" s="143">
        <v>45404</v>
      </c>
      <c r="D617" s="142">
        <v>45404</v>
      </c>
      <c r="E617">
        <f>Tabela4[[#This Row],[DATA FATURAMENTO]]-Tabela4[[#This Row],[DATA ORÇAMENTO]]</f>
        <v>0</v>
      </c>
      <c r="F617">
        <v>11288</v>
      </c>
      <c r="G617" s="15" t="s">
        <v>22</v>
      </c>
      <c r="H617" s="54"/>
      <c r="I617" s="151">
        <v>377.7</v>
      </c>
      <c r="J617" s="154">
        <f>Tabela4[[#This Row],[VALOR]]-Tabela4[[#This Row],[PECAS]]</f>
        <v>260.00000000000006</v>
      </c>
      <c r="K617" s="150">
        <v>637.70000000000005</v>
      </c>
      <c r="L617" s="151">
        <v>90</v>
      </c>
      <c r="M617" s="151">
        <v>0</v>
      </c>
      <c r="N617" s="24"/>
      <c r="O617" s="151">
        <v>0</v>
      </c>
      <c r="P617" s="151">
        <v>0</v>
      </c>
      <c r="Q617" s="151">
        <v>0</v>
      </c>
      <c r="R617" s="151">
        <v>0</v>
      </c>
      <c r="S617" s="154">
        <v>170</v>
      </c>
      <c r="T617" s="151">
        <v>0</v>
      </c>
      <c r="U617" s="151">
        <v>0</v>
      </c>
      <c r="V617" s="15"/>
      <c r="W617" s="22">
        <v>4</v>
      </c>
      <c r="X617" s="149">
        <v>0</v>
      </c>
      <c r="Y617" s="15" t="s">
        <v>635</v>
      </c>
      <c r="Z617" s="151">
        <v>0</v>
      </c>
      <c r="AA617" s="149">
        <f>Tabela4[[#This Row],[VALOR]]-Tabela4[[#This Row],[PNEUS]]-Tabela4[[#This Row],[BATERIA]]</f>
        <v>637.70000000000005</v>
      </c>
      <c r="AB617" s="19" t="s">
        <v>27</v>
      </c>
      <c r="AC617" s="30">
        <v>0</v>
      </c>
      <c r="AD617" s="162">
        <v>0</v>
      </c>
      <c r="AE617" s="162">
        <v>0</v>
      </c>
      <c r="AF617" s="162">
        <v>0</v>
      </c>
      <c r="AG617" s="162">
        <v>0</v>
      </c>
      <c r="AH617" s="162">
        <v>0</v>
      </c>
      <c r="AI617" s="162">
        <v>0</v>
      </c>
      <c r="AJ617" s="162">
        <v>0</v>
      </c>
    </row>
    <row r="618" spans="1:36" x14ac:dyDescent="0.25">
      <c r="A618" t="s">
        <v>388</v>
      </c>
      <c r="B618" t="s">
        <v>994</v>
      </c>
      <c r="C618" s="143">
        <v>45404</v>
      </c>
      <c r="D618" s="142">
        <v>45404</v>
      </c>
      <c r="E618">
        <f>Tabela4[[#This Row],[DATA FATURAMENTO]]-Tabela4[[#This Row],[DATA ORÇAMENTO]]</f>
        <v>0</v>
      </c>
      <c r="F618">
        <v>11299</v>
      </c>
      <c r="G618" s="15" t="s">
        <v>6</v>
      </c>
      <c r="H618" s="54"/>
      <c r="I618" s="151">
        <v>535</v>
      </c>
      <c r="J618" s="154">
        <f>Tabela4[[#This Row],[VALOR]]-Tabela4[[#This Row],[PECAS]]</f>
        <v>9.9999999999909051E-3</v>
      </c>
      <c r="K618" s="150">
        <v>535.01</v>
      </c>
      <c r="L618" s="151">
        <v>0</v>
      </c>
      <c r="M618" s="151">
        <v>0</v>
      </c>
      <c r="N618" s="24"/>
      <c r="O618" s="151">
        <v>0</v>
      </c>
      <c r="P618" s="151">
        <v>0</v>
      </c>
      <c r="Q618" s="151">
        <v>0</v>
      </c>
      <c r="R618" s="151">
        <v>0</v>
      </c>
      <c r="S618" s="154">
        <v>0</v>
      </c>
      <c r="T618" s="151">
        <v>0</v>
      </c>
      <c r="U618" s="151">
        <v>535.01</v>
      </c>
      <c r="V618" s="15" t="s">
        <v>997</v>
      </c>
      <c r="W618" s="22">
        <v>0</v>
      </c>
      <c r="X618" s="149">
        <v>0</v>
      </c>
      <c r="Y618" s="15"/>
      <c r="Z618" s="151">
        <v>0</v>
      </c>
      <c r="AA618" s="149">
        <f>Tabela4[[#This Row],[VALOR]]-Tabela4[[#This Row],[PNEUS]]-Tabela4[[#This Row],[BATERIA]]</f>
        <v>0</v>
      </c>
      <c r="AB618" s="19" t="s">
        <v>6</v>
      </c>
      <c r="AC618" s="30">
        <v>0</v>
      </c>
      <c r="AD618" s="162">
        <v>0</v>
      </c>
      <c r="AE618" s="162">
        <v>0</v>
      </c>
      <c r="AF618" s="162">
        <v>0</v>
      </c>
      <c r="AG618" s="162">
        <v>0</v>
      </c>
      <c r="AH618" s="162">
        <v>0</v>
      </c>
      <c r="AI618" s="162">
        <v>0</v>
      </c>
      <c r="AJ618" s="162">
        <v>0</v>
      </c>
    </row>
    <row r="619" spans="1:36" x14ac:dyDescent="0.25">
      <c r="A619" t="s">
        <v>1081</v>
      </c>
      <c r="B619" t="s">
        <v>1082</v>
      </c>
      <c r="C619" s="143">
        <v>45385</v>
      </c>
      <c r="D619" s="142">
        <v>45405</v>
      </c>
      <c r="E619">
        <f>Tabela4[[#This Row],[DATA FATURAMENTO]]-Tabela4[[#This Row],[DATA ORÇAMENTO]]</f>
        <v>20</v>
      </c>
      <c r="F619">
        <v>11114</v>
      </c>
      <c r="G619" s="25" t="s">
        <v>6</v>
      </c>
      <c r="H619" s="25"/>
      <c r="I619" s="155">
        <v>533.5</v>
      </c>
      <c r="J619" s="154">
        <f>Tabela4[[#This Row],[VALOR]]-Tabela4[[#This Row],[PECAS]]</f>
        <v>9.9999999999909051E-3</v>
      </c>
      <c r="K619" s="150">
        <v>533.51</v>
      </c>
      <c r="L619" s="155">
        <v>0</v>
      </c>
      <c r="M619" s="155">
        <v>0</v>
      </c>
      <c r="N619" s="67"/>
      <c r="O619" s="155">
        <v>0</v>
      </c>
      <c r="P619" s="155">
        <v>0</v>
      </c>
      <c r="Q619" s="155">
        <v>0</v>
      </c>
      <c r="R619" s="155">
        <v>0</v>
      </c>
      <c r="S619" s="154">
        <v>0</v>
      </c>
      <c r="T619" s="155">
        <v>0</v>
      </c>
      <c r="U619" s="155">
        <v>533.51</v>
      </c>
      <c r="V619" s="25" t="s">
        <v>997</v>
      </c>
      <c r="W619" s="22">
        <v>0</v>
      </c>
      <c r="X619" s="149">
        <v>0</v>
      </c>
      <c r="Y619" s="25"/>
      <c r="Z619" s="155">
        <v>0</v>
      </c>
      <c r="AA619" s="149">
        <f>Tabela4[[#This Row],[VALOR]]-Tabela4[[#This Row],[PNEUS]]-Tabela4[[#This Row],[BATERIA]]</f>
        <v>0</v>
      </c>
      <c r="AB619" s="27" t="s">
        <v>6</v>
      </c>
      <c r="AC619" s="30">
        <v>0</v>
      </c>
      <c r="AD619" s="162">
        <v>0</v>
      </c>
      <c r="AE619" s="162">
        <v>0</v>
      </c>
      <c r="AF619" s="162">
        <v>0</v>
      </c>
      <c r="AG619" s="162">
        <v>0</v>
      </c>
      <c r="AH619" s="162">
        <v>0</v>
      </c>
      <c r="AI619" s="162">
        <v>0</v>
      </c>
      <c r="AJ619" s="162">
        <v>0</v>
      </c>
    </row>
    <row r="620" spans="1:36" x14ac:dyDescent="0.25">
      <c r="A620" t="s">
        <v>1083</v>
      </c>
      <c r="B620" t="s">
        <v>1084</v>
      </c>
      <c r="C620" s="143">
        <v>45404</v>
      </c>
      <c r="D620" s="142">
        <v>45405</v>
      </c>
      <c r="E620">
        <f>Tabela4[[#This Row],[DATA FATURAMENTO]]-Tabela4[[#This Row],[DATA ORÇAMENTO]]</f>
        <v>1</v>
      </c>
      <c r="F620">
        <v>11294</v>
      </c>
      <c r="G620" s="15" t="s">
        <v>22</v>
      </c>
      <c r="H620" s="25"/>
      <c r="I620" s="151">
        <v>5158.16</v>
      </c>
      <c r="J620" s="154">
        <f>Tabela4[[#This Row],[VALOR]]-Tabela4[[#This Row],[PECAS]]</f>
        <v>1841.8400000000001</v>
      </c>
      <c r="K620" s="150">
        <v>7000</v>
      </c>
      <c r="L620" s="151">
        <v>0</v>
      </c>
      <c r="M620" s="151">
        <f>35</f>
        <v>35</v>
      </c>
      <c r="N620" s="24"/>
      <c r="O620" s="151">
        <v>47.5</v>
      </c>
      <c r="P620" s="151">
        <f>138+67.5</f>
        <v>205.5</v>
      </c>
      <c r="Q620" s="151">
        <v>0</v>
      </c>
      <c r="R620" s="151">
        <v>0</v>
      </c>
      <c r="S620" s="154">
        <v>80</v>
      </c>
      <c r="T620" s="151">
        <v>0</v>
      </c>
      <c r="U620" s="151">
        <v>0</v>
      </c>
      <c r="V620" s="15"/>
      <c r="W620" s="22">
        <v>4</v>
      </c>
      <c r="X620" s="149">
        <v>0</v>
      </c>
      <c r="Y620" s="15" t="s">
        <v>807</v>
      </c>
      <c r="Z620" s="151">
        <v>80</v>
      </c>
      <c r="AA620" s="149">
        <f>Tabela4[[#This Row],[VALOR]]-Tabela4[[#This Row],[PNEUS]]-Tabela4[[#This Row],[BATERIA]]</f>
        <v>7000</v>
      </c>
      <c r="AB620" s="19" t="s">
        <v>34</v>
      </c>
      <c r="AC620" s="30">
        <v>0</v>
      </c>
      <c r="AD620" s="162">
        <v>0</v>
      </c>
      <c r="AE620" s="162">
        <v>0</v>
      </c>
      <c r="AF620" s="162">
        <v>0</v>
      </c>
      <c r="AG620" s="162">
        <v>0</v>
      </c>
      <c r="AH620" s="162">
        <v>0</v>
      </c>
      <c r="AI620" s="162">
        <v>0</v>
      </c>
      <c r="AJ620" s="162">
        <v>0</v>
      </c>
    </row>
    <row r="621" spans="1:36" x14ac:dyDescent="0.25">
      <c r="A621" t="s">
        <v>387</v>
      </c>
      <c r="B621" t="s">
        <v>1085</v>
      </c>
      <c r="C621" s="143">
        <v>45404</v>
      </c>
      <c r="D621" s="142">
        <v>45405</v>
      </c>
      <c r="E621">
        <f>Tabela4[[#This Row],[DATA FATURAMENTO]]-Tabela4[[#This Row],[DATA ORÇAMENTO]]</f>
        <v>1</v>
      </c>
      <c r="F621">
        <v>11293</v>
      </c>
      <c r="G621" s="15" t="s">
        <v>31</v>
      </c>
      <c r="H621" s="54"/>
      <c r="I621" s="151">
        <v>495</v>
      </c>
      <c r="J621" s="154">
        <f>Tabela4[[#This Row],[VALOR]]-Tabela4[[#This Row],[PECAS]]</f>
        <v>190</v>
      </c>
      <c r="K621" s="150">
        <v>685</v>
      </c>
      <c r="L621" s="151">
        <v>0</v>
      </c>
      <c r="M621" s="151">
        <v>0</v>
      </c>
      <c r="N621" s="24"/>
      <c r="O621" s="151">
        <v>0</v>
      </c>
      <c r="P621" s="151">
        <v>0</v>
      </c>
      <c r="Q621" s="151">
        <v>0</v>
      </c>
      <c r="R621" s="151">
        <v>0</v>
      </c>
      <c r="S621" s="154">
        <v>0</v>
      </c>
      <c r="T621" s="151">
        <v>0</v>
      </c>
      <c r="U621" s="151">
        <v>0</v>
      </c>
      <c r="V621" s="15"/>
      <c r="W621" s="22">
        <v>5</v>
      </c>
      <c r="X621" s="149">
        <v>0</v>
      </c>
      <c r="Y621" s="15" t="s">
        <v>807</v>
      </c>
      <c r="Z621" s="151">
        <v>0</v>
      </c>
      <c r="AA621" s="149">
        <f>Tabela4[[#This Row],[VALOR]]-Tabela4[[#This Row],[PNEUS]]-Tabela4[[#This Row],[BATERIA]]</f>
        <v>685</v>
      </c>
      <c r="AB621" s="19" t="s">
        <v>27</v>
      </c>
      <c r="AC621" s="30">
        <v>0</v>
      </c>
      <c r="AD621" s="162">
        <v>0</v>
      </c>
      <c r="AE621" s="162">
        <v>0</v>
      </c>
      <c r="AF621" s="162">
        <v>0</v>
      </c>
      <c r="AG621" s="162">
        <v>0</v>
      </c>
      <c r="AH621" s="162">
        <v>0</v>
      </c>
      <c r="AI621" s="162">
        <v>0</v>
      </c>
      <c r="AJ621" s="162">
        <v>0</v>
      </c>
    </row>
    <row r="622" spans="1:36" x14ac:dyDescent="0.25">
      <c r="A622" t="s">
        <v>368</v>
      </c>
      <c r="B622" t="s">
        <v>854</v>
      </c>
      <c r="C622" s="143">
        <v>45399</v>
      </c>
      <c r="D622" s="142">
        <v>45406</v>
      </c>
      <c r="E622">
        <f>Tabela4[[#This Row],[DATA FATURAMENTO]]-Tabela4[[#This Row],[DATA ORÇAMENTO]]</f>
        <v>7</v>
      </c>
      <c r="F622">
        <v>11250</v>
      </c>
      <c r="G622" s="25" t="s">
        <v>28</v>
      </c>
      <c r="H622" s="25"/>
      <c r="I622" s="155">
        <v>717.7</v>
      </c>
      <c r="J622" s="154">
        <f>Tabela4[[#This Row],[VALOR]]-Tabela4[[#This Row],[PECAS]]</f>
        <v>585.39999999999986</v>
      </c>
      <c r="K622" s="150">
        <v>1303.0999999999999</v>
      </c>
      <c r="L622" s="155">
        <v>0</v>
      </c>
      <c r="M622" s="155">
        <v>0</v>
      </c>
      <c r="N622" s="67"/>
      <c r="O622" s="155">
        <v>0</v>
      </c>
      <c r="P622" s="155">
        <v>0</v>
      </c>
      <c r="Q622" s="155">
        <v>0</v>
      </c>
      <c r="R622" s="155">
        <v>0</v>
      </c>
      <c r="S622" s="154">
        <v>57</v>
      </c>
      <c r="T622" s="155">
        <v>0</v>
      </c>
      <c r="U622" s="155">
        <v>0</v>
      </c>
      <c r="V622" s="25"/>
      <c r="W622" s="28">
        <v>3</v>
      </c>
      <c r="X622" s="149">
        <v>0</v>
      </c>
      <c r="Y622" s="25" t="s">
        <v>654</v>
      </c>
      <c r="Z622" s="155">
        <v>0</v>
      </c>
      <c r="AA622" s="149">
        <f>Tabela4[[#This Row],[VALOR]]-Tabela4[[#This Row],[PNEUS]]-Tabela4[[#This Row],[BATERIA]]</f>
        <v>1303.0999999999999</v>
      </c>
      <c r="AB622" s="27" t="s">
        <v>34</v>
      </c>
      <c r="AC622" s="30">
        <v>0</v>
      </c>
      <c r="AD622" s="162">
        <v>0</v>
      </c>
      <c r="AE622" s="162">
        <v>0</v>
      </c>
      <c r="AF622" s="162">
        <v>0</v>
      </c>
      <c r="AG622" s="162">
        <v>0</v>
      </c>
      <c r="AH622" s="162">
        <v>0</v>
      </c>
      <c r="AI622" s="162">
        <v>0</v>
      </c>
      <c r="AJ622" s="162">
        <v>0</v>
      </c>
    </row>
    <row r="623" spans="1:36" x14ac:dyDescent="0.25">
      <c r="A623" t="s">
        <v>383</v>
      </c>
      <c r="B623" t="s">
        <v>909</v>
      </c>
      <c r="C623" s="143">
        <v>45400</v>
      </c>
      <c r="D623" s="142">
        <v>45406</v>
      </c>
      <c r="E623">
        <f>Tabela4[[#This Row],[DATA FATURAMENTO]]-Tabela4[[#This Row],[DATA ORÇAMENTO]]</f>
        <v>6</v>
      </c>
      <c r="F623">
        <v>11268</v>
      </c>
      <c r="G623" s="15" t="s">
        <v>25</v>
      </c>
      <c r="H623" s="25"/>
      <c r="I623" s="151">
        <v>560</v>
      </c>
      <c r="J623" s="154">
        <f>Tabela4[[#This Row],[VALOR]]-Tabela4[[#This Row],[PECAS]]</f>
        <v>16</v>
      </c>
      <c r="K623" s="150">
        <v>576</v>
      </c>
      <c r="L623" s="151">
        <v>0</v>
      </c>
      <c r="M623" s="151">
        <v>0</v>
      </c>
      <c r="N623" s="24"/>
      <c r="O623" s="151">
        <v>0</v>
      </c>
      <c r="P623" s="151">
        <v>0</v>
      </c>
      <c r="Q623" s="151">
        <v>0</v>
      </c>
      <c r="R623" s="151">
        <v>0</v>
      </c>
      <c r="S623" s="154">
        <v>0</v>
      </c>
      <c r="T623" s="151">
        <v>0</v>
      </c>
      <c r="U623" s="151">
        <v>560</v>
      </c>
      <c r="V623" s="15"/>
      <c r="W623" s="22">
        <v>0</v>
      </c>
      <c r="X623" s="149">
        <v>0</v>
      </c>
      <c r="Y623" s="15"/>
      <c r="Z623" s="151">
        <v>0</v>
      </c>
      <c r="AA623" s="149">
        <f>Tabela4[[#This Row],[VALOR]]-Tabela4[[#This Row],[PNEUS]]-Tabela4[[#This Row],[BATERIA]]</f>
        <v>16</v>
      </c>
      <c r="AB623" s="19" t="s">
        <v>24</v>
      </c>
      <c r="AC623" s="30">
        <v>0</v>
      </c>
      <c r="AD623" s="162">
        <v>0</v>
      </c>
      <c r="AE623" s="162">
        <v>0</v>
      </c>
      <c r="AF623" s="162">
        <v>0</v>
      </c>
      <c r="AG623" s="162">
        <v>0</v>
      </c>
      <c r="AH623" s="162">
        <v>0</v>
      </c>
      <c r="AI623" s="162">
        <v>0</v>
      </c>
      <c r="AJ623" s="162">
        <v>0</v>
      </c>
    </row>
    <row r="624" spans="1:36" x14ac:dyDescent="0.25">
      <c r="A624" t="s">
        <v>382</v>
      </c>
      <c r="B624" t="s">
        <v>1086</v>
      </c>
      <c r="C624" s="143">
        <v>45404</v>
      </c>
      <c r="D624" s="142">
        <v>45406</v>
      </c>
      <c r="E624">
        <f>Tabela4[[#This Row],[DATA FATURAMENTO]]-Tabela4[[#This Row],[DATA ORÇAMENTO]]</f>
        <v>2</v>
      </c>
      <c r="F624">
        <v>11298</v>
      </c>
      <c r="G624" s="15" t="s">
        <v>35</v>
      </c>
      <c r="H624" s="54"/>
      <c r="I624" s="151">
        <v>3130</v>
      </c>
      <c r="J624" s="154">
        <f>Tabela4[[#This Row],[VALOR]]-Tabela4[[#This Row],[PECAS]]</f>
        <v>870</v>
      </c>
      <c r="K624" s="150">
        <v>4000</v>
      </c>
      <c r="L624" s="151">
        <v>0</v>
      </c>
      <c r="M624" s="151">
        <v>0</v>
      </c>
      <c r="N624" s="24"/>
      <c r="O624" s="151">
        <v>0</v>
      </c>
      <c r="P624" s="151">
        <v>0</v>
      </c>
      <c r="Q624" s="151">
        <v>0</v>
      </c>
      <c r="R624" s="151">
        <v>0</v>
      </c>
      <c r="S624" s="154">
        <v>0</v>
      </c>
      <c r="T624" s="151">
        <v>0</v>
      </c>
      <c r="U624" s="151">
        <v>0</v>
      </c>
      <c r="V624" s="15"/>
      <c r="W624" s="22">
        <v>0</v>
      </c>
      <c r="X624" s="149">
        <v>0</v>
      </c>
      <c r="Y624" s="15"/>
      <c r="Z624" s="151">
        <v>0</v>
      </c>
      <c r="AA624" s="149">
        <f>Tabela4[[#This Row],[VALOR]]-Tabela4[[#This Row],[PNEUS]]-Tabela4[[#This Row],[BATERIA]]</f>
        <v>4000</v>
      </c>
      <c r="AB624" s="19" t="s">
        <v>24</v>
      </c>
      <c r="AC624" s="30">
        <v>0</v>
      </c>
      <c r="AD624" s="162">
        <v>0</v>
      </c>
      <c r="AE624" s="162">
        <v>0</v>
      </c>
      <c r="AF624" s="162">
        <v>0</v>
      </c>
      <c r="AG624" s="162">
        <v>0</v>
      </c>
      <c r="AH624" s="162">
        <v>0</v>
      </c>
      <c r="AI624" s="162">
        <v>0</v>
      </c>
      <c r="AJ624" s="162">
        <v>0</v>
      </c>
    </row>
    <row r="625" spans="1:36" x14ac:dyDescent="0.25">
      <c r="A625" t="s">
        <v>389</v>
      </c>
      <c r="B625" t="s">
        <v>876</v>
      </c>
      <c r="C625" s="143">
        <v>45404</v>
      </c>
      <c r="D625" s="142">
        <v>45406</v>
      </c>
      <c r="E625">
        <f>Tabela4[[#This Row],[DATA FATURAMENTO]]-Tabela4[[#This Row],[DATA ORÇAMENTO]]</f>
        <v>2</v>
      </c>
      <c r="F625">
        <v>11290</v>
      </c>
      <c r="G625" s="15" t="s">
        <v>35</v>
      </c>
      <c r="H625" s="54"/>
      <c r="I625" s="151">
        <v>357.3</v>
      </c>
      <c r="J625" s="154">
        <f>Tabela4[[#This Row],[VALOR]]-Tabela4[[#This Row],[PECAS]]</f>
        <v>422.7</v>
      </c>
      <c r="K625" s="150">
        <v>780</v>
      </c>
      <c r="L625" s="151">
        <v>0</v>
      </c>
      <c r="M625" s="151">
        <v>0</v>
      </c>
      <c r="N625" s="24"/>
      <c r="O625" s="151">
        <v>0</v>
      </c>
      <c r="P625" s="151">
        <v>0</v>
      </c>
      <c r="Q625" s="151">
        <v>0</v>
      </c>
      <c r="R625" s="151">
        <v>0</v>
      </c>
      <c r="S625" s="154">
        <v>0</v>
      </c>
      <c r="T625" s="151">
        <v>0</v>
      </c>
      <c r="U625" s="151">
        <v>0</v>
      </c>
      <c r="V625" s="15"/>
      <c r="W625" s="22">
        <v>0</v>
      </c>
      <c r="X625" s="149">
        <v>0</v>
      </c>
      <c r="Y625" s="15"/>
      <c r="Z625" s="151">
        <v>0</v>
      </c>
      <c r="AA625" s="149">
        <f>Tabela4[[#This Row],[VALOR]]-Tabela4[[#This Row],[PNEUS]]-Tabela4[[#This Row],[BATERIA]]</f>
        <v>780</v>
      </c>
      <c r="AB625" s="19" t="s">
        <v>27</v>
      </c>
      <c r="AC625" s="30">
        <v>0</v>
      </c>
      <c r="AD625" s="162">
        <v>0</v>
      </c>
      <c r="AE625" s="162">
        <v>0</v>
      </c>
      <c r="AF625" s="162">
        <v>0</v>
      </c>
      <c r="AG625" s="162">
        <v>0</v>
      </c>
      <c r="AH625" s="162">
        <v>0</v>
      </c>
      <c r="AI625" s="162">
        <v>0</v>
      </c>
      <c r="AJ625" s="162">
        <v>0</v>
      </c>
    </row>
    <row r="626" spans="1:36" x14ac:dyDescent="0.25">
      <c r="A626" t="s">
        <v>393</v>
      </c>
      <c r="B626" t="s">
        <v>898</v>
      </c>
      <c r="C626" s="143">
        <v>45405</v>
      </c>
      <c r="D626" s="142">
        <v>45406</v>
      </c>
      <c r="E626">
        <f>Tabela4[[#This Row],[DATA FATURAMENTO]]-Tabela4[[#This Row],[DATA ORÇAMENTO]]</f>
        <v>1</v>
      </c>
      <c r="F626">
        <v>11303</v>
      </c>
      <c r="G626" s="15" t="s">
        <v>22</v>
      </c>
      <c r="H626" s="54"/>
      <c r="I626" s="151">
        <v>585</v>
      </c>
      <c r="J626" s="154">
        <f>Tabela4[[#This Row],[VALOR]]-Tabela4[[#This Row],[PECAS]]</f>
        <v>130</v>
      </c>
      <c r="K626" s="150">
        <v>715</v>
      </c>
      <c r="L626" s="151">
        <v>0</v>
      </c>
      <c r="M626" s="151">
        <v>0</v>
      </c>
      <c r="N626" s="24"/>
      <c r="O626" s="151">
        <v>0</v>
      </c>
      <c r="P626" s="151">
        <v>0</v>
      </c>
      <c r="Q626" s="151">
        <v>0</v>
      </c>
      <c r="R626" s="151">
        <v>0</v>
      </c>
      <c r="S626" s="154">
        <v>130</v>
      </c>
      <c r="T626" s="151">
        <v>0</v>
      </c>
      <c r="U626" s="151">
        <v>585</v>
      </c>
      <c r="V626" s="15" t="s">
        <v>1087</v>
      </c>
      <c r="W626" s="22">
        <v>0</v>
      </c>
      <c r="X626" s="149">
        <v>0</v>
      </c>
      <c r="Y626" s="15"/>
      <c r="Z626" s="151">
        <v>130</v>
      </c>
      <c r="AA626" s="149">
        <f>Tabela4[[#This Row],[VALOR]]-Tabela4[[#This Row],[PNEUS]]-Tabela4[[#This Row],[BATERIA]]</f>
        <v>130</v>
      </c>
      <c r="AB626" s="19" t="s">
        <v>38</v>
      </c>
      <c r="AC626" s="30">
        <v>0</v>
      </c>
      <c r="AD626" s="162">
        <v>0</v>
      </c>
      <c r="AE626" s="162">
        <v>0</v>
      </c>
      <c r="AF626" s="162">
        <v>0</v>
      </c>
      <c r="AG626" s="162">
        <v>0</v>
      </c>
      <c r="AH626" s="162">
        <v>0</v>
      </c>
      <c r="AI626" s="162">
        <v>0</v>
      </c>
      <c r="AJ626" s="162">
        <v>0</v>
      </c>
    </row>
    <row r="627" spans="1:36" x14ac:dyDescent="0.25">
      <c r="A627" t="s">
        <v>394</v>
      </c>
      <c r="B627" t="s">
        <v>915</v>
      </c>
      <c r="C627" s="143">
        <v>45405</v>
      </c>
      <c r="D627" s="142">
        <v>45406</v>
      </c>
      <c r="E627">
        <f>Tabela4[[#This Row],[DATA FATURAMENTO]]-Tabela4[[#This Row],[DATA ORÇAMENTO]]</f>
        <v>1</v>
      </c>
      <c r="F627">
        <v>11305</v>
      </c>
      <c r="G627" s="15" t="s">
        <v>35</v>
      </c>
      <c r="H627" s="54"/>
      <c r="I627" s="151">
        <v>1155</v>
      </c>
      <c r="J627" s="154">
        <f>Tabela4[[#This Row],[VALOR]]-Tabela4[[#This Row],[PECAS]]</f>
        <v>995</v>
      </c>
      <c r="K627" s="150">
        <v>2150</v>
      </c>
      <c r="L627" s="151">
        <v>0</v>
      </c>
      <c r="M627" s="151">
        <v>0</v>
      </c>
      <c r="N627" s="24"/>
      <c r="O627" s="151">
        <v>270</v>
      </c>
      <c r="P627" s="151">
        <v>0</v>
      </c>
      <c r="Q627" s="151">
        <v>0</v>
      </c>
      <c r="R627" s="151">
        <v>0</v>
      </c>
      <c r="S627" s="154">
        <v>165</v>
      </c>
      <c r="T627" s="151">
        <v>0</v>
      </c>
      <c r="U627" s="151">
        <v>0</v>
      </c>
      <c r="V627" s="15"/>
      <c r="W627" s="22">
        <v>0</v>
      </c>
      <c r="X627" s="149">
        <v>0</v>
      </c>
      <c r="Y627" s="15"/>
      <c r="Z627" s="151">
        <v>165</v>
      </c>
      <c r="AA627" s="149">
        <f>Tabela4[[#This Row],[VALOR]]-Tabela4[[#This Row],[PNEUS]]-Tabela4[[#This Row],[BATERIA]]</f>
        <v>2150</v>
      </c>
      <c r="AB627" s="19" t="s">
        <v>24</v>
      </c>
      <c r="AC627" s="30">
        <v>0</v>
      </c>
      <c r="AD627" s="162">
        <v>0</v>
      </c>
      <c r="AE627" s="162">
        <v>0</v>
      </c>
      <c r="AF627" s="162">
        <v>0</v>
      </c>
      <c r="AG627" s="162">
        <v>0</v>
      </c>
      <c r="AH627" s="162">
        <v>0</v>
      </c>
      <c r="AI627" s="162">
        <v>0</v>
      </c>
      <c r="AJ627" s="162">
        <v>0</v>
      </c>
    </row>
    <row r="628" spans="1:36" x14ac:dyDescent="0.25">
      <c r="A628" t="s">
        <v>1088</v>
      </c>
      <c r="B628" t="s">
        <v>981</v>
      </c>
      <c r="C628" s="143">
        <v>45406</v>
      </c>
      <c r="D628" s="142">
        <v>45406</v>
      </c>
      <c r="E628">
        <f>Tabela4[[#This Row],[DATA FATURAMENTO]]-Tabela4[[#This Row],[DATA ORÇAMENTO]]</f>
        <v>0</v>
      </c>
      <c r="F628">
        <v>11312</v>
      </c>
      <c r="G628" s="15" t="s">
        <v>6</v>
      </c>
      <c r="H628" s="54"/>
      <c r="I628" s="151">
        <v>530</v>
      </c>
      <c r="J628" s="154">
        <f>Tabela4[[#This Row],[VALOR]]-Tabela4[[#This Row],[PECAS]]</f>
        <v>9.9999999999909051E-3</v>
      </c>
      <c r="K628" s="150">
        <v>530.01</v>
      </c>
      <c r="L628" s="151">
        <v>0</v>
      </c>
      <c r="M628" s="151">
        <v>0</v>
      </c>
      <c r="N628" s="24"/>
      <c r="O628" s="151">
        <v>0</v>
      </c>
      <c r="P628" s="151">
        <v>0</v>
      </c>
      <c r="Q628" s="151">
        <v>0</v>
      </c>
      <c r="R628" s="151">
        <v>0</v>
      </c>
      <c r="S628" s="154">
        <v>0</v>
      </c>
      <c r="T628" s="151">
        <v>0</v>
      </c>
      <c r="U628" s="151">
        <v>530.01</v>
      </c>
      <c r="V628" s="15" t="s">
        <v>884</v>
      </c>
      <c r="W628" s="22">
        <v>0</v>
      </c>
      <c r="X628" s="149">
        <v>0</v>
      </c>
      <c r="Y628" s="15"/>
      <c r="Z628" s="151">
        <v>0</v>
      </c>
      <c r="AA628" s="149">
        <f>Tabela4[[#This Row],[VALOR]]-Tabela4[[#This Row],[PNEUS]]-Tabela4[[#This Row],[BATERIA]]</f>
        <v>0</v>
      </c>
      <c r="AB628" s="19" t="s">
        <v>6</v>
      </c>
      <c r="AC628" s="30">
        <v>0</v>
      </c>
      <c r="AD628" s="162">
        <v>0</v>
      </c>
      <c r="AE628" s="162">
        <v>0</v>
      </c>
      <c r="AF628" s="162">
        <v>0</v>
      </c>
      <c r="AG628" s="162">
        <v>0</v>
      </c>
      <c r="AH628" s="162">
        <v>0</v>
      </c>
      <c r="AI628" s="162">
        <v>0</v>
      </c>
      <c r="AJ628" s="162">
        <v>0</v>
      </c>
    </row>
    <row r="629" spans="1:36" x14ac:dyDescent="0.25">
      <c r="A629" t="s">
        <v>1089</v>
      </c>
      <c r="B629" t="s">
        <v>885</v>
      </c>
      <c r="C629" s="143">
        <v>45406</v>
      </c>
      <c r="D629" s="142">
        <v>45406</v>
      </c>
      <c r="E629">
        <f>Tabela4[[#This Row],[DATA FATURAMENTO]]-Tabela4[[#This Row],[DATA ORÇAMENTO]]</f>
        <v>0</v>
      </c>
      <c r="F629">
        <v>11313</v>
      </c>
      <c r="G629" s="15" t="s">
        <v>6</v>
      </c>
      <c r="H629" s="54"/>
      <c r="I629" s="151">
        <v>530</v>
      </c>
      <c r="J629" s="154">
        <f>Tabela4[[#This Row],[VALOR]]-Tabela4[[#This Row],[PECAS]]</f>
        <v>9.9999999999909051E-3</v>
      </c>
      <c r="K629" s="150">
        <v>530.01</v>
      </c>
      <c r="L629" s="151">
        <v>0</v>
      </c>
      <c r="M629" s="151">
        <v>0</v>
      </c>
      <c r="N629" s="24"/>
      <c r="O629" s="151">
        <v>0</v>
      </c>
      <c r="P629" s="151">
        <v>0</v>
      </c>
      <c r="Q629" s="151">
        <v>0</v>
      </c>
      <c r="R629" s="151">
        <v>0</v>
      </c>
      <c r="S629" s="154">
        <v>0</v>
      </c>
      <c r="T629" s="151">
        <v>0</v>
      </c>
      <c r="U629" s="151">
        <v>530.01</v>
      </c>
      <c r="V629" s="15" t="s">
        <v>884</v>
      </c>
      <c r="W629" s="22">
        <v>0</v>
      </c>
      <c r="X629" s="149">
        <v>0</v>
      </c>
      <c r="Y629" s="15"/>
      <c r="Z629" s="151">
        <v>0</v>
      </c>
      <c r="AA629" s="149">
        <f>Tabela4[[#This Row],[VALOR]]-Tabela4[[#This Row],[PNEUS]]-Tabela4[[#This Row],[BATERIA]]</f>
        <v>0</v>
      </c>
      <c r="AB629" s="19" t="s">
        <v>6</v>
      </c>
      <c r="AC629" s="30">
        <v>0</v>
      </c>
      <c r="AD629" s="162">
        <v>0</v>
      </c>
      <c r="AE629" s="162">
        <v>0</v>
      </c>
      <c r="AF629" s="162">
        <v>0</v>
      </c>
      <c r="AG629" s="162">
        <v>0</v>
      </c>
      <c r="AH629" s="162">
        <v>0</v>
      </c>
      <c r="AI629" s="162">
        <v>0</v>
      </c>
      <c r="AJ629" s="162">
        <v>0</v>
      </c>
    </row>
    <row r="630" spans="1:36" x14ac:dyDescent="0.25">
      <c r="A630" t="s">
        <v>1090</v>
      </c>
      <c r="B630" t="s">
        <v>1091</v>
      </c>
      <c r="C630" s="143">
        <v>45406</v>
      </c>
      <c r="D630" s="142">
        <v>45406</v>
      </c>
      <c r="E630">
        <f>Tabela4[[#This Row],[DATA FATURAMENTO]]-Tabela4[[#This Row],[DATA ORÇAMENTO]]</f>
        <v>0</v>
      </c>
      <c r="F630">
        <v>11314</v>
      </c>
      <c r="G630" s="15" t="s">
        <v>6</v>
      </c>
      <c r="H630" s="54"/>
      <c r="I630" s="151">
        <v>535</v>
      </c>
      <c r="J630" s="154">
        <f>Tabela4[[#This Row],[VALOR]]-Tabela4[[#This Row],[PECAS]]</f>
        <v>9.9999999999909051E-3</v>
      </c>
      <c r="K630" s="150">
        <v>535.01</v>
      </c>
      <c r="L630" s="151">
        <v>0</v>
      </c>
      <c r="M630" s="151">
        <v>0</v>
      </c>
      <c r="N630" s="24"/>
      <c r="O630" s="151">
        <v>0</v>
      </c>
      <c r="P630" s="151">
        <v>0</v>
      </c>
      <c r="Q630" s="151">
        <v>0</v>
      </c>
      <c r="R630" s="151">
        <v>0</v>
      </c>
      <c r="S630" s="154">
        <v>0</v>
      </c>
      <c r="T630" s="151">
        <v>0</v>
      </c>
      <c r="U630" s="151">
        <v>535.01</v>
      </c>
      <c r="V630" s="15" t="s">
        <v>997</v>
      </c>
      <c r="W630" s="22">
        <v>0</v>
      </c>
      <c r="X630" s="149">
        <v>0</v>
      </c>
      <c r="Y630" s="15"/>
      <c r="Z630" s="151">
        <v>0</v>
      </c>
      <c r="AA630" s="149">
        <f>Tabela4[[#This Row],[VALOR]]-Tabela4[[#This Row],[PNEUS]]-Tabela4[[#This Row],[BATERIA]]</f>
        <v>0</v>
      </c>
      <c r="AB630" s="19" t="s">
        <v>6</v>
      </c>
      <c r="AC630" s="30">
        <v>0</v>
      </c>
      <c r="AD630" s="162">
        <v>0</v>
      </c>
      <c r="AE630" s="162">
        <v>0</v>
      </c>
      <c r="AF630" s="162">
        <v>0</v>
      </c>
      <c r="AG630" s="162">
        <v>0</v>
      </c>
      <c r="AH630" s="162">
        <v>0</v>
      </c>
      <c r="AI630" s="162">
        <v>0</v>
      </c>
      <c r="AJ630" s="162">
        <v>0</v>
      </c>
    </row>
    <row r="631" spans="1:36" x14ac:dyDescent="0.25">
      <c r="A631" t="s">
        <v>1092</v>
      </c>
      <c r="B631" t="s">
        <v>1046</v>
      </c>
      <c r="C631" s="143">
        <v>45406</v>
      </c>
      <c r="D631" s="142">
        <v>45406</v>
      </c>
      <c r="E631">
        <f>Tabela4[[#This Row],[DATA FATURAMENTO]]-Tabela4[[#This Row],[DATA ORÇAMENTO]]</f>
        <v>0</v>
      </c>
      <c r="F631">
        <v>11315</v>
      </c>
      <c r="G631" s="15" t="s">
        <v>6</v>
      </c>
      <c r="H631" s="54"/>
      <c r="I631" s="151">
        <v>535</v>
      </c>
      <c r="J631" s="154">
        <f>Tabela4[[#This Row],[VALOR]]-Tabela4[[#This Row],[PECAS]]</f>
        <v>9.9999999999909051E-3</v>
      </c>
      <c r="K631" s="150">
        <v>535.01</v>
      </c>
      <c r="L631" s="151">
        <v>0</v>
      </c>
      <c r="M631" s="151">
        <v>0</v>
      </c>
      <c r="N631" s="24"/>
      <c r="O631" s="151">
        <v>0</v>
      </c>
      <c r="P631" s="151">
        <v>0</v>
      </c>
      <c r="Q631" s="151">
        <v>0</v>
      </c>
      <c r="R631" s="151">
        <v>0</v>
      </c>
      <c r="S631" s="154">
        <v>0</v>
      </c>
      <c r="T631" s="151">
        <v>0</v>
      </c>
      <c r="U631" s="151">
        <v>535.01</v>
      </c>
      <c r="V631" s="15" t="s">
        <v>997</v>
      </c>
      <c r="W631" s="22">
        <v>0</v>
      </c>
      <c r="X631" s="149">
        <v>0</v>
      </c>
      <c r="Y631" s="15"/>
      <c r="Z631" s="151">
        <v>0</v>
      </c>
      <c r="AA631" s="149">
        <f>Tabela4[[#This Row],[VALOR]]-Tabela4[[#This Row],[PNEUS]]-Tabela4[[#This Row],[BATERIA]]</f>
        <v>0</v>
      </c>
      <c r="AB631" s="19" t="s">
        <v>6</v>
      </c>
      <c r="AC631" s="30">
        <v>0</v>
      </c>
      <c r="AD631" s="162">
        <v>0</v>
      </c>
      <c r="AE631" s="162">
        <v>0</v>
      </c>
      <c r="AF631" s="162">
        <v>0</v>
      </c>
      <c r="AG631" s="162">
        <v>0</v>
      </c>
      <c r="AH631" s="162">
        <v>0</v>
      </c>
      <c r="AI631" s="162">
        <v>0</v>
      </c>
      <c r="AJ631" s="162">
        <v>0</v>
      </c>
    </row>
    <row r="632" spans="1:36" x14ac:dyDescent="0.25">
      <c r="A632" t="s">
        <v>395</v>
      </c>
      <c r="B632" t="s">
        <v>887</v>
      </c>
      <c r="C632" s="143">
        <v>45406</v>
      </c>
      <c r="D632" s="142">
        <v>45406</v>
      </c>
      <c r="E632">
        <f>Tabela4[[#This Row],[DATA FATURAMENTO]]-Tabela4[[#This Row],[DATA ORÇAMENTO]]</f>
        <v>0</v>
      </c>
      <c r="F632">
        <v>11316</v>
      </c>
      <c r="G632" s="15" t="s">
        <v>31</v>
      </c>
      <c r="H632" s="54"/>
      <c r="I632" s="151">
        <v>507</v>
      </c>
      <c r="J632" s="154">
        <f>Tabela4[[#This Row],[VALOR]]-Tabela4[[#This Row],[PECAS]]</f>
        <v>560</v>
      </c>
      <c r="K632" s="150">
        <v>1067</v>
      </c>
      <c r="L632" s="151">
        <v>0</v>
      </c>
      <c r="M632" s="151">
        <v>0</v>
      </c>
      <c r="N632" s="24"/>
      <c r="O632" s="151">
        <v>0</v>
      </c>
      <c r="P632" s="151">
        <v>0</v>
      </c>
      <c r="Q632" s="151">
        <v>0</v>
      </c>
      <c r="R632" s="151">
        <v>0</v>
      </c>
      <c r="S632" s="154">
        <v>270</v>
      </c>
      <c r="T632" s="151">
        <v>0</v>
      </c>
      <c r="U632" s="151">
        <v>0</v>
      </c>
      <c r="V632" s="15"/>
      <c r="W632" s="22">
        <v>4</v>
      </c>
      <c r="X632" s="149">
        <v>0</v>
      </c>
      <c r="Y632" s="15" t="s">
        <v>807</v>
      </c>
      <c r="Z632" s="151">
        <v>270</v>
      </c>
      <c r="AA632" s="149">
        <f>Tabela4[[#This Row],[VALOR]]-Tabela4[[#This Row],[PNEUS]]-Tabela4[[#This Row],[BATERIA]]</f>
        <v>1067</v>
      </c>
      <c r="AB632" s="19" t="s">
        <v>32</v>
      </c>
      <c r="AC632" s="30">
        <v>0</v>
      </c>
      <c r="AD632" s="162">
        <v>0</v>
      </c>
      <c r="AE632" s="162">
        <v>0</v>
      </c>
      <c r="AF632" s="162">
        <v>0</v>
      </c>
      <c r="AG632" s="162">
        <v>0</v>
      </c>
      <c r="AH632" s="162">
        <v>0</v>
      </c>
      <c r="AI632" s="162">
        <v>0</v>
      </c>
      <c r="AJ632" s="162">
        <v>0</v>
      </c>
    </row>
    <row r="633" spans="1:36" x14ac:dyDescent="0.25">
      <c r="A633" t="s">
        <v>1093</v>
      </c>
      <c r="B633" t="s">
        <v>1094</v>
      </c>
      <c r="C633" s="143">
        <v>45406</v>
      </c>
      <c r="D633" s="142">
        <v>45406</v>
      </c>
      <c r="E633">
        <f>Tabela4[[#This Row],[DATA FATURAMENTO]]-Tabela4[[#This Row],[DATA ORÇAMENTO]]</f>
        <v>0</v>
      </c>
      <c r="F633">
        <v>11318</v>
      </c>
      <c r="G633" s="15" t="s">
        <v>31</v>
      </c>
      <c r="H633" s="54"/>
      <c r="I633" s="151">
        <v>60</v>
      </c>
      <c r="J633" s="154">
        <f>Tabela4[[#This Row],[VALOR]]-Tabela4[[#This Row],[PECAS]]</f>
        <v>0</v>
      </c>
      <c r="K633" s="150">
        <v>60</v>
      </c>
      <c r="L633" s="151">
        <v>0</v>
      </c>
      <c r="M633" s="151">
        <v>0</v>
      </c>
      <c r="N633" s="24"/>
      <c r="O633" s="151">
        <v>0</v>
      </c>
      <c r="P633" s="151">
        <v>0</v>
      </c>
      <c r="Q633" s="151">
        <v>0</v>
      </c>
      <c r="R633" s="151">
        <v>0</v>
      </c>
      <c r="S633" s="154">
        <v>0</v>
      </c>
      <c r="T633" s="151">
        <v>0</v>
      </c>
      <c r="U633" s="151">
        <v>0</v>
      </c>
      <c r="V633" s="15"/>
      <c r="W633" s="22">
        <v>0</v>
      </c>
      <c r="X633" s="149">
        <v>0</v>
      </c>
      <c r="Y633" s="15"/>
      <c r="Z633" s="151">
        <v>0</v>
      </c>
      <c r="AA633" s="149">
        <f>Tabela4[[#This Row],[VALOR]]-Tabela4[[#This Row],[PNEUS]]-Tabela4[[#This Row],[BATERIA]]</f>
        <v>60</v>
      </c>
      <c r="AB633" s="19" t="s">
        <v>38</v>
      </c>
      <c r="AC633" s="30">
        <v>0</v>
      </c>
      <c r="AD633" s="162">
        <v>0</v>
      </c>
      <c r="AE633" s="162">
        <v>0</v>
      </c>
      <c r="AF633" s="162">
        <v>0</v>
      </c>
      <c r="AG633" s="162">
        <v>0</v>
      </c>
      <c r="AH633" s="162">
        <v>0</v>
      </c>
      <c r="AI633" s="162">
        <v>0</v>
      </c>
      <c r="AJ633" s="162">
        <v>0</v>
      </c>
    </row>
    <row r="634" spans="1:36" x14ac:dyDescent="0.25">
      <c r="A634" t="s">
        <v>1095</v>
      </c>
      <c r="B634" t="s">
        <v>1096</v>
      </c>
      <c r="C634" s="143">
        <v>45406</v>
      </c>
      <c r="D634" s="142">
        <v>45406</v>
      </c>
      <c r="E634">
        <f>Tabela4[[#This Row],[DATA FATURAMENTO]]-Tabela4[[#This Row],[DATA ORÇAMENTO]]</f>
        <v>0</v>
      </c>
      <c r="F634">
        <v>11319</v>
      </c>
      <c r="G634" s="15" t="s">
        <v>22</v>
      </c>
      <c r="H634" s="54"/>
      <c r="I634" s="151">
        <v>50</v>
      </c>
      <c r="J634" s="154">
        <f>Tabela4[[#This Row],[VALOR]]-Tabela4[[#This Row],[PECAS]]</f>
        <v>0</v>
      </c>
      <c r="K634" s="150">
        <v>50</v>
      </c>
      <c r="L634" s="151">
        <v>0</v>
      </c>
      <c r="M634" s="151">
        <v>0</v>
      </c>
      <c r="N634" s="24"/>
      <c r="O634" s="151">
        <v>0</v>
      </c>
      <c r="P634" s="151">
        <v>0</v>
      </c>
      <c r="Q634" s="151">
        <v>0</v>
      </c>
      <c r="R634" s="151">
        <v>0</v>
      </c>
      <c r="S634" s="154">
        <v>0</v>
      </c>
      <c r="T634" s="151">
        <v>0</v>
      </c>
      <c r="U634" s="151">
        <v>0</v>
      </c>
      <c r="V634" s="15"/>
      <c r="W634" s="22">
        <v>0</v>
      </c>
      <c r="X634" s="149">
        <v>0</v>
      </c>
      <c r="Y634" s="15"/>
      <c r="Z634" s="151">
        <v>0</v>
      </c>
      <c r="AA634" s="149">
        <f>Tabela4[[#This Row],[VALOR]]-Tabela4[[#This Row],[PNEUS]]-Tabela4[[#This Row],[BATERIA]]</f>
        <v>50</v>
      </c>
      <c r="AB634" s="19" t="s">
        <v>38</v>
      </c>
      <c r="AC634" s="30">
        <v>0</v>
      </c>
      <c r="AD634" s="162">
        <v>0</v>
      </c>
      <c r="AE634" s="162">
        <v>0</v>
      </c>
      <c r="AF634" s="162">
        <v>0</v>
      </c>
      <c r="AG634" s="162">
        <v>0</v>
      </c>
      <c r="AH634" s="162">
        <v>0</v>
      </c>
      <c r="AI634" s="162">
        <v>0</v>
      </c>
      <c r="AJ634" s="162">
        <v>0</v>
      </c>
    </row>
    <row r="635" spans="1:36" x14ac:dyDescent="0.25">
      <c r="A635" t="s">
        <v>378</v>
      </c>
      <c r="B635" t="s">
        <v>996</v>
      </c>
      <c r="C635" s="143">
        <v>45400</v>
      </c>
      <c r="D635" s="142">
        <v>45408</v>
      </c>
      <c r="E635">
        <f>Tabela4[[#This Row],[DATA FATURAMENTO]]-Tabela4[[#This Row],[DATA ORÇAMENTO]]</f>
        <v>8</v>
      </c>
      <c r="F635">
        <v>11258</v>
      </c>
      <c r="G635" s="25" t="s">
        <v>35</v>
      </c>
      <c r="H635" s="25"/>
      <c r="I635" s="155">
        <v>3100</v>
      </c>
      <c r="J635" s="154">
        <f>Tabela4[[#This Row],[VALOR]]-Tabela4[[#This Row],[PECAS]]</f>
        <v>1500</v>
      </c>
      <c r="K635" s="150">
        <v>4600</v>
      </c>
      <c r="L635" s="155">
        <v>0</v>
      </c>
      <c r="M635" s="155">
        <v>0</v>
      </c>
      <c r="N635" s="67"/>
      <c r="O635" s="155">
        <v>0</v>
      </c>
      <c r="P635" s="155">
        <v>0</v>
      </c>
      <c r="Q635" s="155">
        <v>0</v>
      </c>
      <c r="R635" s="155">
        <v>0</v>
      </c>
      <c r="S635" s="154">
        <v>0</v>
      </c>
      <c r="T635" s="155">
        <v>0</v>
      </c>
      <c r="U635" s="155">
        <v>0</v>
      </c>
      <c r="V635" s="25"/>
      <c r="W635" s="22">
        <v>0</v>
      </c>
      <c r="X635" s="149">
        <v>0</v>
      </c>
      <c r="Y635" s="25"/>
      <c r="Z635" s="155">
        <v>0</v>
      </c>
      <c r="AA635" s="149">
        <f>Tabela4[[#This Row],[VALOR]]-Tabela4[[#This Row],[PNEUS]]-Tabela4[[#This Row],[BATERIA]]</f>
        <v>4600</v>
      </c>
      <c r="AB635" s="27" t="s">
        <v>32</v>
      </c>
      <c r="AC635" s="30">
        <v>0</v>
      </c>
      <c r="AD635" s="162">
        <v>0</v>
      </c>
      <c r="AE635" s="162">
        <v>0</v>
      </c>
      <c r="AF635" s="162">
        <v>0</v>
      </c>
      <c r="AG635" s="162">
        <v>0</v>
      </c>
      <c r="AH635" s="162">
        <v>0</v>
      </c>
      <c r="AI635" s="162">
        <v>0</v>
      </c>
      <c r="AJ635" s="162">
        <v>0</v>
      </c>
    </row>
    <row r="636" spans="1:36" x14ac:dyDescent="0.25">
      <c r="A636" t="s">
        <v>379</v>
      </c>
      <c r="B636" t="s">
        <v>1097</v>
      </c>
      <c r="C636" s="143">
        <v>45401</v>
      </c>
      <c r="D636" s="142">
        <v>45408</v>
      </c>
      <c r="E636">
        <f>Tabela4[[#This Row],[DATA FATURAMENTO]]-Tabela4[[#This Row],[DATA ORÇAMENTO]]</f>
        <v>7</v>
      </c>
      <c r="F636">
        <v>11274</v>
      </c>
      <c r="G636" s="15" t="s">
        <v>22</v>
      </c>
      <c r="H636" s="25"/>
      <c r="I636" s="151">
        <v>1754.4</v>
      </c>
      <c r="J636" s="154">
        <f>Tabela4[[#This Row],[VALOR]]-Tabela4[[#This Row],[PECAS]]</f>
        <v>748.92000000000007</v>
      </c>
      <c r="K636" s="150">
        <v>2503.3200000000002</v>
      </c>
      <c r="L636" s="151">
        <v>0</v>
      </c>
      <c r="M636" s="151">
        <v>0</v>
      </c>
      <c r="N636" s="24"/>
      <c r="O636" s="151">
        <v>288.92</v>
      </c>
      <c r="P636" s="151">
        <v>0</v>
      </c>
      <c r="Q636" s="151">
        <v>0</v>
      </c>
      <c r="R636" s="151">
        <v>0</v>
      </c>
      <c r="S636" s="154">
        <v>0</v>
      </c>
      <c r="T636" s="151">
        <v>0</v>
      </c>
      <c r="U636" s="151">
        <v>0</v>
      </c>
      <c r="V636" s="15"/>
      <c r="W636" s="22">
        <v>0</v>
      </c>
      <c r="X636" s="149">
        <v>0</v>
      </c>
      <c r="Y636" s="15"/>
      <c r="Z636" s="151">
        <v>0</v>
      </c>
      <c r="AA636" s="149">
        <f>Tabela4[[#This Row],[VALOR]]-Tabela4[[#This Row],[PNEUS]]-Tabela4[[#This Row],[BATERIA]]</f>
        <v>2503.3200000000002</v>
      </c>
      <c r="AB636" s="19" t="s">
        <v>32</v>
      </c>
      <c r="AC636" s="30">
        <v>0</v>
      </c>
      <c r="AD636" s="162">
        <v>0</v>
      </c>
      <c r="AE636" s="162">
        <v>0</v>
      </c>
      <c r="AF636" s="162">
        <v>0</v>
      </c>
      <c r="AG636" s="162">
        <v>0</v>
      </c>
      <c r="AH636" s="162">
        <v>0</v>
      </c>
      <c r="AI636" s="162">
        <v>0</v>
      </c>
      <c r="AJ636" s="162">
        <v>0</v>
      </c>
    </row>
    <row r="637" spans="1:36" x14ac:dyDescent="0.25">
      <c r="A637" t="s">
        <v>400</v>
      </c>
      <c r="B637" t="s">
        <v>1016</v>
      </c>
      <c r="C637" s="143">
        <v>45407</v>
      </c>
      <c r="D637" s="142">
        <v>45408</v>
      </c>
      <c r="E637">
        <f>Tabela4[[#This Row],[DATA FATURAMENTO]]-Tabela4[[#This Row],[DATA ORÇAMENTO]]</f>
        <v>1</v>
      </c>
      <c r="F637">
        <v>11328</v>
      </c>
      <c r="G637" s="15" t="s">
        <v>22</v>
      </c>
      <c r="H637" s="54"/>
      <c r="I637" s="151">
        <v>832.2</v>
      </c>
      <c r="J637" s="154">
        <f>Tabela4[[#This Row],[VALOR]]-Tabela4[[#This Row],[PECAS]]</f>
        <v>657.8</v>
      </c>
      <c r="K637" s="150">
        <v>1490</v>
      </c>
      <c r="L637" s="151">
        <v>0</v>
      </c>
      <c r="M637" s="151">
        <v>0</v>
      </c>
      <c r="N637" s="24"/>
      <c r="O637" s="151">
        <v>220</v>
      </c>
      <c r="P637" s="151">
        <v>0</v>
      </c>
      <c r="Q637" s="151">
        <v>0</v>
      </c>
      <c r="R637" s="151">
        <v>0</v>
      </c>
      <c r="S637" s="154">
        <v>0</v>
      </c>
      <c r="T637" s="151">
        <v>0</v>
      </c>
      <c r="U637" s="151">
        <v>0</v>
      </c>
      <c r="V637" s="15"/>
      <c r="W637" s="22">
        <v>4</v>
      </c>
      <c r="X637" s="149">
        <v>0</v>
      </c>
      <c r="Y637" s="15" t="s">
        <v>654</v>
      </c>
      <c r="Z637" s="151">
        <v>0</v>
      </c>
      <c r="AA637" s="149">
        <f>Tabela4[[#This Row],[VALOR]]-Tabela4[[#This Row],[PNEUS]]-Tabela4[[#This Row],[BATERIA]]</f>
        <v>1490</v>
      </c>
      <c r="AB637" s="19" t="s">
        <v>32</v>
      </c>
      <c r="AC637" s="30">
        <v>0</v>
      </c>
      <c r="AD637" s="162">
        <v>0</v>
      </c>
      <c r="AE637" s="162">
        <v>0</v>
      </c>
      <c r="AF637" s="162">
        <v>0</v>
      </c>
      <c r="AG637" s="162">
        <v>0</v>
      </c>
      <c r="AH637" s="162">
        <v>0</v>
      </c>
      <c r="AI637" s="162">
        <v>0</v>
      </c>
      <c r="AJ637" s="162">
        <v>0</v>
      </c>
    </row>
    <row r="638" spans="1:36" x14ac:dyDescent="0.25">
      <c r="A638" t="s">
        <v>406</v>
      </c>
      <c r="B638" t="s">
        <v>1098</v>
      </c>
      <c r="C638" s="143">
        <v>45407</v>
      </c>
      <c r="D638" s="142">
        <v>45408</v>
      </c>
      <c r="E638">
        <f>Tabela4[[#This Row],[DATA FATURAMENTO]]-Tabela4[[#This Row],[DATA ORÇAMENTO]]</f>
        <v>1</v>
      </c>
      <c r="F638">
        <v>11335</v>
      </c>
      <c r="G638" s="15" t="s">
        <v>31</v>
      </c>
      <c r="H638" s="54"/>
      <c r="I638" s="151">
        <v>0</v>
      </c>
      <c r="J638" s="154">
        <f>Tabela4[[#This Row],[VALOR]]-Tabela4[[#This Row],[PECAS]]</f>
        <v>401.28</v>
      </c>
      <c r="K638" s="150">
        <v>401.28</v>
      </c>
      <c r="L638" s="151">
        <v>0</v>
      </c>
      <c r="M638" s="151">
        <v>0</v>
      </c>
      <c r="N638" s="24"/>
      <c r="O638" s="151">
        <v>0</v>
      </c>
      <c r="P638" s="151">
        <v>0</v>
      </c>
      <c r="Q638" s="151">
        <v>0</v>
      </c>
      <c r="R638" s="151">
        <v>0</v>
      </c>
      <c r="S638" s="154">
        <v>0</v>
      </c>
      <c r="T638" s="151">
        <v>0</v>
      </c>
      <c r="U638" s="151">
        <v>0</v>
      </c>
      <c r="V638" s="15"/>
      <c r="W638" s="22">
        <v>0</v>
      </c>
      <c r="X638" s="149">
        <v>0</v>
      </c>
      <c r="Y638" s="15"/>
      <c r="Z638" s="151">
        <v>0</v>
      </c>
      <c r="AA638" s="149">
        <f>Tabela4[[#This Row],[VALOR]]-Tabela4[[#This Row],[PNEUS]]-Tabela4[[#This Row],[BATERIA]]</f>
        <v>401.28</v>
      </c>
      <c r="AB638" s="19" t="s">
        <v>30</v>
      </c>
      <c r="AC638" s="30">
        <v>0</v>
      </c>
      <c r="AD638" s="162">
        <v>0</v>
      </c>
      <c r="AE638" s="162">
        <v>0</v>
      </c>
      <c r="AF638" s="162">
        <v>0</v>
      </c>
      <c r="AG638" s="162">
        <v>0</v>
      </c>
      <c r="AH638" s="162">
        <v>0</v>
      </c>
      <c r="AI638" s="162">
        <v>0</v>
      </c>
      <c r="AJ638" s="162">
        <v>0</v>
      </c>
    </row>
    <row r="639" spans="1:36" x14ac:dyDescent="0.25">
      <c r="A639" t="s">
        <v>402</v>
      </c>
      <c r="B639" t="s">
        <v>1099</v>
      </c>
      <c r="C639" s="143">
        <v>45407</v>
      </c>
      <c r="D639" s="142">
        <v>45408</v>
      </c>
      <c r="E639">
        <f>Tabela4[[#This Row],[DATA FATURAMENTO]]-Tabela4[[#This Row],[DATA ORÇAMENTO]]</f>
        <v>1</v>
      </c>
      <c r="F639">
        <v>11339</v>
      </c>
      <c r="G639" s="15" t="s">
        <v>22</v>
      </c>
      <c r="H639" s="54"/>
      <c r="I639" s="151">
        <v>588.70000000000005</v>
      </c>
      <c r="J639" s="154">
        <f>Tabela4[[#This Row],[VALOR]]-Tabela4[[#This Row],[PECAS]]</f>
        <v>160.51</v>
      </c>
      <c r="K639" s="150">
        <v>749.21</v>
      </c>
      <c r="L639" s="151">
        <v>0</v>
      </c>
      <c r="M639" s="151">
        <v>0</v>
      </c>
      <c r="N639" s="24"/>
      <c r="O639" s="151">
        <v>0</v>
      </c>
      <c r="P639" s="151">
        <v>0</v>
      </c>
      <c r="Q639" s="151">
        <v>0</v>
      </c>
      <c r="R639" s="151">
        <v>0</v>
      </c>
      <c r="S639" s="154">
        <v>265.51</v>
      </c>
      <c r="T639" s="151">
        <v>0</v>
      </c>
      <c r="U639" s="151">
        <v>0</v>
      </c>
      <c r="V639" s="15"/>
      <c r="W639" s="22">
        <v>4</v>
      </c>
      <c r="X639" s="149">
        <v>0</v>
      </c>
      <c r="Y639" s="15" t="s">
        <v>804</v>
      </c>
      <c r="Z639" s="151">
        <f>105+160.51</f>
        <v>265.51</v>
      </c>
      <c r="AA639" s="149">
        <f>Tabela4[[#This Row],[VALOR]]-Tabela4[[#This Row],[PNEUS]]-Tabela4[[#This Row],[BATERIA]]</f>
        <v>749.21</v>
      </c>
      <c r="AB639" s="19" t="s">
        <v>24</v>
      </c>
      <c r="AC639" s="30">
        <v>0</v>
      </c>
      <c r="AD639" s="162">
        <v>0</v>
      </c>
      <c r="AE639" s="162">
        <v>0</v>
      </c>
      <c r="AF639" s="162">
        <v>0</v>
      </c>
      <c r="AG639" s="162">
        <v>0</v>
      </c>
      <c r="AH639" s="162">
        <v>0</v>
      </c>
      <c r="AI639" s="162">
        <v>0</v>
      </c>
      <c r="AJ639" s="162">
        <v>0</v>
      </c>
    </row>
    <row r="640" spans="1:36" x14ac:dyDescent="0.25">
      <c r="A640" t="s">
        <v>404</v>
      </c>
      <c r="B640" t="s">
        <v>844</v>
      </c>
      <c r="C640" s="143">
        <v>45408</v>
      </c>
      <c r="D640" s="142">
        <v>45408</v>
      </c>
      <c r="E640">
        <f>Tabela4[[#This Row],[DATA FATURAMENTO]]-Tabela4[[#This Row],[DATA ORÇAMENTO]]</f>
        <v>0</v>
      </c>
      <c r="F640">
        <v>11342</v>
      </c>
      <c r="G640" s="15" t="s">
        <v>31</v>
      </c>
      <c r="H640" s="54"/>
      <c r="I640" s="151">
        <v>474</v>
      </c>
      <c r="J640" s="154">
        <f>Tabela4[[#This Row],[VALOR]]-Tabela4[[#This Row],[PECAS]]</f>
        <v>53</v>
      </c>
      <c r="K640" s="150">
        <v>527</v>
      </c>
      <c r="L640" s="151">
        <v>0</v>
      </c>
      <c r="M640" s="151">
        <v>0</v>
      </c>
      <c r="N640" s="24"/>
      <c r="O640" s="151">
        <v>0</v>
      </c>
      <c r="P640" s="151">
        <v>0</v>
      </c>
      <c r="Q640" s="151">
        <v>0</v>
      </c>
      <c r="R640" s="151">
        <v>0</v>
      </c>
      <c r="S640" s="154">
        <v>0</v>
      </c>
      <c r="T640" s="151">
        <v>0</v>
      </c>
      <c r="U640" s="151">
        <v>0</v>
      </c>
      <c r="V640" s="15"/>
      <c r="W640" s="22">
        <v>4</v>
      </c>
      <c r="X640" s="149">
        <v>0</v>
      </c>
      <c r="Y640" s="15" t="s">
        <v>807</v>
      </c>
      <c r="Z640" s="151">
        <v>0</v>
      </c>
      <c r="AA640" s="149">
        <f>Tabela4[[#This Row],[VALOR]]-Tabela4[[#This Row],[PNEUS]]-Tabela4[[#This Row],[BATERIA]]</f>
        <v>527</v>
      </c>
      <c r="AB640" s="19" t="s">
        <v>30</v>
      </c>
      <c r="AC640" s="30">
        <v>0</v>
      </c>
      <c r="AD640" s="162">
        <v>0</v>
      </c>
      <c r="AE640" s="162">
        <v>0</v>
      </c>
      <c r="AF640" s="162">
        <v>0</v>
      </c>
      <c r="AG640" s="162">
        <v>0</v>
      </c>
      <c r="AH640" s="162">
        <v>0</v>
      </c>
      <c r="AI640" s="162">
        <v>0</v>
      </c>
      <c r="AJ640" s="162">
        <v>0</v>
      </c>
    </row>
    <row r="641" spans="1:36" x14ac:dyDescent="0.25">
      <c r="A641" t="s">
        <v>1100</v>
      </c>
      <c r="B641" t="s">
        <v>898</v>
      </c>
      <c r="C641" s="143">
        <v>45408</v>
      </c>
      <c r="D641" s="142">
        <v>45408</v>
      </c>
      <c r="E641">
        <f>Tabela4[[#This Row],[DATA FATURAMENTO]]-Tabela4[[#This Row],[DATA ORÇAMENTO]]</f>
        <v>0</v>
      </c>
      <c r="F641">
        <v>11344</v>
      </c>
      <c r="G641" s="15" t="s">
        <v>6</v>
      </c>
      <c r="H641" s="54"/>
      <c r="I641" s="151">
        <v>585</v>
      </c>
      <c r="J641" s="154">
        <f>Tabela4[[#This Row],[VALOR]]-Tabela4[[#This Row],[PECAS]]</f>
        <v>0</v>
      </c>
      <c r="K641" s="150">
        <v>585</v>
      </c>
      <c r="L641" s="151">
        <v>0</v>
      </c>
      <c r="M641" s="151">
        <v>0</v>
      </c>
      <c r="N641" s="24"/>
      <c r="O641" s="151">
        <v>0</v>
      </c>
      <c r="P641" s="151">
        <v>0</v>
      </c>
      <c r="Q641" s="151">
        <v>0</v>
      </c>
      <c r="R641" s="151">
        <v>0</v>
      </c>
      <c r="S641" s="154">
        <v>0</v>
      </c>
      <c r="T641" s="151">
        <v>0</v>
      </c>
      <c r="U641" s="151">
        <v>585</v>
      </c>
      <c r="V641" s="15" t="s">
        <v>806</v>
      </c>
      <c r="W641" s="22">
        <v>0</v>
      </c>
      <c r="X641" s="149">
        <v>0</v>
      </c>
      <c r="Y641" s="15"/>
      <c r="Z641" s="151">
        <v>0</v>
      </c>
      <c r="AA641" s="149">
        <f>Tabela4[[#This Row],[VALOR]]-Tabela4[[#This Row],[PNEUS]]-Tabela4[[#This Row],[BATERIA]]</f>
        <v>0</v>
      </c>
      <c r="AB641" s="19" t="s">
        <v>6</v>
      </c>
      <c r="AC641" s="30">
        <v>0</v>
      </c>
      <c r="AD641" s="162">
        <v>0</v>
      </c>
      <c r="AE641" s="162">
        <v>0</v>
      </c>
      <c r="AF641" s="162">
        <v>0</v>
      </c>
      <c r="AG641" s="162">
        <v>0</v>
      </c>
      <c r="AH641" s="162">
        <v>0</v>
      </c>
      <c r="AI641" s="162">
        <v>0</v>
      </c>
      <c r="AJ641" s="162">
        <v>0</v>
      </c>
    </row>
    <row r="642" spans="1:36" x14ac:dyDescent="0.25">
      <c r="A642" t="s">
        <v>408</v>
      </c>
      <c r="B642" t="s">
        <v>1101</v>
      </c>
      <c r="C642" s="143">
        <v>45408</v>
      </c>
      <c r="D642" s="142">
        <v>45408</v>
      </c>
      <c r="E642">
        <f>Tabela4[[#This Row],[DATA FATURAMENTO]]-Tabela4[[#This Row],[DATA ORÇAMENTO]]</f>
        <v>0</v>
      </c>
      <c r="F642">
        <v>11348</v>
      </c>
      <c r="G642" s="15" t="s">
        <v>6</v>
      </c>
      <c r="H642" s="54"/>
      <c r="I642" s="151">
        <v>530</v>
      </c>
      <c r="J642" s="154">
        <f>Tabela4[[#This Row],[VALOR]]-Tabela4[[#This Row],[PECAS]]</f>
        <v>0</v>
      </c>
      <c r="K642" s="150">
        <v>530</v>
      </c>
      <c r="L642" s="151">
        <v>0</v>
      </c>
      <c r="M642" s="151">
        <v>0</v>
      </c>
      <c r="N642" s="24"/>
      <c r="O642" s="151">
        <v>0</v>
      </c>
      <c r="P642" s="151">
        <v>0</v>
      </c>
      <c r="Q642" s="151">
        <v>0</v>
      </c>
      <c r="R642" s="151">
        <v>0</v>
      </c>
      <c r="S642" s="154">
        <v>0</v>
      </c>
      <c r="T642" s="151">
        <v>0</v>
      </c>
      <c r="U642" s="151">
        <v>530</v>
      </c>
      <c r="V642" s="15" t="s">
        <v>684</v>
      </c>
      <c r="W642" s="22">
        <v>0</v>
      </c>
      <c r="X642" s="149">
        <v>0</v>
      </c>
      <c r="Y642" s="15"/>
      <c r="Z642" s="151">
        <v>0</v>
      </c>
      <c r="AA642" s="149">
        <f>Tabela4[[#This Row],[VALOR]]-Tabela4[[#This Row],[PNEUS]]-Tabela4[[#This Row],[BATERIA]]</f>
        <v>0</v>
      </c>
      <c r="AB642" s="19" t="s">
        <v>6</v>
      </c>
      <c r="AC642" s="30">
        <v>0</v>
      </c>
      <c r="AD642" s="162">
        <v>0</v>
      </c>
      <c r="AE642" s="162">
        <v>0</v>
      </c>
      <c r="AF642" s="162">
        <v>0</v>
      </c>
      <c r="AG642" s="162">
        <v>0</v>
      </c>
      <c r="AH642" s="162">
        <v>0</v>
      </c>
      <c r="AI642" s="162">
        <v>0</v>
      </c>
      <c r="AJ642" s="162">
        <v>0</v>
      </c>
    </row>
    <row r="643" spans="1:36" x14ac:dyDescent="0.25">
      <c r="A643" t="s">
        <v>342</v>
      </c>
      <c r="B643" t="s">
        <v>854</v>
      </c>
      <c r="C643" s="143">
        <v>45401</v>
      </c>
      <c r="D643" s="142">
        <v>45407</v>
      </c>
      <c r="E643">
        <f>Tabela4[[#This Row],[DATA FATURAMENTO]]-Tabela4[[#This Row],[DATA ORÇAMENTO]]</f>
        <v>6</v>
      </c>
      <c r="F643">
        <v>11279</v>
      </c>
      <c r="G643" s="25" t="s">
        <v>28</v>
      </c>
      <c r="H643" s="25"/>
      <c r="I643" s="155">
        <v>2200.27</v>
      </c>
      <c r="J643" s="154">
        <f>Tabela4[[#This Row],[VALOR]]-Tabela4[[#This Row],[PECAS]]</f>
        <v>1838.4099999999999</v>
      </c>
      <c r="K643" s="150">
        <v>4038.68</v>
      </c>
      <c r="L643" s="151">
        <v>0</v>
      </c>
      <c r="M643" s="155">
        <f>87.8+40</f>
        <v>127.8</v>
      </c>
      <c r="N643" s="67"/>
      <c r="O643" s="155">
        <f>38.8+220</f>
        <v>258.8</v>
      </c>
      <c r="P643" s="155">
        <v>110.57</v>
      </c>
      <c r="Q643" s="155">
        <v>160</v>
      </c>
      <c r="R643" s="155">
        <v>0</v>
      </c>
      <c r="S643" s="154">
        <v>219.91</v>
      </c>
      <c r="T643" s="155">
        <v>0</v>
      </c>
      <c r="U643" s="155">
        <v>0</v>
      </c>
      <c r="V643" s="25"/>
      <c r="W643" s="28">
        <v>3</v>
      </c>
      <c r="X643" s="149">
        <v>0</v>
      </c>
      <c r="Y643" s="25" t="s">
        <v>654</v>
      </c>
      <c r="Z643" s="155">
        <f>86.4+150.01</f>
        <v>236.41</v>
      </c>
      <c r="AA643" s="149">
        <f>Tabela4[[#This Row],[VALOR]]-Tabela4[[#This Row],[PNEUS]]-Tabela4[[#This Row],[BATERIA]]</f>
        <v>4038.68</v>
      </c>
      <c r="AB643" s="27" t="s">
        <v>24</v>
      </c>
      <c r="AC643" s="30">
        <v>0</v>
      </c>
      <c r="AD643" s="162">
        <v>0</v>
      </c>
      <c r="AE643" s="162">
        <v>0</v>
      </c>
      <c r="AF643" s="162">
        <v>0</v>
      </c>
      <c r="AG643" s="162">
        <v>0</v>
      </c>
      <c r="AH643" s="162">
        <v>0</v>
      </c>
      <c r="AI643" s="162">
        <v>0</v>
      </c>
      <c r="AJ643" s="162">
        <v>0</v>
      </c>
    </row>
    <row r="644" spans="1:36" x14ac:dyDescent="0.25">
      <c r="A644" t="s">
        <v>348</v>
      </c>
      <c r="B644" t="s">
        <v>1102</v>
      </c>
      <c r="C644" s="143">
        <v>45395</v>
      </c>
      <c r="D644" s="142">
        <v>45407</v>
      </c>
      <c r="E644">
        <f>Tabela4[[#This Row],[DATA FATURAMENTO]]-Tabela4[[#This Row],[DATA ORÇAMENTO]]</f>
        <v>12</v>
      </c>
      <c r="F644">
        <v>11217</v>
      </c>
      <c r="G644" s="15" t="s">
        <v>39</v>
      </c>
      <c r="H644" s="25" t="s">
        <v>44</v>
      </c>
      <c r="I644" s="151">
        <v>0</v>
      </c>
      <c r="J644" s="154">
        <f>Tabela4[[#This Row],[VALOR]]-Tabela4[[#This Row],[PECAS]]</f>
        <v>120.02</v>
      </c>
      <c r="K644" s="150">
        <v>120.02</v>
      </c>
      <c r="L644" s="151">
        <v>0</v>
      </c>
      <c r="M644" s="151">
        <v>0</v>
      </c>
      <c r="N644" s="24"/>
      <c r="O644" s="151">
        <v>0</v>
      </c>
      <c r="P644" s="151">
        <v>0</v>
      </c>
      <c r="Q644" s="151">
        <v>0</v>
      </c>
      <c r="R644" s="151">
        <v>0</v>
      </c>
      <c r="S644" s="154">
        <v>0</v>
      </c>
      <c r="T644" s="151">
        <v>0</v>
      </c>
      <c r="U644" s="151">
        <v>0</v>
      </c>
      <c r="V644" s="15"/>
      <c r="W644" s="22">
        <v>0</v>
      </c>
      <c r="X644" s="149">
        <v>0</v>
      </c>
      <c r="Y644" s="15"/>
      <c r="Z644" s="151">
        <v>0</v>
      </c>
      <c r="AA644" s="149">
        <f>Tabela4[[#This Row],[VALOR]]-Tabela4[[#This Row],[PNEUS]]-Tabela4[[#This Row],[BATERIA]]</f>
        <v>120.02</v>
      </c>
      <c r="AB644" s="19" t="s">
        <v>27</v>
      </c>
      <c r="AC644" s="30">
        <v>0</v>
      </c>
      <c r="AD644" s="162">
        <v>0</v>
      </c>
      <c r="AE644" s="162">
        <v>0</v>
      </c>
      <c r="AF644" s="162">
        <v>0</v>
      </c>
      <c r="AG644" s="162">
        <v>0</v>
      </c>
      <c r="AH644" s="162">
        <v>0</v>
      </c>
      <c r="AI644" s="162">
        <v>0</v>
      </c>
      <c r="AJ644" s="162">
        <v>0</v>
      </c>
    </row>
    <row r="645" spans="1:36" x14ac:dyDescent="0.25">
      <c r="A645" t="s">
        <v>396</v>
      </c>
      <c r="B645" t="s">
        <v>1103</v>
      </c>
      <c r="C645" s="143">
        <v>45406</v>
      </c>
      <c r="D645" s="142">
        <v>45407</v>
      </c>
      <c r="E645">
        <f>Tabela4[[#This Row],[DATA FATURAMENTO]]-Tabela4[[#This Row],[DATA ORÇAMENTO]]</f>
        <v>1</v>
      </c>
      <c r="F645">
        <v>11317</v>
      </c>
      <c r="G645" s="15" t="s">
        <v>22</v>
      </c>
      <c r="H645" s="54"/>
      <c r="I645" s="151">
        <v>599.5</v>
      </c>
      <c r="J645" s="154">
        <f>Tabela4[[#This Row],[VALOR]]-Tabela4[[#This Row],[PECAS]]</f>
        <v>170</v>
      </c>
      <c r="K645" s="150">
        <v>769.5</v>
      </c>
      <c r="L645" s="151">
        <v>0</v>
      </c>
      <c r="M645" s="151">
        <v>0</v>
      </c>
      <c r="N645" s="24"/>
      <c r="O645" s="151">
        <v>0</v>
      </c>
      <c r="P645" s="151">
        <v>0</v>
      </c>
      <c r="Q645" s="151">
        <v>0</v>
      </c>
      <c r="R645" s="151">
        <v>0</v>
      </c>
      <c r="S645" s="154">
        <v>0</v>
      </c>
      <c r="T645" s="151">
        <v>0</v>
      </c>
      <c r="U645" s="151">
        <v>0</v>
      </c>
      <c r="V645" s="15"/>
      <c r="W645" s="22">
        <v>4</v>
      </c>
      <c r="X645" s="149">
        <v>0</v>
      </c>
      <c r="Y645" s="15" t="s">
        <v>804</v>
      </c>
      <c r="Z645" s="151">
        <v>0</v>
      </c>
      <c r="AA645" s="149">
        <f>Tabela4[[#This Row],[VALOR]]-Tabela4[[#This Row],[PNEUS]]-Tabela4[[#This Row],[BATERIA]]</f>
        <v>769.5</v>
      </c>
      <c r="AB645" s="19" t="s">
        <v>27</v>
      </c>
      <c r="AC645" s="30">
        <v>0</v>
      </c>
      <c r="AD645" s="162">
        <v>0</v>
      </c>
      <c r="AE645" s="162">
        <v>0</v>
      </c>
      <c r="AF645" s="162">
        <v>0</v>
      </c>
      <c r="AG645" s="162">
        <v>0</v>
      </c>
      <c r="AH645" s="162">
        <v>0</v>
      </c>
      <c r="AI645" s="162">
        <v>0</v>
      </c>
      <c r="AJ645" s="162">
        <v>0</v>
      </c>
    </row>
    <row r="646" spans="1:36" x14ac:dyDescent="0.25">
      <c r="A646" t="s">
        <v>1104</v>
      </c>
      <c r="B646" t="s">
        <v>1105</v>
      </c>
      <c r="C646" s="143">
        <v>45406</v>
      </c>
      <c r="D646" s="142">
        <v>45407</v>
      </c>
      <c r="E646">
        <f>Tabela4[[#This Row],[DATA FATURAMENTO]]-Tabela4[[#This Row],[DATA ORÇAMENTO]]</f>
        <v>1</v>
      </c>
      <c r="F646">
        <v>11321</v>
      </c>
      <c r="G646" s="15" t="s">
        <v>33</v>
      </c>
      <c r="H646" s="54"/>
      <c r="I646" s="151">
        <v>1744</v>
      </c>
      <c r="J646" s="154">
        <f>Tabela4[[#This Row],[VALOR]]-Tabela4[[#This Row],[PECAS]]</f>
        <v>600</v>
      </c>
      <c r="K646" s="150">
        <v>2344</v>
      </c>
      <c r="L646" s="151">
        <v>90</v>
      </c>
      <c r="M646" s="151">
        <v>0</v>
      </c>
      <c r="N646" s="24"/>
      <c r="O646" s="151">
        <v>0</v>
      </c>
      <c r="P646" s="151">
        <v>0</v>
      </c>
      <c r="Q646" s="151">
        <v>0</v>
      </c>
      <c r="R646" s="151">
        <v>0</v>
      </c>
      <c r="S646" s="154">
        <v>0</v>
      </c>
      <c r="T646" s="151">
        <v>0</v>
      </c>
      <c r="U646" s="151">
        <v>0</v>
      </c>
      <c r="V646" s="15"/>
      <c r="W646" s="22">
        <v>4</v>
      </c>
      <c r="X646" s="149">
        <v>0</v>
      </c>
      <c r="Y646" s="15" t="s">
        <v>654</v>
      </c>
      <c r="Z646" s="151">
        <v>0</v>
      </c>
      <c r="AA646" s="149">
        <f>Tabela4[[#This Row],[VALOR]]-Tabela4[[#This Row],[PNEUS]]-Tabela4[[#This Row],[BATERIA]]</f>
        <v>2344</v>
      </c>
      <c r="AB646" s="19" t="s">
        <v>24</v>
      </c>
      <c r="AC646" s="30">
        <v>0</v>
      </c>
      <c r="AD646" s="162">
        <v>0</v>
      </c>
      <c r="AE646" s="162">
        <v>0</v>
      </c>
      <c r="AF646" s="162">
        <v>0</v>
      </c>
      <c r="AG646" s="162">
        <v>0</v>
      </c>
      <c r="AH646" s="162">
        <v>0</v>
      </c>
      <c r="AI646" s="162">
        <v>0</v>
      </c>
      <c r="AJ646" s="162">
        <v>0</v>
      </c>
    </row>
    <row r="647" spans="1:36" x14ac:dyDescent="0.25">
      <c r="A647" t="s">
        <v>1106</v>
      </c>
      <c r="B647" t="s">
        <v>1107</v>
      </c>
      <c r="C647" s="143">
        <v>45406</v>
      </c>
      <c r="D647" s="142">
        <v>45407</v>
      </c>
      <c r="E647">
        <f>Tabela4[[#This Row],[DATA FATURAMENTO]]-Tabela4[[#This Row],[DATA ORÇAMENTO]]</f>
        <v>1</v>
      </c>
      <c r="F647">
        <v>11327</v>
      </c>
      <c r="G647" s="15" t="s">
        <v>6</v>
      </c>
      <c r="H647" s="54"/>
      <c r="I647" s="151">
        <v>530</v>
      </c>
      <c r="J647" s="154">
        <f>Tabela4[[#This Row],[VALOR]]-Tabela4[[#This Row],[PECAS]]</f>
        <v>9.9999999999909051E-3</v>
      </c>
      <c r="K647" s="150">
        <v>530.01</v>
      </c>
      <c r="L647" s="151">
        <v>0</v>
      </c>
      <c r="M647" s="151">
        <v>0</v>
      </c>
      <c r="N647" s="24"/>
      <c r="O647" s="151">
        <v>0</v>
      </c>
      <c r="P647" s="151">
        <v>0</v>
      </c>
      <c r="Q647" s="151">
        <v>0</v>
      </c>
      <c r="R647" s="151">
        <v>0</v>
      </c>
      <c r="S647" s="154">
        <v>0</v>
      </c>
      <c r="T647" s="151">
        <v>0</v>
      </c>
      <c r="U647" s="151">
        <v>530.01</v>
      </c>
      <c r="V647" s="15" t="s">
        <v>884</v>
      </c>
      <c r="W647" s="22">
        <v>0</v>
      </c>
      <c r="X647" s="149">
        <v>0</v>
      </c>
      <c r="Y647" s="15"/>
      <c r="Z647" s="151">
        <v>0</v>
      </c>
      <c r="AA647" s="149">
        <f>Tabela4[[#This Row],[VALOR]]-Tabela4[[#This Row],[PNEUS]]-Tabela4[[#This Row],[BATERIA]]</f>
        <v>0</v>
      </c>
      <c r="AB647" s="19" t="s">
        <v>6</v>
      </c>
      <c r="AC647" s="30">
        <v>0</v>
      </c>
      <c r="AD647" s="162">
        <v>0</v>
      </c>
      <c r="AE647" s="162">
        <v>0</v>
      </c>
      <c r="AF647" s="162">
        <v>0</v>
      </c>
      <c r="AG647" s="162">
        <v>0</v>
      </c>
      <c r="AH647" s="162">
        <v>0</v>
      </c>
      <c r="AI647" s="162">
        <v>0</v>
      </c>
      <c r="AJ647" s="162">
        <v>0</v>
      </c>
    </row>
    <row r="648" spans="1:36" x14ac:dyDescent="0.25">
      <c r="A648" t="s">
        <v>339</v>
      </c>
      <c r="B648" t="s">
        <v>1039</v>
      </c>
      <c r="C648" s="143">
        <v>45407</v>
      </c>
      <c r="D648" s="142">
        <v>45407</v>
      </c>
      <c r="E648">
        <f>Tabela4[[#This Row],[DATA FATURAMENTO]]-Tabela4[[#This Row],[DATA ORÇAMENTO]]</f>
        <v>0</v>
      </c>
      <c r="F648">
        <v>11336</v>
      </c>
      <c r="G648" s="15" t="s">
        <v>22</v>
      </c>
      <c r="H648" s="54"/>
      <c r="I648" s="151">
        <v>70</v>
      </c>
      <c r="J648" s="154">
        <f>Tabela4[[#This Row],[VALOR]]-Tabela4[[#This Row],[PECAS]]</f>
        <v>170</v>
      </c>
      <c r="K648" s="150">
        <v>240</v>
      </c>
      <c r="L648" s="151">
        <v>0</v>
      </c>
      <c r="M648" s="151">
        <v>0</v>
      </c>
      <c r="N648" s="24"/>
      <c r="O648" s="151">
        <v>0</v>
      </c>
      <c r="P648" s="151">
        <v>0</v>
      </c>
      <c r="Q648" s="151">
        <v>0</v>
      </c>
      <c r="R648" s="151">
        <v>0</v>
      </c>
      <c r="S648" s="154">
        <v>0</v>
      </c>
      <c r="T648" s="151">
        <v>0</v>
      </c>
      <c r="U648" s="151">
        <v>0</v>
      </c>
      <c r="V648" s="15"/>
      <c r="W648" s="22">
        <v>0</v>
      </c>
      <c r="X648" s="149">
        <v>0</v>
      </c>
      <c r="Y648" s="15"/>
      <c r="Z648" s="151">
        <v>0</v>
      </c>
      <c r="AA648" s="149">
        <f>Tabela4[[#This Row],[VALOR]]-Tabela4[[#This Row],[PNEUS]]-Tabela4[[#This Row],[BATERIA]]</f>
        <v>240</v>
      </c>
      <c r="AB648" s="19" t="s">
        <v>24</v>
      </c>
      <c r="AC648" s="30">
        <v>0</v>
      </c>
      <c r="AD648" s="162">
        <v>0</v>
      </c>
      <c r="AE648" s="162">
        <v>0</v>
      </c>
      <c r="AF648" s="162">
        <v>0</v>
      </c>
      <c r="AG648" s="162">
        <v>0</v>
      </c>
      <c r="AH648" s="162">
        <v>0</v>
      </c>
      <c r="AI648" s="162">
        <v>0</v>
      </c>
      <c r="AJ648" s="162">
        <v>0</v>
      </c>
    </row>
    <row r="649" spans="1:36" x14ac:dyDescent="0.25">
      <c r="A649" t="s">
        <v>399</v>
      </c>
      <c r="B649" t="s">
        <v>1108</v>
      </c>
      <c r="C649" s="143">
        <v>45407</v>
      </c>
      <c r="D649" s="142">
        <v>45407</v>
      </c>
      <c r="E649">
        <f>Tabela4[[#This Row],[DATA FATURAMENTO]]-Tabela4[[#This Row],[DATA ORÇAMENTO]]</f>
        <v>0</v>
      </c>
      <c r="F649">
        <v>11337</v>
      </c>
      <c r="G649" s="15" t="s">
        <v>22</v>
      </c>
      <c r="H649" s="54"/>
      <c r="I649" s="151">
        <v>0</v>
      </c>
      <c r="J649" s="154">
        <f>Tabela4[[#This Row],[VALOR]]-Tabela4[[#This Row],[PECAS]]</f>
        <v>130</v>
      </c>
      <c r="K649" s="150">
        <v>130</v>
      </c>
      <c r="L649" s="151">
        <v>0</v>
      </c>
      <c r="M649" s="151">
        <v>0</v>
      </c>
      <c r="N649" s="24"/>
      <c r="O649" s="151">
        <v>0</v>
      </c>
      <c r="P649" s="151">
        <v>0</v>
      </c>
      <c r="Q649" s="151">
        <v>0</v>
      </c>
      <c r="R649" s="151">
        <v>0</v>
      </c>
      <c r="S649" s="154">
        <v>0</v>
      </c>
      <c r="T649" s="151">
        <v>0</v>
      </c>
      <c r="U649" s="151">
        <v>0</v>
      </c>
      <c r="V649" s="15"/>
      <c r="W649" s="22">
        <v>0</v>
      </c>
      <c r="X649" s="149">
        <v>0</v>
      </c>
      <c r="Y649" s="15"/>
      <c r="Z649" s="151">
        <v>0</v>
      </c>
      <c r="AA649" s="149">
        <f>Tabela4[[#This Row],[VALOR]]-Tabela4[[#This Row],[PNEUS]]-Tabela4[[#This Row],[BATERIA]]</f>
        <v>130</v>
      </c>
      <c r="AB649" s="19" t="s">
        <v>24</v>
      </c>
      <c r="AC649" s="30">
        <v>0</v>
      </c>
      <c r="AD649" s="162">
        <v>0</v>
      </c>
      <c r="AE649" s="162">
        <v>0</v>
      </c>
      <c r="AF649" s="162">
        <v>0</v>
      </c>
      <c r="AG649" s="162">
        <v>0</v>
      </c>
      <c r="AH649" s="162">
        <v>0</v>
      </c>
      <c r="AI649" s="162">
        <v>0</v>
      </c>
      <c r="AJ649" s="162">
        <v>0</v>
      </c>
    </row>
    <row r="650" spans="1:36" x14ac:dyDescent="0.25">
      <c r="A650" t="s">
        <v>322</v>
      </c>
      <c r="B650" t="s">
        <v>1028</v>
      </c>
      <c r="C650" s="143">
        <v>45400</v>
      </c>
      <c r="D650" s="142">
        <v>45409</v>
      </c>
      <c r="E650">
        <f>Tabela4[[#This Row],[DATA FATURAMENTO]]-Tabela4[[#This Row],[DATA ORÇAMENTO]]</f>
        <v>9</v>
      </c>
      <c r="F650">
        <v>11263</v>
      </c>
      <c r="G650" s="25" t="s">
        <v>31</v>
      </c>
      <c r="H650" s="25"/>
      <c r="I650" s="155">
        <v>650</v>
      </c>
      <c r="J650" s="154">
        <f>Tabela4[[#This Row],[VALOR]]-Tabela4[[#This Row],[PECAS]]</f>
        <v>850</v>
      </c>
      <c r="K650" s="150">
        <v>1500</v>
      </c>
      <c r="L650" s="155">
        <v>0</v>
      </c>
      <c r="M650" s="155">
        <v>0</v>
      </c>
      <c r="N650" s="67"/>
      <c r="O650" s="155">
        <v>0</v>
      </c>
      <c r="P650" s="155">
        <v>0</v>
      </c>
      <c r="Q650" s="155">
        <v>0</v>
      </c>
      <c r="R650" s="155">
        <v>0</v>
      </c>
      <c r="S650" s="154">
        <v>0</v>
      </c>
      <c r="T650" s="155">
        <v>0</v>
      </c>
      <c r="U650" s="155">
        <v>0</v>
      </c>
      <c r="V650" s="25"/>
      <c r="W650" s="22">
        <v>0</v>
      </c>
      <c r="X650" s="149">
        <v>0</v>
      </c>
      <c r="Y650" s="25"/>
      <c r="Z650" s="155">
        <v>0</v>
      </c>
      <c r="AA650" s="149">
        <f>Tabela4[[#This Row],[VALOR]]-Tabela4[[#This Row],[PNEUS]]-Tabela4[[#This Row],[BATERIA]]</f>
        <v>1500</v>
      </c>
      <c r="AB650" s="27" t="s">
        <v>32</v>
      </c>
      <c r="AC650" s="30">
        <v>0</v>
      </c>
      <c r="AD650" s="162">
        <v>0</v>
      </c>
      <c r="AE650" s="162">
        <v>0</v>
      </c>
      <c r="AF650" s="162">
        <v>0</v>
      </c>
      <c r="AG650" s="162">
        <v>0</v>
      </c>
      <c r="AH650" s="162">
        <v>0</v>
      </c>
      <c r="AI650" s="162">
        <v>0</v>
      </c>
      <c r="AJ650" s="162">
        <v>0</v>
      </c>
    </row>
    <row r="651" spans="1:36" x14ac:dyDescent="0.25">
      <c r="A651" t="s">
        <v>397</v>
      </c>
      <c r="B651" t="s">
        <v>973</v>
      </c>
      <c r="C651" s="143">
        <v>45408</v>
      </c>
      <c r="D651" s="142">
        <v>45409</v>
      </c>
      <c r="E651">
        <f>Tabela4[[#This Row],[DATA FATURAMENTO]]-Tabela4[[#This Row],[DATA ORÇAMENTO]]</f>
        <v>1</v>
      </c>
      <c r="F651">
        <v>11345</v>
      </c>
      <c r="G651" s="15" t="s">
        <v>31</v>
      </c>
      <c r="H651" s="25"/>
      <c r="I651" s="151">
        <v>1408</v>
      </c>
      <c r="J651" s="154">
        <f>Tabela4[[#This Row],[VALOR]]-Tabela4[[#This Row],[PECAS]]</f>
        <v>972</v>
      </c>
      <c r="K651" s="150">
        <v>2380</v>
      </c>
      <c r="L651" s="151">
        <v>0</v>
      </c>
      <c r="M651" s="151">
        <v>0</v>
      </c>
      <c r="N651" s="24"/>
      <c r="O651" s="151">
        <v>0</v>
      </c>
      <c r="P651" s="151">
        <v>0</v>
      </c>
      <c r="Q651" s="151">
        <v>0</v>
      </c>
      <c r="R651" s="151">
        <v>0</v>
      </c>
      <c r="S651" s="154">
        <v>0</v>
      </c>
      <c r="T651" s="151">
        <v>0</v>
      </c>
      <c r="U651" s="151">
        <v>0</v>
      </c>
      <c r="V651" s="15"/>
      <c r="W651" s="22">
        <v>0</v>
      </c>
      <c r="X651" s="149">
        <v>0</v>
      </c>
      <c r="Y651" s="15"/>
      <c r="Z651" s="151">
        <v>0</v>
      </c>
      <c r="AA651" s="149">
        <f>Tabela4[[#This Row],[VALOR]]-Tabela4[[#This Row],[PNEUS]]-Tabela4[[#This Row],[BATERIA]]</f>
        <v>2380</v>
      </c>
      <c r="AB651" s="19" t="s">
        <v>32</v>
      </c>
      <c r="AC651" s="30">
        <v>0</v>
      </c>
      <c r="AD651" s="162">
        <v>0</v>
      </c>
      <c r="AE651" s="162">
        <v>0</v>
      </c>
      <c r="AF651" s="162">
        <v>0</v>
      </c>
      <c r="AG651" s="162">
        <v>0</v>
      </c>
      <c r="AH651" s="162">
        <v>0</v>
      </c>
      <c r="AI651" s="162">
        <v>0</v>
      </c>
      <c r="AJ651" s="162">
        <v>0</v>
      </c>
    </row>
    <row r="652" spans="1:36" x14ac:dyDescent="0.25">
      <c r="A652" t="s">
        <v>398</v>
      </c>
      <c r="B652" t="s">
        <v>914</v>
      </c>
      <c r="C652" s="143">
        <v>45406</v>
      </c>
      <c r="D652" s="142">
        <v>45409</v>
      </c>
      <c r="E652">
        <f>Tabela4[[#This Row],[DATA FATURAMENTO]]-Tabela4[[#This Row],[DATA ORÇAMENTO]]</f>
        <v>3</v>
      </c>
      <c r="F652">
        <v>11326</v>
      </c>
      <c r="G652" s="15" t="s">
        <v>35</v>
      </c>
      <c r="H652" s="54"/>
      <c r="I652" s="151">
        <v>3748</v>
      </c>
      <c r="J652" s="154">
        <f>Tabela4[[#This Row],[VALOR]]-Tabela4[[#This Row],[PECAS]]</f>
        <v>2152</v>
      </c>
      <c r="K652" s="150">
        <v>5900</v>
      </c>
      <c r="L652" s="151">
        <v>0</v>
      </c>
      <c r="M652" s="151">
        <v>0</v>
      </c>
      <c r="N652" s="24"/>
      <c r="O652" s="151">
        <v>220</v>
      </c>
      <c r="P652" s="151">
        <v>0</v>
      </c>
      <c r="Q652" s="151">
        <v>170</v>
      </c>
      <c r="R652" s="151">
        <v>0</v>
      </c>
      <c r="S652" s="154">
        <v>0</v>
      </c>
      <c r="T652" s="151">
        <v>0</v>
      </c>
      <c r="U652" s="151">
        <v>0</v>
      </c>
      <c r="V652" s="15"/>
      <c r="W652" s="22">
        <v>0</v>
      </c>
      <c r="X652" s="149">
        <v>0</v>
      </c>
      <c r="Y652" s="15"/>
      <c r="Z652" s="151">
        <v>0</v>
      </c>
      <c r="AA652" s="149">
        <f>Tabela4[[#This Row],[VALOR]]-Tabela4[[#This Row],[PNEUS]]-Tabela4[[#This Row],[BATERIA]]</f>
        <v>5900</v>
      </c>
      <c r="AB652" s="19" t="s">
        <v>27</v>
      </c>
      <c r="AC652" s="30">
        <v>0</v>
      </c>
      <c r="AD652" s="162">
        <v>0</v>
      </c>
      <c r="AE652" s="162">
        <v>0</v>
      </c>
      <c r="AF652" s="162">
        <v>0</v>
      </c>
      <c r="AG652" s="162">
        <v>0</v>
      </c>
      <c r="AH652" s="162">
        <v>0</v>
      </c>
      <c r="AI652" s="162">
        <v>0</v>
      </c>
      <c r="AJ652" s="162">
        <v>0</v>
      </c>
    </row>
    <row r="653" spans="1:36" x14ac:dyDescent="0.25">
      <c r="A653" t="s">
        <v>401</v>
      </c>
      <c r="B653" t="s">
        <v>1109</v>
      </c>
      <c r="C653" s="143">
        <v>45407</v>
      </c>
      <c r="D653" s="142">
        <v>45409</v>
      </c>
      <c r="E653">
        <f>Tabela4[[#This Row],[DATA FATURAMENTO]]-Tabela4[[#This Row],[DATA ORÇAMENTO]]</f>
        <v>2</v>
      </c>
      <c r="F653">
        <v>11338</v>
      </c>
      <c r="G653" s="15" t="s">
        <v>22</v>
      </c>
      <c r="H653" s="54"/>
      <c r="I653" s="151">
        <v>1018.8</v>
      </c>
      <c r="J653" s="154">
        <f>Tabela4[[#This Row],[VALOR]]-Tabela4[[#This Row],[PECAS]]</f>
        <v>1145.0000000000002</v>
      </c>
      <c r="K653" s="150">
        <v>2163.8000000000002</v>
      </c>
      <c r="L653" s="151">
        <v>108</v>
      </c>
      <c r="M653" s="151">
        <f>120.6+20.8+97</f>
        <v>238.4</v>
      </c>
      <c r="N653" s="24"/>
      <c r="O653" s="151">
        <v>270</v>
      </c>
      <c r="P653" s="151">
        <f>164.9+97.4</f>
        <v>262.3</v>
      </c>
      <c r="Q653" s="151">
        <v>0</v>
      </c>
      <c r="R653" s="151">
        <v>0</v>
      </c>
      <c r="S653" s="154">
        <v>210</v>
      </c>
      <c r="T653" s="151">
        <v>0</v>
      </c>
      <c r="U653" s="151">
        <v>0</v>
      </c>
      <c r="V653" s="15"/>
      <c r="W653" s="22">
        <v>0</v>
      </c>
      <c r="X653" s="149">
        <v>0</v>
      </c>
      <c r="Y653" s="15"/>
      <c r="Z653" s="151">
        <v>210</v>
      </c>
      <c r="AA653" s="149">
        <f>Tabela4[[#This Row],[VALOR]]-Tabela4[[#This Row],[PNEUS]]-Tabela4[[#This Row],[BATERIA]]</f>
        <v>2163.8000000000002</v>
      </c>
      <c r="AB653" s="19" t="s">
        <v>24</v>
      </c>
      <c r="AC653" s="30">
        <v>0</v>
      </c>
      <c r="AD653" s="162">
        <v>0</v>
      </c>
      <c r="AE653" s="162">
        <v>0</v>
      </c>
      <c r="AF653" s="162">
        <v>0</v>
      </c>
      <c r="AG653" s="162">
        <v>0</v>
      </c>
      <c r="AH653" s="162">
        <v>0</v>
      </c>
      <c r="AI653" s="162">
        <v>0</v>
      </c>
      <c r="AJ653" s="162">
        <v>0</v>
      </c>
    </row>
    <row r="654" spans="1:36" x14ac:dyDescent="0.25">
      <c r="A654" t="s">
        <v>411</v>
      </c>
      <c r="B654" t="s">
        <v>1110</v>
      </c>
      <c r="C654" s="143">
        <v>45409</v>
      </c>
      <c r="D654" s="142">
        <v>45409</v>
      </c>
      <c r="E654">
        <f>Tabela4[[#This Row],[DATA FATURAMENTO]]-Tabela4[[#This Row],[DATA ORÇAMENTO]]</f>
        <v>0</v>
      </c>
      <c r="F654">
        <v>11353</v>
      </c>
      <c r="G654" s="15" t="s">
        <v>22</v>
      </c>
      <c r="H654" s="54"/>
      <c r="I654" s="151">
        <v>247.5</v>
      </c>
      <c r="J654" s="154">
        <f>Tabela4[[#This Row],[VALOR]]-Tabela4[[#This Row],[PECAS]]</f>
        <v>147.5</v>
      </c>
      <c r="K654" s="150">
        <v>395</v>
      </c>
      <c r="L654" s="151">
        <v>0</v>
      </c>
      <c r="M654" s="151">
        <v>0</v>
      </c>
      <c r="N654" s="24"/>
      <c r="O654" s="151">
        <v>0</v>
      </c>
      <c r="P654" s="151">
        <v>0</v>
      </c>
      <c r="Q654" s="151">
        <v>0</v>
      </c>
      <c r="R654" s="151">
        <v>0</v>
      </c>
      <c r="S654" s="154">
        <v>0</v>
      </c>
      <c r="T654" s="151">
        <v>0</v>
      </c>
      <c r="U654" s="151">
        <v>0</v>
      </c>
      <c r="V654" s="15"/>
      <c r="W654" s="22">
        <v>0</v>
      </c>
      <c r="X654" s="149">
        <v>0</v>
      </c>
      <c r="Y654" s="15"/>
      <c r="Z654" s="151">
        <v>0</v>
      </c>
      <c r="AA654" s="149">
        <f>Tabela4[[#This Row],[VALOR]]-Tabela4[[#This Row],[PNEUS]]-Tabela4[[#This Row],[BATERIA]]</f>
        <v>395</v>
      </c>
      <c r="AB654" s="19" t="s">
        <v>32</v>
      </c>
      <c r="AC654" s="30">
        <v>0</v>
      </c>
      <c r="AD654" s="162">
        <v>0</v>
      </c>
      <c r="AE654" s="162">
        <v>0</v>
      </c>
      <c r="AF654" s="162">
        <v>0</v>
      </c>
      <c r="AG654" s="162">
        <v>0</v>
      </c>
      <c r="AH654" s="162">
        <v>0</v>
      </c>
      <c r="AI654" s="162">
        <v>0</v>
      </c>
      <c r="AJ654" s="162">
        <v>0</v>
      </c>
    </row>
    <row r="655" spans="1:36" x14ac:dyDescent="0.25">
      <c r="A655" t="s">
        <v>412</v>
      </c>
      <c r="B655" t="s">
        <v>1111</v>
      </c>
      <c r="C655" s="143">
        <v>45409</v>
      </c>
      <c r="D655" s="142">
        <v>45409</v>
      </c>
      <c r="E655">
        <f>Tabela4[[#This Row],[DATA FATURAMENTO]]-Tabela4[[#This Row],[DATA ORÇAMENTO]]</f>
        <v>0</v>
      </c>
      <c r="F655">
        <v>11354</v>
      </c>
      <c r="G655" s="15" t="s">
        <v>35</v>
      </c>
      <c r="H655" s="54"/>
      <c r="I655" s="151">
        <v>0</v>
      </c>
      <c r="J655" s="154">
        <f>Tabela4[[#This Row],[VALOR]]-Tabela4[[#This Row],[PECAS]]</f>
        <v>35</v>
      </c>
      <c r="K655" s="150">
        <v>35</v>
      </c>
      <c r="L655" s="151">
        <v>0</v>
      </c>
      <c r="M655" s="151">
        <v>0</v>
      </c>
      <c r="N655" s="24"/>
      <c r="O655" s="151">
        <v>0</v>
      </c>
      <c r="P655" s="151">
        <v>0</v>
      </c>
      <c r="Q655" s="151">
        <v>0</v>
      </c>
      <c r="R655" s="151">
        <v>0</v>
      </c>
      <c r="S655" s="154">
        <v>0</v>
      </c>
      <c r="T655" s="151">
        <v>0</v>
      </c>
      <c r="U655" s="151">
        <v>0</v>
      </c>
      <c r="V655" s="15"/>
      <c r="W655" s="22">
        <v>0</v>
      </c>
      <c r="X655" s="149">
        <v>0</v>
      </c>
      <c r="Y655" s="15"/>
      <c r="Z655" s="151">
        <v>0</v>
      </c>
      <c r="AA655" s="149">
        <f>Tabela4[[#This Row],[VALOR]]-Tabela4[[#This Row],[PNEUS]]-Tabela4[[#This Row],[BATERIA]]</f>
        <v>35</v>
      </c>
      <c r="AB655" s="19" t="s">
        <v>32</v>
      </c>
      <c r="AC655" s="30">
        <v>0</v>
      </c>
      <c r="AD655" s="162">
        <v>0</v>
      </c>
      <c r="AE655" s="162">
        <v>0</v>
      </c>
      <c r="AF655" s="162">
        <v>0</v>
      </c>
      <c r="AG655" s="162">
        <v>0</v>
      </c>
      <c r="AH655" s="162">
        <v>0</v>
      </c>
      <c r="AI655" s="162">
        <v>0</v>
      </c>
      <c r="AJ655" s="162">
        <v>0</v>
      </c>
    </row>
    <row r="656" spans="1:36" x14ac:dyDescent="0.25">
      <c r="A656" t="s">
        <v>403</v>
      </c>
      <c r="B656" t="s">
        <v>1112</v>
      </c>
      <c r="C656" s="143">
        <v>45411</v>
      </c>
      <c r="D656" s="142">
        <v>45411</v>
      </c>
      <c r="E656">
        <f>Tabela4[[#This Row],[DATA FATURAMENTO]]-Tabela4[[#This Row],[DATA ORÇAMENTO]]</f>
        <v>0</v>
      </c>
      <c r="F656">
        <v>11359</v>
      </c>
      <c r="G656" s="25" t="s">
        <v>31</v>
      </c>
      <c r="H656" s="25"/>
      <c r="I656" s="155">
        <v>935.4</v>
      </c>
      <c r="J656" s="154">
        <f>Tabela4[[#This Row],[VALOR]]-Tabela4[[#This Row],[PECAS]]</f>
        <v>1373.35</v>
      </c>
      <c r="K656" s="150">
        <v>2308.75</v>
      </c>
      <c r="L656" s="155">
        <v>140</v>
      </c>
      <c r="M656" s="155">
        <f>75+70+160.52</f>
        <v>305.52</v>
      </c>
      <c r="N656" s="67"/>
      <c r="O656" s="155">
        <v>0</v>
      </c>
      <c r="P656" s="155">
        <v>0</v>
      </c>
      <c r="Q656" s="155">
        <v>0</v>
      </c>
      <c r="R656" s="155">
        <v>0</v>
      </c>
      <c r="S656" s="154">
        <v>240.42</v>
      </c>
      <c r="T656" s="155">
        <v>0</v>
      </c>
      <c r="U656" s="155">
        <v>0</v>
      </c>
      <c r="V656" s="25"/>
      <c r="W656" s="28">
        <v>4</v>
      </c>
      <c r="X656" s="149">
        <v>0</v>
      </c>
      <c r="Y656" s="25" t="s">
        <v>645</v>
      </c>
      <c r="Z656" s="155">
        <f>79.9+160.52</f>
        <v>240.42000000000002</v>
      </c>
      <c r="AA656" s="149">
        <f>Tabela4[[#This Row],[VALOR]]-Tabela4[[#This Row],[PNEUS]]-Tabela4[[#This Row],[BATERIA]]</f>
        <v>2308.75</v>
      </c>
      <c r="AB656" s="27" t="s">
        <v>30</v>
      </c>
      <c r="AC656" s="30">
        <v>0</v>
      </c>
      <c r="AD656" s="162">
        <v>0</v>
      </c>
      <c r="AE656" s="162">
        <v>0</v>
      </c>
      <c r="AF656" s="162">
        <v>0</v>
      </c>
      <c r="AG656" s="162">
        <v>0</v>
      </c>
      <c r="AH656" s="162">
        <v>0</v>
      </c>
      <c r="AI656" s="162">
        <v>0</v>
      </c>
      <c r="AJ656" s="162">
        <v>0</v>
      </c>
    </row>
    <row r="657" spans="1:36" x14ac:dyDescent="0.25">
      <c r="A657" t="s">
        <v>1113</v>
      </c>
      <c r="B657" t="s">
        <v>1042</v>
      </c>
      <c r="C657" s="143">
        <v>45411</v>
      </c>
      <c r="D657" s="141">
        <v>45411</v>
      </c>
      <c r="E657">
        <f>Tabela4[[#This Row],[DATA FATURAMENTO]]-Tabela4[[#This Row],[DATA ORÇAMENTO]]</f>
        <v>0</v>
      </c>
      <c r="F657">
        <v>11355</v>
      </c>
      <c r="G657" s="15" t="s">
        <v>6</v>
      </c>
      <c r="H657" s="25"/>
      <c r="I657" s="151">
        <v>530</v>
      </c>
      <c r="J657" s="154">
        <f>Tabela4[[#This Row],[VALOR]]-Tabela4[[#This Row],[PECAS]]</f>
        <v>9.9999999999909051E-3</v>
      </c>
      <c r="K657" s="150">
        <v>530.01</v>
      </c>
      <c r="L657" s="151">
        <v>0</v>
      </c>
      <c r="M657" s="151">
        <v>0</v>
      </c>
      <c r="N657" s="24"/>
      <c r="O657" s="151">
        <v>0</v>
      </c>
      <c r="P657" s="151">
        <v>0</v>
      </c>
      <c r="Q657" s="151">
        <v>0</v>
      </c>
      <c r="R657" s="151">
        <v>0</v>
      </c>
      <c r="S657" s="154">
        <v>0</v>
      </c>
      <c r="T657" s="151">
        <v>0</v>
      </c>
      <c r="U657" s="151">
        <v>530.01</v>
      </c>
      <c r="V657" s="15" t="s">
        <v>884</v>
      </c>
      <c r="W657" s="22">
        <v>0</v>
      </c>
      <c r="X657" s="149">
        <v>0</v>
      </c>
      <c r="Y657" s="15"/>
      <c r="Z657" s="151">
        <v>0</v>
      </c>
      <c r="AA657" s="149">
        <f>Tabela4[[#This Row],[VALOR]]-Tabela4[[#This Row],[PNEUS]]-Tabela4[[#This Row],[BATERIA]]</f>
        <v>0</v>
      </c>
      <c r="AB657" s="19" t="s">
        <v>6</v>
      </c>
      <c r="AC657" s="30">
        <v>0</v>
      </c>
      <c r="AD657" s="162">
        <v>0</v>
      </c>
      <c r="AE657" s="162">
        <v>0</v>
      </c>
      <c r="AF657" s="162">
        <v>0</v>
      </c>
      <c r="AG657" s="162">
        <v>0</v>
      </c>
      <c r="AH657" s="162">
        <v>0</v>
      </c>
      <c r="AI657" s="162">
        <v>0</v>
      </c>
      <c r="AJ657" s="162">
        <v>0</v>
      </c>
    </row>
    <row r="658" spans="1:36" x14ac:dyDescent="0.25">
      <c r="A658" t="s">
        <v>414</v>
      </c>
      <c r="B658" t="s">
        <v>1114</v>
      </c>
      <c r="C658" s="143">
        <v>45411</v>
      </c>
      <c r="D658" s="141">
        <v>45411</v>
      </c>
      <c r="E658">
        <f>Tabela4[[#This Row],[DATA FATURAMENTO]]-Tabela4[[#This Row],[DATA ORÇAMENTO]]</f>
        <v>0</v>
      </c>
      <c r="F658">
        <v>11358</v>
      </c>
      <c r="G658" s="15" t="s">
        <v>22</v>
      </c>
      <c r="H658" s="54"/>
      <c r="I658" s="151">
        <v>306.8</v>
      </c>
      <c r="J658" s="154">
        <f>Tabela4[[#This Row],[VALOR]]-Tabela4[[#This Row],[PECAS]]</f>
        <v>160.19999999999999</v>
      </c>
      <c r="K658" s="150">
        <v>467</v>
      </c>
      <c r="L658" s="151">
        <v>0</v>
      </c>
      <c r="M658" s="151">
        <v>0</v>
      </c>
      <c r="N658" s="24"/>
      <c r="O658" s="151">
        <v>0</v>
      </c>
      <c r="P658" s="151">
        <v>0</v>
      </c>
      <c r="Q658" s="151">
        <v>0</v>
      </c>
      <c r="R658" s="151">
        <v>0</v>
      </c>
      <c r="S658" s="154">
        <v>160.19999999999999</v>
      </c>
      <c r="T658" s="151">
        <v>0</v>
      </c>
      <c r="U658" s="151">
        <v>0</v>
      </c>
      <c r="V658" s="15"/>
      <c r="W658" s="22">
        <v>3</v>
      </c>
      <c r="X658" s="149">
        <v>0</v>
      </c>
      <c r="Y658" s="15" t="s">
        <v>807</v>
      </c>
      <c r="Z658" s="151">
        <v>160.19999999999999</v>
      </c>
      <c r="AA658" s="149">
        <f>Tabela4[[#This Row],[VALOR]]-Tabela4[[#This Row],[PNEUS]]-Tabela4[[#This Row],[BATERIA]]</f>
        <v>467</v>
      </c>
      <c r="AB658" s="19" t="s">
        <v>32</v>
      </c>
      <c r="AC658" s="30">
        <v>0</v>
      </c>
      <c r="AD658" s="162">
        <v>0</v>
      </c>
      <c r="AE658" s="162">
        <v>0</v>
      </c>
      <c r="AF658" s="162">
        <v>0</v>
      </c>
      <c r="AG658" s="162">
        <v>0</v>
      </c>
      <c r="AH658" s="162">
        <v>0</v>
      </c>
      <c r="AI658" s="162">
        <v>0</v>
      </c>
      <c r="AJ658" s="162">
        <v>0</v>
      </c>
    </row>
    <row r="659" spans="1:36" x14ac:dyDescent="0.25">
      <c r="A659" t="s">
        <v>211</v>
      </c>
      <c r="B659" t="s">
        <v>895</v>
      </c>
      <c r="C659" s="143">
        <v>45411</v>
      </c>
      <c r="D659" s="141">
        <v>45411</v>
      </c>
      <c r="E659">
        <f>Tabela4[[#This Row],[DATA FATURAMENTO]]-Tabela4[[#This Row],[DATA ORÇAMENTO]]</f>
        <v>0</v>
      </c>
      <c r="F659">
        <v>11360</v>
      </c>
      <c r="G659" s="15" t="s">
        <v>35</v>
      </c>
      <c r="H659" s="54"/>
      <c r="I659" s="151">
        <v>70</v>
      </c>
      <c r="J659" s="154">
        <f>Tabela4[[#This Row],[VALOR]]-Tabela4[[#This Row],[PECAS]]</f>
        <v>170</v>
      </c>
      <c r="K659" s="150">
        <v>240</v>
      </c>
      <c r="L659" s="151">
        <v>0</v>
      </c>
      <c r="M659" s="151">
        <v>70</v>
      </c>
      <c r="N659" s="24"/>
      <c r="O659" s="151">
        <v>0</v>
      </c>
      <c r="P659" s="151">
        <v>0</v>
      </c>
      <c r="Q659" s="151">
        <v>0</v>
      </c>
      <c r="R659" s="151">
        <v>0</v>
      </c>
      <c r="S659" s="154">
        <v>0</v>
      </c>
      <c r="T659" s="151">
        <v>0</v>
      </c>
      <c r="U659" s="151">
        <v>0</v>
      </c>
      <c r="V659" s="15"/>
      <c r="W659" s="22">
        <v>0</v>
      </c>
      <c r="X659" s="149">
        <v>0</v>
      </c>
      <c r="Y659" s="15"/>
      <c r="Z659" s="151">
        <v>0</v>
      </c>
      <c r="AA659" s="149">
        <f>Tabela4[[#This Row],[VALOR]]-Tabela4[[#This Row],[PNEUS]]-Tabela4[[#This Row],[BATERIA]]</f>
        <v>240</v>
      </c>
      <c r="AB659" s="19" t="s">
        <v>27</v>
      </c>
      <c r="AC659" s="30">
        <v>0</v>
      </c>
      <c r="AD659" s="162">
        <v>0</v>
      </c>
      <c r="AE659" s="162">
        <v>0</v>
      </c>
      <c r="AF659" s="162">
        <v>0</v>
      </c>
      <c r="AG659" s="162">
        <v>0</v>
      </c>
      <c r="AH659" s="162">
        <v>0</v>
      </c>
      <c r="AI659" s="162">
        <v>0</v>
      </c>
      <c r="AJ659" s="162">
        <v>0</v>
      </c>
    </row>
    <row r="660" spans="1:36" x14ac:dyDescent="0.25">
      <c r="A660" t="s">
        <v>416</v>
      </c>
      <c r="B660" t="s">
        <v>1115</v>
      </c>
      <c r="C660" s="143">
        <v>45411</v>
      </c>
      <c r="D660" s="141">
        <v>45411</v>
      </c>
      <c r="E660">
        <f>Tabela4[[#This Row],[DATA FATURAMENTO]]-Tabela4[[#This Row],[DATA ORÇAMENTO]]</f>
        <v>0</v>
      </c>
      <c r="F660">
        <v>11362</v>
      </c>
      <c r="G660" s="15" t="s">
        <v>6</v>
      </c>
      <c r="H660" s="54"/>
      <c r="I660" s="151">
        <v>905</v>
      </c>
      <c r="J660" s="154">
        <f>Tabela4[[#This Row],[VALOR]]-Tabela4[[#This Row],[PECAS]]</f>
        <v>0</v>
      </c>
      <c r="K660" s="150">
        <v>905</v>
      </c>
      <c r="L660" s="151">
        <v>0</v>
      </c>
      <c r="M660" s="151">
        <v>0</v>
      </c>
      <c r="N660" s="24"/>
      <c r="O660" s="151">
        <v>0</v>
      </c>
      <c r="P660" s="151">
        <v>0</v>
      </c>
      <c r="Q660" s="151">
        <v>0</v>
      </c>
      <c r="R660" s="151">
        <v>0</v>
      </c>
      <c r="S660" s="154">
        <v>0</v>
      </c>
      <c r="T660" s="151">
        <v>0</v>
      </c>
      <c r="U660" s="151">
        <v>905</v>
      </c>
      <c r="V660" s="15" t="s">
        <v>810</v>
      </c>
      <c r="W660" s="22">
        <v>0</v>
      </c>
      <c r="X660" s="149">
        <v>0</v>
      </c>
      <c r="Y660" s="15"/>
      <c r="Z660" s="151">
        <v>0</v>
      </c>
      <c r="AA660" s="149">
        <f>Tabela4[[#This Row],[VALOR]]-Tabela4[[#This Row],[PNEUS]]-Tabela4[[#This Row],[BATERIA]]</f>
        <v>0</v>
      </c>
      <c r="AB660" s="19" t="s">
        <v>6</v>
      </c>
      <c r="AC660" s="30">
        <v>0</v>
      </c>
      <c r="AD660" s="162">
        <v>0</v>
      </c>
      <c r="AE660" s="162">
        <v>0</v>
      </c>
      <c r="AF660" s="162">
        <v>0</v>
      </c>
      <c r="AG660" s="162">
        <v>0</v>
      </c>
      <c r="AH660" s="162">
        <v>0</v>
      </c>
      <c r="AI660" s="162">
        <v>0</v>
      </c>
      <c r="AJ660" s="162">
        <v>0</v>
      </c>
    </row>
    <row r="661" spans="1:36" x14ac:dyDescent="0.25">
      <c r="A661" t="s">
        <v>124</v>
      </c>
      <c r="B661" t="s">
        <v>1116</v>
      </c>
      <c r="C661" s="143">
        <v>45357</v>
      </c>
      <c r="D661" s="142">
        <v>45412</v>
      </c>
      <c r="E661">
        <f>Tabela4[[#This Row],[DATA FATURAMENTO]]-Tabela4[[#This Row],[DATA ORÇAMENTO]]</f>
        <v>55</v>
      </c>
      <c r="F661">
        <v>10822</v>
      </c>
      <c r="G661" s="25" t="s">
        <v>316</v>
      </c>
      <c r="H661" s="25"/>
      <c r="I661" s="155">
        <v>0</v>
      </c>
      <c r="J661" s="154">
        <f>Tabela4[[#This Row],[VALOR]]-Tabela4[[#This Row],[PECAS]]</f>
        <v>70</v>
      </c>
      <c r="K661" s="150">
        <v>70</v>
      </c>
      <c r="L661" s="155">
        <v>0</v>
      </c>
      <c r="M661" s="155">
        <v>0</v>
      </c>
      <c r="N661" s="67"/>
      <c r="O661" s="155">
        <v>0</v>
      </c>
      <c r="P661" s="155">
        <v>0</v>
      </c>
      <c r="Q661" s="155">
        <v>0</v>
      </c>
      <c r="R661" s="155">
        <v>0</v>
      </c>
      <c r="S661" s="154">
        <v>0</v>
      </c>
      <c r="T661" s="155">
        <v>0</v>
      </c>
      <c r="U661" s="155">
        <v>0</v>
      </c>
      <c r="V661" s="25"/>
      <c r="W661" s="22">
        <v>0</v>
      </c>
      <c r="X661" s="149">
        <v>0</v>
      </c>
      <c r="Y661" s="25"/>
      <c r="Z661" s="155">
        <v>0</v>
      </c>
      <c r="AA661" s="149">
        <f>Tabela4[[#This Row],[VALOR]]-Tabela4[[#This Row],[PNEUS]]-Tabela4[[#This Row],[BATERIA]]</f>
        <v>70</v>
      </c>
      <c r="AB661" s="27" t="s">
        <v>24</v>
      </c>
      <c r="AC661" s="30">
        <v>0</v>
      </c>
      <c r="AD661" s="162">
        <v>0</v>
      </c>
      <c r="AE661" s="162">
        <v>0</v>
      </c>
      <c r="AF661" s="162">
        <v>0</v>
      </c>
      <c r="AG661" s="162">
        <v>0</v>
      </c>
      <c r="AH661" s="162">
        <v>0</v>
      </c>
      <c r="AI661" s="162">
        <v>0</v>
      </c>
      <c r="AJ661" s="162">
        <v>0</v>
      </c>
    </row>
    <row r="662" spans="1:36" x14ac:dyDescent="0.25">
      <c r="A662" t="s">
        <v>1117</v>
      </c>
      <c r="B662" t="s">
        <v>1118</v>
      </c>
      <c r="C662" s="143">
        <v>45372</v>
      </c>
      <c r="D662" s="142">
        <v>45412</v>
      </c>
      <c r="E662">
        <f>Tabela4[[#This Row],[DATA FATURAMENTO]]-Tabela4[[#This Row],[DATA ORÇAMENTO]]</f>
        <v>40</v>
      </c>
      <c r="F662">
        <v>10981</v>
      </c>
      <c r="G662" s="15" t="s">
        <v>28</v>
      </c>
      <c r="H662" s="25"/>
      <c r="I662" s="151">
        <v>1167.6199999999999</v>
      </c>
      <c r="J662" s="154">
        <f>Tabela4[[#This Row],[VALOR]]-Tabela4[[#This Row],[PECAS]]</f>
        <v>1040.0100000000002</v>
      </c>
      <c r="K662" s="150">
        <v>2207.63</v>
      </c>
      <c r="L662" s="151">
        <v>0</v>
      </c>
      <c r="M662" s="151">
        <f>91.8+140</f>
        <v>231.8</v>
      </c>
      <c r="N662" s="24"/>
      <c r="O662" s="151">
        <v>0</v>
      </c>
      <c r="P662" s="151">
        <v>0</v>
      </c>
      <c r="Q662" s="151">
        <v>100</v>
      </c>
      <c r="R662" s="151">
        <v>0</v>
      </c>
      <c r="S662" s="154">
        <v>0</v>
      </c>
      <c r="T662" s="151">
        <v>0</v>
      </c>
      <c r="U662" s="151">
        <v>0</v>
      </c>
      <c r="V662" s="15"/>
      <c r="W662" s="22">
        <v>4</v>
      </c>
      <c r="X662" s="149">
        <v>0</v>
      </c>
      <c r="Y662" s="15" t="s">
        <v>654</v>
      </c>
      <c r="Z662" s="151">
        <v>0</v>
      </c>
      <c r="AA662" s="149">
        <f>Tabela4[[#This Row],[VALOR]]-Tabela4[[#This Row],[PNEUS]]-Tabela4[[#This Row],[BATERIA]]</f>
        <v>2207.63</v>
      </c>
      <c r="AB662" s="19" t="s">
        <v>34</v>
      </c>
      <c r="AC662" s="30">
        <v>0</v>
      </c>
      <c r="AD662" s="162">
        <v>0</v>
      </c>
      <c r="AE662" s="162">
        <v>0</v>
      </c>
      <c r="AF662" s="162">
        <v>0</v>
      </c>
      <c r="AG662" s="162">
        <v>0</v>
      </c>
      <c r="AH662" s="162">
        <v>0</v>
      </c>
      <c r="AI662" s="162">
        <v>0</v>
      </c>
      <c r="AJ662" s="162">
        <v>0</v>
      </c>
    </row>
    <row r="663" spans="1:36" x14ac:dyDescent="0.25">
      <c r="A663" t="s">
        <v>315</v>
      </c>
      <c r="B663" t="s">
        <v>1119</v>
      </c>
      <c r="C663" s="143">
        <v>45385</v>
      </c>
      <c r="D663" s="142">
        <v>45412</v>
      </c>
      <c r="E663">
        <f>Tabela4[[#This Row],[DATA FATURAMENTO]]-Tabela4[[#This Row],[DATA ORÇAMENTO]]</f>
        <v>27</v>
      </c>
      <c r="F663">
        <v>11115</v>
      </c>
      <c r="G663" s="15" t="s">
        <v>316</v>
      </c>
      <c r="H663" s="54"/>
      <c r="I663" s="151">
        <v>0</v>
      </c>
      <c r="J663" s="154">
        <f>Tabela4[[#This Row],[VALOR]]-Tabela4[[#This Row],[PECAS]]</f>
        <v>70</v>
      </c>
      <c r="K663" s="150">
        <v>70</v>
      </c>
      <c r="L663" s="151">
        <v>0</v>
      </c>
      <c r="M663" s="151">
        <v>0</v>
      </c>
      <c r="N663" s="24"/>
      <c r="O663" s="151">
        <v>0</v>
      </c>
      <c r="P663" s="151">
        <v>0</v>
      </c>
      <c r="Q663" s="151">
        <v>0</v>
      </c>
      <c r="R663" s="151">
        <v>0</v>
      </c>
      <c r="S663" s="154">
        <v>0</v>
      </c>
      <c r="T663" s="151">
        <v>0</v>
      </c>
      <c r="U663" s="151">
        <v>0</v>
      </c>
      <c r="V663" s="15"/>
      <c r="W663" s="22">
        <v>0</v>
      </c>
      <c r="X663" s="149">
        <v>0</v>
      </c>
      <c r="Y663" s="15"/>
      <c r="Z663" s="151">
        <v>0</v>
      </c>
      <c r="AA663" s="149">
        <f>Tabela4[[#This Row],[VALOR]]-Tabela4[[#This Row],[PNEUS]]-Tabela4[[#This Row],[BATERIA]]</f>
        <v>70</v>
      </c>
      <c r="AB663" s="19" t="s">
        <v>24</v>
      </c>
      <c r="AC663" s="30">
        <v>0</v>
      </c>
      <c r="AD663" s="162">
        <v>0</v>
      </c>
      <c r="AE663" s="162">
        <v>0</v>
      </c>
      <c r="AF663" s="162">
        <v>0</v>
      </c>
      <c r="AG663" s="162">
        <v>0</v>
      </c>
      <c r="AH663" s="162">
        <v>0</v>
      </c>
      <c r="AI663" s="162">
        <v>0</v>
      </c>
      <c r="AJ663" s="162">
        <v>0</v>
      </c>
    </row>
    <row r="664" spans="1:36" x14ac:dyDescent="0.25">
      <c r="A664" t="s">
        <v>318</v>
      </c>
      <c r="B664" t="s">
        <v>1120</v>
      </c>
      <c r="C664" s="143">
        <v>45385</v>
      </c>
      <c r="D664" s="142">
        <v>45412</v>
      </c>
      <c r="E664">
        <f>Tabela4[[#This Row],[DATA FATURAMENTO]]-Tabela4[[#This Row],[DATA ORÇAMENTO]]</f>
        <v>27</v>
      </c>
      <c r="F664">
        <v>11119</v>
      </c>
      <c r="G664" s="15" t="s">
        <v>316</v>
      </c>
      <c r="H664" s="54"/>
      <c r="I664" s="151">
        <v>0</v>
      </c>
      <c r="J664" s="154">
        <f>Tabela4[[#This Row],[VALOR]]-Tabela4[[#This Row],[PECAS]]</f>
        <v>70</v>
      </c>
      <c r="K664" s="150">
        <v>70</v>
      </c>
      <c r="L664" s="151">
        <v>0</v>
      </c>
      <c r="M664" s="151">
        <v>0</v>
      </c>
      <c r="N664" s="24"/>
      <c r="O664" s="151">
        <v>0</v>
      </c>
      <c r="P664" s="151">
        <v>0</v>
      </c>
      <c r="Q664" s="151">
        <v>0</v>
      </c>
      <c r="R664" s="151">
        <v>0</v>
      </c>
      <c r="S664" s="154">
        <v>0</v>
      </c>
      <c r="T664" s="151">
        <v>0</v>
      </c>
      <c r="U664" s="151">
        <v>0</v>
      </c>
      <c r="V664" s="15"/>
      <c r="W664" s="22">
        <v>0</v>
      </c>
      <c r="X664" s="149">
        <v>0</v>
      </c>
      <c r="Y664" s="15"/>
      <c r="Z664" s="151">
        <v>0</v>
      </c>
      <c r="AA664" s="149">
        <f>Tabela4[[#This Row],[VALOR]]-Tabela4[[#This Row],[PNEUS]]-Tabela4[[#This Row],[BATERIA]]</f>
        <v>70</v>
      </c>
      <c r="AB664" s="19" t="s">
        <v>24</v>
      </c>
      <c r="AC664" s="30">
        <v>0</v>
      </c>
      <c r="AD664" s="162">
        <v>0</v>
      </c>
      <c r="AE664" s="162">
        <v>0</v>
      </c>
      <c r="AF664" s="162">
        <v>0</v>
      </c>
      <c r="AG664" s="162">
        <v>0</v>
      </c>
      <c r="AH664" s="162">
        <v>0</v>
      </c>
      <c r="AI664" s="162">
        <v>0</v>
      </c>
      <c r="AJ664" s="162">
        <v>0</v>
      </c>
    </row>
    <row r="665" spans="1:36" x14ac:dyDescent="0.25">
      <c r="A665" t="s">
        <v>363</v>
      </c>
      <c r="B665" t="s">
        <v>1121</v>
      </c>
      <c r="C665" s="143">
        <v>45399</v>
      </c>
      <c r="D665" s="142">
        <v>45412</v>
      </c>
      <c r="E665">
        <f>Tabela4[[#This Row],[DATA FATURAMENTO]]-Tabela4[[#This Row],[DATA ORÇAMENTO]]</f>
        <v>13</v>
      </c>
      <c r="F665">
        <v>11249</v>
      </c>
      <c r="G665" s="15" t="s">
        <v>25</v>
      </c>
      <c r="H665" s="54"/>
      <c r="I665" s="151">
        <v>3455.8</v>
      </c>
      <c r="J665" s="154">
        <f>Tabela4[[#This Row],[VALOR]]-Tabela4[[#This Row],[PECAS]]</f>
        <v>1437.3999999999996</v>
      </c>
      <c r="K665" s="150">
        <v>4893.2</v>
      </c>
      <c r="L665" s="151">
        <v>0</v>
      </c>
      <c r="M665" s="151">
        <f>87.8+140</f>
        <v>227.8</v>
      </c>
      <c r="N665" s="24"/>
      <c r="O665" s="151">
        <f>100+19.4</f>
        <v>119.4</v>
      </c>
      <c r="P665" s="151">
        <f>85+42</f>
        <v>127</v>
      </c>
      <c r="Q665" s="151">
        <v>0</v>
      </c>
      <c r="R665" s="151">
        <v>0</v>
      </c>
      <c r="S665" s="154">
        <v>189.91</v>
      </c>
      <c r="T665" s="151">
        <v>1575.8</v>
      </c>
      <c r="U665" s="151">
        <v>460</v>
      </c>
      <c r="V665" s="15" t="s">
        <v>813</v>
      </c>
      <c r="W665" s="22">
        <v>0</v>
      </c>
      <c r="X665" s="149">
        <v>0</v>
      </c>
      <c r="Y665" s="15"/>
      <c r="Z665" s="151">
        <v>0</v>
      </c>
      <c r="AA665" s="149">
        <f>Tabela4[[#This Row],[VALOR]]-Tabela4[[#This Row],[PNEUS]]-Tabela4[[#This Row],[BATERIA]]</f>
        <v>2857.3999999999996</v>
      </c>
      <c r="AB665" s="19" t="s">
        <v>27</v>
      </c>
      <c r="AC665" s="30">
        <v>0</v>
      </c>
      <c r="AD665" s="162">
        <v>0</v>
      </c>
      <c r="AE665" s="162">
        <v>0</v>
      </c>
      <c r="AF665" s="162">
        <v>0</v>
      </c>
      <c r="AG665" s="162">
        <v>0</v>
      </c>
      <c r="AH665" s="162">
        <v>0</v>
      </c>
      <c r="AI665" s="162">
        <v>0</v>
      </c>
      <c r="AJ665" s="162">
        <v>0</v>
      </c>
    </row>
    <row r="666" spans="1:36" x14ac:dyDescent="0.25">
      <c r="A666" t="s">
        <v>384</v>
      </c>
      <c r="B666" t="s">
        <v>1122</v>
      </c>
      <c r="C666" s="143">
        <v>45401</v>
      </c>
      <c r="D666" s="142">
        <v>45412</v>
      </c>
      <c r="E666">
        <f>Tabela4[[#This Row],[DATA FATURAMENTO]]-Tabela4[[#This Row],[DATA ORÇAMENTO]]</f>
        <v>11</v>
      </c>
      <c r="F666">
        <v>11275</v>
      </c>
      <c r="G666" s="15" t="s">
        <v>22</v>
      </c>
      <c r="H666" s="54"/>
      <c r="I666" s="151">
        <v>1142.9000000000001</v>
      </c>
      <c r="J666" s="154">
        <f>Tabela4[[#This Row],[VALOR]]-Tabela4[[#This Row],[PECAS]]</f>
        <v>887</v>
      </c>
      <c r="K666" s="150">
        <v>2029.9</v>
      </c>
      <c r="L666" s="151">
        <v>0</v>
      </c>
      <c r="M666" s="151">
        <v>0</v>
      </c>
      <c r="N666" s="24"/>
      <c r="O666" s="151">
        <v>47</v>
      </c>
      <c r="P666" s="151">
        <v>0</v>
      </c>
      <c r="Q666" s="151">
        <v>0</v>
      </c>
      <c r="R666" s="151">
        <v>0</v>
      </c>
      <c r="S666" s="154">
        <v>0</v>
      </c>
      <c r="T666" s="151">
        <v>0</v>
      </c>
      <c r="U666" s="151">
        <v>0</v>
      </c>
      <c r="V666" s="15"/>
      <c r="W666" s="22">
        <v>0</v>
      </c>
      <c r="X666" s="149">
        <v>0</v>
      </c>
      <c r="Y666" s="15"/>
      <c r="Z666" s="151">
        <v>0</v>
      </c>
      <c r="AA666" s="149">
        <f>Tabela4[[#This Row],[VALOR]]-Tabela4[[#This Row],[PNEUS]]-Tabela4[[#This Row],[BATERIA]]</f>
        <v>2029.9</v>
      </c>
      <c r="AB666" s="19" t="s">
        <v>34</v>
      </c>
      <c r="AC666" s="30">
        <v>0</v>
      </c>
      <c r="AD666" s="162">
        <v>0</v>
      </c>
      <c r="AE666" s="162">
        <v>0</v>
      </c>
      <c r="AF666" s="162">
        <v>0</v>
      </c>
      <c r="AG666" s="162">
        <v>0</v>
      </c>
      <c r="AH666" s="162">
        <v>0</v>
      </c>
      <c r="AI666" s="162">
        <v>0</v>
      </c>
      <c r="AJ666" s="162">
        <v>0</v>
      </c>
    </row>
    <row r="667" spans="1:36" x14ac:dyDescent="0.25">
      <c r="A667" t="s">
        <v>1123</v>
      </c>
      <c r="B667" t="s">
        <v>912</v>
      </c>
      <c r="C667" s="143">
        <v>45405</v>
      </c>
      <c r="D667" s="142">
        <v>45412</v>
      </c>
      <c r="E667">
        <f>Tabela4[[#This Row],[DATA FATURAMENTO]]-Tabela4[[#This Row],[DATA ORÇAMENTO]]</f>
        <v>7</v>
      </c>
      <c r="F667">
        <v>11309</v>
      </c>
      <c r="G667" s="15" t="s">
        <v>316</v>
      </c>
      <c r="H667" s="54"/>
      <c r="I667" s="151">
        <v>0</v>
      </c>
      <c r="J667" s="154">
        <f>Tabela4[[#This Row],[VALOR]]-Tabela4[[#This Row],[PECAS]]</f>
        <v>70</v>
      </c>
      <c r="K667" s="150">
        <v>70</v>
      </c>
      <c r="L667" s="151">
        <v>0</v>
      </c>
      <c r="M667" s="151">
        <v>0</v>
      </c>
      <c r="N667" s="24"/>
      <c r="O667" s="151">
        <v>0</v>
      </c>
      <c r="P667" s="151">
        <v>0</v>
      </c>
      <c r="Q667" s="151">
        <v>0</v>
      </c>
      <c r="R667" s="151">
        <v>0</v>
      </c>
      <c r="S667" s="154">
        <v>0</v>
      </c>
      <c r="T667" s="151">
        <v>0</v>
      </c>
      <c r="U667" s="151">
        <v>0</v>
      </c>
      <c r="V667" s="15"/>
      <c r="W667" s="22">
        <v>0</v>
      </c>
      <c r="X667" s="149">
        <v>0</v>
      </c>
      <c r="Y667" s="15"/>
      <c r="Z667" s="151">
        <v>0</v>
      </c>
      <c r="AA667" s="149">
        <f>Tabela4[[#This Row],[VALOR]]-Tabela4[[#This Row],[PNEUS]]-Tabela4[[#This Row],[BATERIA]]</f>
        <v>70</v>
      </c>
      <c r="AB667" s="19" t="s">
        <v>24</v>
      </c>
      <c r="AC667" s="30">
        <v>0</v>
      </c>
      <c r="AD667" s="162">
        <v>0</v>
      </c>
      <c r="AE667" s="162">
        <v>0</v>
      </c>
      <c r="AF667" s="162">
        <v>0</v>
      </c>
      <c r="AG667" s="162">
        <v>0</v>
      </c>
      <c r="AH667" s="162">
        <v>0</v>
      </c>
      <c r="AI667" s="162">
        <v>0</v>
      </c>
      <c r="AJ667" s="162">
        <v>0</v>
      </c>
    </row>
    <row r="668" spans="1:36" x14ac:dyDescent="0.25">
      <c r="A668" t="s">
        <v>417</v>
      </c>
      <c r="B668" t="s">
        <v>1124</v>
      </c>
      <c r="C668" s="143">
        <v>45411</v>
      </c>
      <c r="D668" s="142">
        <v>45412</v>
      </c>
      <c r="E668">
        <f>Tabela4[[#This Row],[DATA FATURAMENTO]]-Tabela4[[#This Row],[DATA ORÇAMENTO]]</f>
        <v>1</v>
      </c>
      <c r="F668">
        <v>11364</v>
      </c>
      <c r="G668" s="15" t="s">
        <v>22</v>
      </c>
      <c r="H668" s="54"/>
      <c r="I668" s="151">
        <v>308</v>
      </c>
      <c r="J668" s="154">
        <f>Tabela4[[#This Row],[VALOR]]-Tabela4[[#This Row],[PECAS]]</f>
        <v>585</v>
      </c>
      <c r="K668" s="150">
        <v>893</v>
      </c>
      <c r="L668" s="151">
        <v>0</v>
      </c>
      <c r="M668" s="151">
        <v>0</v>
      </c>
      <c r="N668" s="24"/>
      <c r="O668" s="151">
        <v>0</v>
      </c>
      <c r="P668" s="151">
        <v>0</v>
      </c>
      <c r="Q668" s="151">
        <v>0</v>
      </c>
      <c r="R668" s="151">
        <v>0</v>
      </c>
      <c r="S668" s="154">
        <v>0</v>
      </c>
      <c r="T668" s="151">
        <v>0</v>
      </c>
      <c r="U668" s="151">
        <v>0</v>
      </c>
      <c r="V668" s="15"/>
      <c r="W668" s="22">
        <v>4</v>
      </c>
      <c r="X668" s="149">
        <v>0</v>
      </c>
      <c r="Y668" s="15" t="s">
        <v>805</v>
      </c>
      <c r="Z668" s="151">
        <v>0</v>
      </c>
      <c r="AA668" s="149">
        <f>Tabela4[[#This Row],[VALOR]]-Tabela4[[#This Row],[PNEUS]]-Tabela4[[#This Row],[BATERIA]]</f>
        <v>893</v>
      </c>
      <c r="AB668" s="19" t="s">
        <v>34</v>
      </c>
      <c r="AC668" s="30">
        <v>0</v>
      </c>
      <c r="AD668" s="162">
        <v>0</v>
      </c>
      <c r="AE668" s="162">
        <v>0</v>
      </c>
      <c r="AF668" s="162">
        <v>0</v>
      </c>
      <c r="AG668" s="162">
        <v>0</v>
      </c>
      <c r="AH668" s="162">
        <v>0</v>
      </c>
      <c r="AI668" s="162">
        <v>0</v>
      </c>
      <c r="AJ668" s="162">
        <v>0</v>
      </c>
    </row>
    <row r="669" spans="1:36" x14ac:dyDescent="0.25">
      <c r="A669" t="s">
        <v>419</v>
      </c>
      <c r="B669" t="s">
        <v>1125</v>
      </c>
      <c r="C669" s="143">
        <v>45411</v>
      </c>
      <c r="D669" s="142">
        <v>45412</v>
      </c>
      <c r="E669">
        <f>Tabela4[[#This Row],[DATA FATURAMENTO]]-Tabela4[[#This Row],[DATA ORÇAMENTO]]</f>
        <v>1</v>
      </c>
      <c r="F669">
        <v>11368</v>
      </c>
      <c r="G669" s="15" t="s">
        <v>31</v>
      </c>
      <c r="H669" s="54"/>
      <c r="I669" s="151">
        <v>1425</v>
      </c>
      <c r="J669" s="154">
        <f>Tabela4[[#This Row],[VALOR]]-Tabela4[[#This Row],[PECAS]]</f>
        <v>710</v>
      </c>
      <c r="K669" s="150">
        <v>2135</v>
      </c>
      <c r="L669" s="151">
        <v>0</v>
      </c>
      <c r="M669" s="151">
        <v>0</v>
      </c>
      <c r="N669" s="24"/>
      <c r="O669" s="151">
        <v>0</v>
      </c>
      <c r="P669" s="151">
        <v>0</v>
      </c>
      <c r="Q669" s="151">
        <v>0</v>
      </c>
      <c r="R669" s="151">
        <v>0</v>
      </c>
      <c r="S669" s="154">
        <v>0</v>
      </c>
      <c r="T669" s="151">
        <v>0</v>
      </c>
      <c r="U669" s="151">
        <v>0</v>
      </c>
      <c r="V669" s="15"/>
      <c r="W669" s="22">
        <v>4</v>
      </c>
      <c r="X669" s="149">
        <v>0</v>
      </c>
      <c r="Y669" s="15" t="s">
        <v>807</v>
      </c>
      <c r="Z669" s="151">
        <v>0</v>
      </c>
      <c r="AA669" s="149">
        <f>Tabela4[[#This Row],[VALOR]]-Tabela4[[#This Row],[PNEUS]]-Tabela4[[#This Row],[BATERIA]]</f>
        <v>2135</v>
      </c>
      <c r="AB669" s="19" t="s">
        <v>34</v>
      </c>
      <c r="AC669" s="30">
        <v>0</v>
      </c>
      <c r="AD669" s="162">
        <v>0</v>
      </c>
      <c r="AE669" s="162">
        <v>0</v>
      </c>
      <c r="AF669" s="162">
        <v>0</v>
      </c>
      <c r="AG669" s="162">
        <v>0</v>
      </c>
      <c r="AH669" s="162">
        <v>0</v>
      </c>
      <c r="AI669" s="162">
        <v>0</v>
      </c>
      <c r="AJ669" s="162">
        <v>0</v>
      </c>
    </row>
    <row r="670" spans="1:36" x14ac:dyDescent="0.25">
      <c r="A670" t="s">
        <v>1126</v>
      </c>
      <c r="B670" t="s">
        <v>1127</v>
      </c>
      <c r="C670" s="143">
        <v>45412</v>
      </c>
      <c r="D670" s="142">
        <v>45412</v>
      </c>
      <c r="E670">
        <f>Tabela4[[#This Row],[DATA FATURAMENTO]]-Tabela4[[#This Row],[DATA ORÇAMENTO]]</f>
        <v>0</v>
      </c>
      <c r="F670">
        <v>11373</v>
      </c>
      <c r="G670" s="15" t="s">
        <v>22</v>
      </c>
      <c r="H670" s="54"/>
      <c r="I670" s="151">
        <v>420</v>
      </c>
      <c r="J670" s="154">
        <f>Tabela4[[#This Row],[VALOR]]-Tabela4[[#This Row],[PECAS]]</f>
        <v>170</v>
      </c>
      <c r="K670" s="150">
        <v>590</v>
      </c>
      <c r="L670" s="151">
        <v>0</v>
      </c>
      <c r="M670" s="151">
        <v>0</v>
      </c>
      <c r="N670" s="24"/>
      <c r="O670" s="151">
        <v>0</v>
      </c>
      <c r="P670" s="151">
        <v>0</v>
      </c>
      <c r="Q670" s="151">
        <v>0</v>
      </c>
      <c r="R670" s="151">
        <v>0</v>
      </c>
      <c r="S670" s="154">
        <v>170</v>
      </c>
      <c r="T670" s="151">
        <v>0</v>
      </c>
      <c r="U670" s="151">
        <v>0</v>
      </c>
      <c r="V670" s="15"/>
      <c r="W670" s="22">
        <v>4</v>
      </c>
      <c r="X670" s="149">
        <v>0</v>
      </c>
      <c r="Y670" s="15" t="s">
        <v>804</v>
      </c>
      <c r="Z670" s="151">
        <v>0</v>
      </c>
      <c r="AA670" s="149">
        <f>Tabela4[[#This Row],[VALOR]]-Tabela4[[#This Row],[PNEUS]]-Tabela4[[#This Row],[BATERIA]]</f>
        <v>590</v>
      </c>
      <c r="AB670" s="19" t="s">
        <v>32</v>
      </c>
      <c r="AC670" s="30">
        <v>0</v>
      </c>
      <c r="AD670" s="162">
        <v>0</v>
      </c>
      <c r="AE670" s="162">
        <v>0</v>
      </c>
      <c r="AF670" s="162">
        <v>0</v>
      </c>
      <c r="AG670" s="162">
        <v>0</v>
      </c>
      <c r="AH670" s="162">
        <v>0</v>
      </c>
      <c r="AI670" s="162">
        <v>0</v>
      </c>
      <c r="AJ670" s="162">
        <v>0</v>
      </c>
    </row>
    <row r="671" spans="1:36" x14ac:dyDescent="0.25">
      <c r="A671" t="s">
        <v>534</v>
      </c>
      <c r="B671" t="s">
        <v>1128</v>
      </c>
      <c r="C671" s="143">
        <v>45411</v>
      </c>
      <c r="D671" s="142">
        <v>45414</v>
      </c>
      <c r="E671">
        <f>Tabela4[[#This Row],[DATA FATURAMENTO]]-Tabela4[[#This Row],[DATA ORÇAMENTO]]</f>
        <v>3</v>
      </c>
      <c r="F671">
        <v>11367</v>
      </c>
      <c r="G671" s="25" t="s">
        <v>31</v>
      </c>
      <c r="H671" s="25"/>
      <c r="I671" s="155">
        <v>124.5</v>
      </c>
      <c r="J671" s="154">
        <f>Tabela4[[#This Row],[VALOR]]-Tabela4[[#This Row],[PECAS]]</f>
        <v>782.5</v>
      </c>
      <c r="K671" s="150">
        <v>907</v>
      </c>
      <c r="L671" s="155">
        <v>0</v>
      </c>
      <c r="M671" s="155">
        <v>0</v>
      </c>
      <c r="N671" s="67"/>
      <c r="O671" s="155">
        <v>0</v>
      </c>
      <c r="P671" s="155">
        <v>0</v>
      </c>
      <c r="Q671" s="155">
        <v>0</v>
      </c>
      <c r="R671" s="155">
        <v>0</v>
      </c>
      <c r="S671" s="154">
        <v>0</v>
      </c>
      <c r="T671" s="155">
        <v>0</v>
      </c>
      <c r="U671" s="155">
        <v>0</v>
      </c>
      <c r="V671" s="25"/>
      <c r="W671" s="22">
        <v>0</v>
      </c>
      <c r="X671" s="149">
        <v>0</v>
      </c>
      <c r="Y671" s="25"/>
      <c r="Z671" s="155">
        <v>0</v>
      </c>
      <c r="AA671" s="149">
        <f>Tabela4[[#This Row],[VALOR]]-Tabela4[[#This Row],[PNEUS]]-Tabela4[[#This Row],[BATERIA]]</f>
        <v>907</v>
      </c>
      <c r="AB671" s="27" t="s">
        <v>32</v>
      </c>
      <c r="AC671" s="30">
        <v>0</v>
      </c>
      <c r="AD671" s="162">
        <v>0</v>
      </c>
      <c r="AE671" s="162">
        <v>0</v>
      </c>
      <c r="AF671" s="162">
        <v>0</v>
      </c>
      <c r="AG671" s="162">
        <v>0</v>
      </c>
      <c r="AH671" s="162">
        <v>0</v>
      </c>
      <c r="AI671" s="162">
        <v>0</v>
      </c>
      <c r="AJ671" s="162">
        <v>0</v>
      </c>
    </row>
    <row r="672" spans="1:36" x14ac:dyDescent="0.25">
      <c r="A672" t="s">
        <v>237</v>
      </c>
      <c r="B672" t="s">
        <v>1040</v>
      </c>
      <c r="C672" s="143">
        <v>45414</v>
      </c>
      <c r="D672" s="141">
        <v>45414</v>
      </c>
      <c r="E672">
        <f>Tabela4[[#This Row],[DATA FATURAMENTO]]-Tabela4[[#This Row],[DATA ORÇAMENTO]]</f>
        <v>0</v>
      </c>
      <c r="F672">
        <v>11383</v>
      </c>
      <c r="G672" s="15" t="s">
        <v>22</v>
      </c>
      <c r="H672" s="25"/>
      <c r="I672" s="151">
        <v>0</v>
      </c>
      <c r="J672" s="154">
        <f>Tabela4[[#This Row],[VALOR]]-Tabela4[[#This Row],[PECAS]]</f>
        <v>170</v>
      </c>
      <c r="K672" s="150">
        <v>170</v>
      </c>
      <c r="L672" s="151">
        <v>0</v>
      </c>
      <c r="M672" s="151">
        <v>0</v>
      </c>
      <c r="N672" s="24"/>
      <c r="O672" s="151">
        <v>0</v>
      </c>
      <c r="P672" s="151">
        <v>0</v>
      </c>
      <c r="Q672" s="151">
        <v>0</v>
      </c>
      <c r="R672" s="151">
        <v>0</v>
      </c>
      <c r="S672" s="154">
        <v>0</v>
      </c>
      <c r="T672" s="151">
        <v>0</v>
      </c>
      <c r="U672" s="151">
        <v>0</v>
      </c>
      <c r="V672" s="15"/>
      <c r="W672" s="22">
        <v>0</v>
      </c>
      <c r="X672" s="149">
        <v>0</v>
      </c>
      <c r="Y672" s="15"/>
      <c r="Z672" s="151">
        <v>0</v>
      </c>
      <c r="AA672" s="149">
        <f>Tabela4[[#This Row],[VALOR]]-Tabela4[[#This Row],[PNEUS]]-Tabela4[[#This Row],[BATERIA]]</f>
        <v>170</v>
      </c>
      <c r="AB672" s="19" t="s">
        <v>27</v>
      </c>
      <c r="AC672" s="30">
        <v>0</v>
      </c>
      <c r="AD672" s="162">
        <v>0</v>
      </c>
      <c r="AE672" s="162">
        <v>0</v>
      </c>
      <c r="AF672" s="162">
        <v>0</v>
      </c>
      <c r="AG672" s="162">
        <v>0</v>
      </c>
      <c r="AH672" s="162">
        <v>0</v>
      </c>
      <c r="AI672" s="162">
        <v>0</v>
      </c>
      <c r="AJ672" s="162">
        <v>0</v>
      </c>
    </row>
    <row r="673" spans="1:36" x14ac:dyDescent="0.25">
      <c r="A673" t="s">
        <v>424</v>
      </c>
      <c r="B673" t="s">
        <v>1129</v>
      </c>
      <c r="C673" s="143">
        <v>45414</v>
      </c>
      <c r="D673" s="141">
        <v>45414</v>
      </c>
      <c r="E673">
        <f>Tabela4[[#This Row],[DATA FATURAMENTO]]-Tabela4[[#This Row],[DATA ORÇAMENTO]]</f>
        <v>0</v>
      </c>
      <c r="F673">
        <v>11386</v>
      </c>
      <c r="G673" s="15" t="s">
        <v>31</v>
      </c>
      <c r="H673" s="54"/>
      <c r="I673" s="151">
        <v>30</v>
      </c>
      <c r="J673" s="154">
        <f>Tabela4[[#This Row],[VALOR]]-Tabela4[[#This Row],[PECAS]]</f>
        <v>0</v>
      </c>
      <c r="K673" s="150">
        <v>30</v>
      </c>
      <c r="L673" s="151">
        <v>0</v>
      </c>
      <c r="M673" s="151">
        <v>0</v>
      </c>
      <c r="N673" s="24"/>
      <c r="O673" s="151">
        <v>0</v>
      </c>
      <c r="P673" s="151">
        <v>0</v>
      </c>
      <c r="Q673" s="151">
        <v>0</v>
      </c>
      <c r="R673" s="151">
        <v>0</v>
      </c>
      <c r="S673" s="154">
        <v>0</v>
      </c>
      <c r="T673" s="151">
        <v>0</v>
      </c>
      <c r="U673" s="151">
        <v>0</v>
      </c>
      <c r="V673" s="15"/>
      <c r="W673" s="22">
        <v>0</v>
      </c>
      <c r="X673" s="149">
        <v>0</v>
      </c>
      <c r="Y673" s="15"/>
      <c r="Z673" s="151">
        <v>0</v>
      </c>
      <c r="AA673" s="149">
        <f>Tabela4[[#This Row],[VALOR]]-Tabela4[[#This Row],[PNEUS]]-Tabela4[[#This Row],[BATERIA]]</f>
        <v>30</v>
      </c>
      <c r="AB673" s="19" t="s">
        <v>38</v>
      </c>
      <c r="AC673" s="30">
        <v>0</v>
      </c>
      <c r="AD673" s="162">
        <v>0</v>
      </c>
      <c r="AE673" s="162">
        <v>0</v>
      </c>
      <c r="AF673" s="162">
        <v>0</v>
      </c>
      <c r="AG673" s="162">
        <v>0</v>
      </c>
      <c r="AH673" s="162">
        <v>0</v>
      </c>
      <c r="AI673" s="162">
        <v>0</v>
      </c>
      <c r="AJ673" s="162">
        <v>0</v>
      </c>
    </row>
    <row r="674" spans="1:36" x14ac:dyDescent="0.25">
      <c r="A674" t="s">
        <v>337</v>
      </c>
      <c r="B674" t="s">
        <v>952</v>
      </c>
      <c r="C674" s="143">
        <v>45392</v>
      </c>
      <c r="D674" s="142">
        <v>45415</v>
      </c>
      <c r="E674">
        <f>Tabela4[[#This Row],[DATA FATURAMENTO]]-Tabela4[[#This Row],[DATA ORÇAMENTO]]</f>
        <v>23</v>
      </c>
      <c r="F674">
        <v>11183</v>
      </c>
      <c r="G674" s="25" t="s">
        <v>25</v>
      </c>
      <c r="H674" s="25"/>
      <c r="I674" s="155">
        <v>0</v>
      </c>
      <c r="J674" s="154">
        <f>Tabela4[[#This Row],[VALOR]]-Tabela4[[#This Row],[PECAS]]</f>
        <v>950.4</v>
      </c>
      <c r="K674" s="150">
        <v>950.4</v>
      </c>
      <c r="L674" s="155">
        <v>0</v>
      </c>
      <c r="M674" s="155">
        <v>0</v>
      </c>
      <c r="N674" s="67"/>
      <c r="O674" s="155">
        <v>0</v>
      </c>
      <c r="P674" s="155">
        <v>0</v>
      </c>
      <c r="Q674" s="155">
        <v>0</v>
      </c>
      <c r="R674" s="155">
        <v>0</v>
      </c>
      <c r="S674" s="154">
        <v>0</v>
      </c>
      <c r="T674" s="155">
        <v>0</v>
      </c>
      <c r="U674" s="155">
        <v>0</v>
      </c>
      <c r="V674" s="25"/>
      <c r="W674" s="22">
        <v>0</v>
      </c>
      <c r="X674" s="149">
        <v>0</v>
      </c>
      <c r="Y674" s="25"/>
      <c r="Z674" s="155">
        <v>0</v>
      </c>
      <c r="AA674" s="149">
        <f>Tabela4[[#This Row],[VALOR]]-Tabela4[[#This Row],[PNEUS]]-Tabela4[[#This Row],[BATERIA]]</f>
        <v>950.4</v>
      </c>
      <c r="AB674" s="27" t="s">
        <v>27</v>
      </c>
      <c r="AC674" s="30">
        <v>0</v>
      </c>
      <c r="AD674" s="162">
        <v>0</v>
      </c>
      <c r="AE674" s="162">
        <v>0</v>
      </c>
      <c r="AF674" s="162">
        <v>0</v>
      </c>
      <c r="AG674" s="162">
        <v>0</v>
      </c>
      <c r="AH674" s="162">
        <v>0</v>
      </c>
      <c r="AI674" s="162">
        <v>0</v>
      </c>
      <c r="AJ674" s="162">
        <v>0</v>
      </c>
    </row>
    <row r="675" spans="1:36" x14ac:dyDescent="0.25">
      <c r="A675" t="s">
        <v>336</v>
      </c>
      <c r="B675" t="s">
        <v>1130</v>
      </c>
      <c r="C675" s="143">
        <v>45392</v>
      </c>
      <c r="D675" s="142">
        <v>45415</v>
      </c>
      <c r="E675">
        <f>Tabela4[[#This Row],[DATA FATURAMENTO]]-Tabela4[[#This Row],[DATA ORÇAMENTO]]</f>
        <v>23</v>
      </c>
      <c r="F675">
        <v>11184</v>
      </c>
      <c r="G675" s="15" t="s">
        <v>25</v>
      </c>
      <c r="H675" s="25"/>
      <c r="I675" s="151">
        <v>5658.97</v>
      </c>
      <c r="J675" s="154">
        <f>Tabela4[[#This Row],[VALOR]]-Tabela4[[#This Row],[PECAS]]</f>
        <v>1478.42</v>
      </c>
      <c r="K675" s="150">
        <v>7137.39</v>
      </c>
      <c r="L675" s="151">
        <v>0</v>
      </c>
      <c r="M675" s="151">
        <f>160.04+43.9</f>
        <v>203.94</v>
      </c>
      <c r="N675" s="24"/>
      <c r="O675" s="151">
        <f>19.4+19.98</f>
        <v>39.379999999999995</v>
      </c>
      <c r="P675" s="151">
        <v>0</v>
      </c>
      <c r="Q675" s="151">
        <v>0</v>
      </c>
      <c r="R675" s="151">
        <v>0</v>
      </c>
      <c r="S675" s="154">
        <v>69.900000000000006</v>
      </c>
      <c r="T675" s="151">
        <v>3303.36</v>
      </c>
      <c r="U675" s="151">
        <v>0</v>
      </c>
      <c r="V675" s="15"/>
      <c r="W675" s="22">
        <v>4</v>
      </c>
      <c r="X675" s="149">
        <v>0</v>
      </c>
      <c r="Y675" s="15" t="s">
        <v>654</v>
      </c>
      <c r="Z675" s="151">
        <v>69.900000000000006</v>
      </c>
      <c r="AA675" s="149">
        <f>Tabela4[[#This Row],[VALOR]]-Tabela4[[#This Row],[PNEUS]]-Tabela4[[#This Row],[BATERIA]]</f>
        <v>3834.03</v>
      </c>
      <c r="AB675" s="19" t="s">
        <v>30</v>
      </c>
      <c r="AC675" s="30">
        <v>0</v>
      </c>
      <c r="AD675" s="162">
        <v>0</v>
      </c>
      <c r="AE675" s="162">
        <v>0</v>
      </c>
      <c r="AF675" s="162">
        <v>0</v>
      </c>
      <c r="AG675" s="162">
        <v>0</v>
      </c>
      <c r="AH675" s="162">
        <v>0</v>
      </c>
      <c r="AI675" s="162">
        <v>0</v>
      </c>
      <c r="AJ675" s="162">
        <v>0</v>
      </c>
    </row>
    <row r="676" spans="1:36" x14ac:dyDescent="0.25">
      <c r="A676" t="s">
        <v>386</v>
      </c>
      <c r="B676" t="s">
        <v>1131</v>
      </c>
      <c r="C676" s="143">
        <v>45404</v>
      </c>
      <c r="D676" s="142">
        <v>45415</v>
      </c>
      <c r="E676">
        <f>Tabela4[[#This Row],[DATA FATURAMENTO]]-Tabela4[[#This Row],[DATA ORÇAMENTO]]</f>
        <v>11</v>
      </c>
      <c r="F676">
        <v>11292</v>
      </c>
      <c r="G676" s="15" t="s">
        <v>25</v>
      </c>
      <c r="H676" s="54"/>
      <c r="I676" s="151">
        <v>1178.04</v>
      </c>
      <c r="J676" s="154">
        <f>Tabela4[[#This Row],[VALOR]]-Tabela4[[#This Row],[PECAS]]</f>
        <v>1345.6999999999998</v>
      </c>
      <c r="K676" s="150">
        <v>2523.7399999999998</v>
      </c>
      <c r="L676" s="151">
        <v>0</v>
      </c>
      <c r="M676" s="151">
        <f>21.94+20</f>
        <v>41.94</v>
      </c>
      <c r="N676" s="24"/>
      <c r="O676" s="151">
        <f>39.8+230</f>
        <v>269.8</v>
      </c>
      <c r="P676" s="151">
        <v>85</v>
      </c>
      <c r="Q676" s="151">
        <v>150</v>
      </c>
      <c r="R676" s="151">
        <v>0</v>
      </c>
      <c r="S676" s="154">
        <v>0</v>
      </c>
      <c r="T676" s="151">
        <v>0</v>
      </c>
      <c r="U676" s="151">
        <v>0</v>
      </c>
      <c r="V676" s="15"/>
      <c r="W676" s="22">
        <v>0</v>
      </c>
      <c r="X676" s="149">
        <v>0</v>
      </c>
      <c r="Y676" s="15"/>
      <c r="Z676" s="151">
        <v>0</v>
      </c>
      <c r="AA676" s="149">
        <f>Tabela4[[#This Row],[VALOR]]-Tabela4[[#This Row],[PNEUS]]-Tabela4[[#This Row],[BATERIA]]</f>
        <v>2523.7399999999998</v>
      </c>
      <c r="AB676" s="19" t="s">
        <v>27</v>
      </c>
      <c r="AC676" s="30">
        <v>0</v>
      </c>
      <c r="AD676" s="162">
        <v>0</v>
      </c>
      <c r="AE676" s="162">
        <v>0</v>
      </c>
      <c r="AF676" s="162">
        <v>0</v>
      </c>
      <c r="AG676" s="162">
        <v>0</v>
      </c>
      <c r="AH676" s="162">
        <v>0</v>
      </c>
      <c r="AI676" s="162">
        <v>0</v>
      </c>
      <c r="AJ676" s="162">
        <v>0</v>
      </c>
    </row>
    <row r="677" spans="1:36" x14ac:dyDescent="0.25">
      <c r="A677" t="s">
        <v>1132</v>
      </c>
      <c r="B677" t="s">
        <v>1133</v>
      </c>
      <c r="C677" s="143">
        <v>45411</v>
      </c>
      <c r="D677" s="142">
        <v>45415</v>
      </c>
      <c r="E677">
        <f>Tabela4[[#This Row],[DATA FATURAMENTO]]-Tabela4[[#This Row],[DATA ORÇAMENTO]]</f>
        <v>4</v>
      </c>
      <c r="F677">
        <v>11357</v>
      </c>
      <c r="G677" s="15" t="s">
        <v>25</v>
      </c>
      <c r="H677" s="54"/>
      <c r="I677" s="151">
        <v>4171.57</v>
      </c>
      <c r="J677" s="154">
        <f>Tabela4[[#This Row],[VALOR]]-Tabela4[[#This Row],[PECAS]]</f>
        <v>748.02000000000044</v>
      </c>
      <c r="K677" s="150">
        <v>4919.59</v>
      </c>
      <c r="L677" s="151">
        <v>0</v>
      </c>
      <c r="M677" s="151">
        <f>87.78+40</f>
        <v>127.78</v>
      </c>
      <c r="N677" s="24"/>
      <c r="O677" s="151">
        <f>19.4</f>
        <v>19.399999999999999</v>
      </c>
      <c r="P677" s="151">
        <v>0</v>
      </c>
      <c r="Q677" s="151">
        <v>150</v>
      </c>
      <c r="R677" s="151">
        <v>0</v>
      </c>
      <c r="S677" s="154">
        <v>69.900000000000006</v>
      </c>
      <c r="T677" s="151">
        <v>2758.8</v>
      </c>
      <c r="U677" s="151">
        <v>359</v>
      </c>
      <c r="V677" s="15" t="s">
        <v>1134</v>
      </c>
      <c r="W677" s="22">
        <v>4</v>
      </c>
      <c r="X677" s="149">
        <v>0</v>
      </c>
      <c r="Y677" s="15" t="s">
        <v>635</v>
      </c>
      <c r="Z677" s="151">
        <v>69.900000000000006</v>
      </c>
      <c r="AA677" s="149">
        <f>Tabela4[[#This Row],[VALOR]]-Tabela4[[#This Row],[PNEUS]]-Tabela4[[#This Row],[BATERIA]]</f>
        <v>1801.79</v>
      </c>
      <c r="AB677" s="19" t="s">
        <v>27</v>
      </c>
      <c r="AC677" s="30">
        <v>0</v>
      </c>
      <c r="AD677" s="162">
        <v>0</v>
      </c>
      <c r="AE677" s="162">
        <v>0</v>
      </c>
      <c r="AF677" s="162">
        <v>0</v>
      </c>
      <c r="AG677" s="162">
        <v>0</v>
      </c>
      <c r="AH677" s="162">
        <v>0</v>
      </c>
      <c r="AI677" s="162">
        <v>0</v>
      </c>
      <c r="AJ677" s="162">
        <v>0</v>
      </c>
    </row>
    <row r="678" spans="1:36" x14ac:dyDescent="0.25">
      <c r="A678" t="s">
        <v>418</v>
      </c>
      <c r="B678" t="s">
        <v>1135</v>
      </c>
      <c r="C678" s="143">
        <v>45411</v>
      </c>
      <c r="D678" s="142">
        <v>45415</v>
      </c>
      <c r="E678">
        <f>Tabela4[[#This Row],[DATA FATURAMENTO]]-Tabela4[[#This Row],[DATA ORÇAMENTO]]</f>
        <v>4</v>
      </c>
      <c r="F678">
        <v>11365</v>
      </c>
      <c r="G678" s="15" t="s">
        <v>25</v>
      </c>
      <c r="H678" s="54"/>
      <c r="I678" s="151">
        <v>3039.2</v>
      </c>
      <c r="J678" s="154">
        <f>Tabela4[[#This Row],[VALOR]]-Tabela4[[#This Row],[PECAS]]</f>
        <v>371.96000000000004</v>
      </c>
      <c r="K678" s="150">
        <v>3411.16</v>
      </c>
      <c r="L678" s="151">
        <v>0</v>
      </c>
      <c r="M678" s="151">
        <v>0</v>
      </c>
      <c r="N678" s="24"/>
      <c r="O678" s="151">
        <v>0</v>
      </c>
      <c r="P678" s="151">
        <v>0</v>
      </c>
      <c r="Q678" s="151">
        <v>0</v>
      </c>
      <c r="R678" s="151">
        <v>0</v>
      </c>
      <c r="S678" s="154">
        <v>0</v>
      </c>
      <c r="T678" s="151">
        <v>2967.6</v>
      </c>
      <c r="U678" s="151">
        <v>0</v>
      </c>
      <c r="V678" s="15"/>
      <c r="W678" s="22">
        <v>0</v>
      </c>
      <c r="X678" s="149">
        <v>0</v>
      </c>
      <c r="Y678" s="15"/>
      <c r="Z678" s="151">
        <v>0</v>
      </c>
      <c r="AA678" s="149">
        <f>Tabela4[[#This Row],[VALOR]]-Tabela4[[#This Row],[PNEUS]]-Tabela4[[#This Row],[BATERIA]]</f>
        <v>443.55999999999995</v>
      </c>
      <c r="AB678" s="19" t="s">
        <v>27</v>
      </c>
      <c r="AC678" s="30">
        <v>0</v>
      </c>
      <c r="AD678" s="162">
        <v>0</v>
      </c>
      <c r="AE678" s="162">
        <v>0</v>
      </c>
      <c r="AF678" s="162">
        <v>0</v>
      </c>
      <c r="AG678" s="162">
        <v>0</v>
      </c>
      <c r="AH678" s="162">
        <v>0</v>
      </c>
      <c r="AI678" s="162">
        <v>0</v>
      </c>
      <c r="AJ678" s="162">
        <v>0</v>
      </c>
    </row>
    <row r="679" spans="1:36" x14ac:dyDescent="0.25">
      <c r="A679" t="s">
        <v>434</v>
      </c>
      <c r="B679" t="s">
        <v>1136</v>
      </c>
      <c r="C679" s="143">
        <v>45415</v>
      </c>
      <c r="D679" s="142">
        <v>45415</v>
      </c>
      <c r="E679">
        <f>Tabela4[[#This Row],[DATA FATURAMENTO]]-Tabela4[[#This Row],[DATA ORÇAMENTO]]</f>
        <v>0</v>
      </c>
      <c r="F679">
        <v>11390</v>
      </c>
      <c r="G679" s="15" t="s">
        <v>22</v>
      </c>
      <c r="H679" s="54"/>
      <c r="I679" s="151">
        <v>424.7</v>
      </c>
      <c r="J679" s="154">
        <f>Tabela4[[#This Row],[VALOR]]-Tabela4[[#This Row],[PECAS]]</f>
        <v>518.09999999999991</v>
      </c>
      <c r="K679" s="150">
        <v>942.8</v>
      </c>
      <c r="L679" s="151">
        <v>0</v>
      </c>
      <c r="M679" s="151">
        <v>0</v>
      </c>
      <c r="N679" s="24"/>
      <c r="O679" s="151">
        <v>220</v>
      </c>
      <c r="P679" s="151">
        <v>0</v>
      </c>
      <c r="Q679" s="151">
        <v>190</v>
      </c>
      <c r="R679" s="151">
        <v>0</v>
      </c>
      <c r="S679" s="154">
        <v>0</v>
      </c>
      <c r="T679" s="151">
        <v>0</v>
      </c>
      <c r="U679" s="151">
        <v>0</v>
      </c>
      <c r="V679" s="15"/>
      <c r="W679" s="22">
        <v>0</v>
      </c>
      <c r="X679" s="149">
        <v>0</v>
      </c>
      <c r="Y679" s="15"/>
      <c r="Z679" s="151">
        <v>0</v>
      </c>
      <c r="AA679" s="149">
        <f>Tabela4[[#This Row],[VALOR]]-Tabela4[[#This Row],[PNEUS]]-Tabela4[[#This Row],[BATERIA]]</f>
        <v>942.8</v>
      </c>
      <c r="AB679" s="19" t="s">
        <v>27</v>
      </c>
      <c r="AC679" s="30">
        <v>0</v>
      </c>
      <c r="AD679" s="162">
        <v>0</v>
      </c>
      <c r="AE679" s="162">
        <v>0</v>
      </c>
      <c r="AF679" s="162">
        <v>0</v>
      </c>
      <c r="AG679" s="162">
        <v>0</v>
      </c>
      <c r="AH679" s="162">
        <v>0</v>
      </c>
      <c r="AI679" s="162">
        <v>0</v>
      </c>
      <c r="AJ679" s="162">
        <v>0</v>
      </c>
    </row>
    <row r="680" spans="1:36" x14ac:dyDescent="0.25">
      <c r="A680" t="s">
        <v>429</v>
      </c>
      <c r="B680" t="s">
        <v>1137</v>
      </c>
      <c r="C680" s="143">
        <v>45415</v>
      </c>
      <c r="D680" s="142">
        <v>45415</v>
      </c>
      <c r="E680">
        <f>Tabela4[[#This Row],[DATA FATURAMENTO]]-Tabela4[[#This Row],[DATA ORÇAMENTO]]</f>
        <v>0</v>
      </c>
      <c r="F680">
        <v>11396</v>
      </c>
      <c r="G680" s="15" t="s">
        <v>31</v>
      </c>
      <c r="H680" s="54"/>
      <c r="I680" s="151">
        <v>2078.5</v>
      </c>
      <c r="J680" s="154">
        <f>Tabela4[[#This Row],[VALOR]]-Tabela4[[#This Row],[PECAS]]</f>
        <v>2480</v>
      </c>
      <c r="K680" s="150">
        <v>4558.5</v>
      </c>
      <c r="L680" s="151">
        <v>0</v>
      </c>
      <c r="M680" s="151">
        <v>0</v>
      </c>
      <c r="N680" s="24"/>
      <c r="O680" s="151">
        <v>270</v>
      </c>
      <c r="P680" s="151">
        <v>0</v>
      </c>
      <c r="Q680" s="151">
        <v>0</v>
      </c>
      <c r="R680" s="151">
        <v>0</v>
      </c>
      <c r="S680" s="154">
        <v>220</v>
      </c>
      <c r="T680" s="151">
        <v>0</v>
      </c>
      <c r="U680" s="151">
        <v>0</v>
      </c>
      <c r="V680" s="15"/>
      <c r="W680" s="22">
        <v>5</v>
      </c>
      <c r="X680" s="149">
        <v>0</v>
      </c>
      <c r="Y680" s="15" t="s">
        <v>807</v>
      </c>
      <c r="Z680" s="151">
        <v>220</v>
      </c>
      <c r="AA680" s="149">
        <f>Tabela4[[#This Row],[VALOR]]-Tabela4[[#This Row],[PNEUS]]-Tabela4[[#This Row],[BATERIA]]</f>
        <v>4558.5</v>
      </c>
      <c r="AB680" s="19" t="s">
        <v>24</v>
      </c>
      <c r="AC680" s="30">
        <v>0</v>
      </c>
      <c r="AD680" s="162">
        <v>0</v>
      </c>
      <c r="AE680" s="162">
        <v>0</v>
      </c>
      <c r="AF680" s="162">
        <v>0</v>
      </c>
      <c r="AG680" s="162">
        <v>0</v>
      </c>
      <c r="AH680" s="162">
        <v>0</v>
      </c>
      <c r="AI680" s="162">
        <v>0</v>
      </c>
      <c r="AJ680" s="162">
        <v>0</v>
      </c>
    </row>
    <row r="681" spans="1:36" x14ac:dyDescent="0.25">
      <c r="A681" t="s">
        <v>435</v>
      </c>
      <c r="B681" t="s">
        <v>1129</v>
      </c>
      <c r="C681" s="143">
        <v>45415</v>
      </c>
      <c r="D681" s="142">
        <v>45415</v>
      </c>
      <c r="E681">
        <f>Tabela4[[#This Row],[DATA FATURAMENTO]]-Tabela4[[#This Row],[DATA ORÇAMENTO]]</f>
        <v>0</v>
      </c>
      <c r="F681">
        <v>11397</v>
      </c>
      <c r="G681" s="15" t="s">
        <v>6</v>
      </c>
      <c r="H681" s="54"/>
      <c r="I681" s="151">
        <v>0</v>
      </c>
      <c r="J681" s="154">
        <f>Tabela4[[#This Row],[VALOR]]-Tabela4[[#This Row],[PECAS]]</f>
        <v>535</v>
      </c>
      <c r="K681" s="150">
        <v>535</v>
      </c>
      <c r="L681" s="151">
        <v>0</v>
      </c>
      <c r="M681" s="151">
        <v>0</v>
      </c>
      <c r="N681" s="24"/>
      <c r="O681" s="151">
        <v>0</v>
      </c>
      <c r="P681" s="151">
        <v>0</v>
      </c>
      <c r="Q681" s="151">
        <v>0</v>
      </c>
      <c r="R681" s="151">
        <v>0</v>
      </c>
      <c r="S681" s="154">
        <v>0</v>
      </c>
      <c r="T681" s="151">
        <v>0</v>
      </c>
      <c r="U681" s="151">
        <v>0</v>
      </c>
      <c r="V681" s="15" t="s">
        <v>806</v>
      </c>
      <c r="W681" s="22">
        <v>0</v>
      </c>
      <c r="X681" s="149">
        <v>0</v>
      </c>
      <c r="Y681" s="15"/>
      <c r="Z681" s="151">
        <v>0</v>
      </c>
      <c r="AA681" s="149">
        <f>Tabela4[[#This Row],[VALOR]]-Tabela4[[#This Row],[PNEUS]]-Tabela4[[#This Row],[BATERIA]]</f>
        <v>535</v>
      </c>
      <c r="AB681" s="19" t="s">
        <v>6</v>
      </c>
      <c r="AC681" s="30">
        <v>0</v>
      </c>
      <c r="AD681" s="162">
        <v>0</v>
      </c>
      <c r="AE681" s="162">
        <v>0</v>
      </c>
      <c r="AF681" s="162">
        <v>0</v>
      </c>
      <c r="AG681" s="162">
        <v>0</v>
      </c>
      <c r="AH681" s="162">
        <v>0</v>
      </c>
      <c r="AI681" s="162">
        <v>0</v>
      </c>
      <c r="AJ681" s="162">
        <v>0</v>
      </c>
    </row>
    <row r="682" spans="1:36" x14ac:dyDescent="0.25">
      <c r="A682" t="s">
        <v>326</v>
      </c>
      <c r="B682" t="s">
        <v>854</v>
      </c>
      <c r="C682" s="143">
        <v>45387</v>
      </c>
      <c r="D682" s="142">
        <v>45416</v>
      </c>
      <c r="E682">
        <f>Tabela4[[#This Row],[DATA FATURAMENTO]]-Tabela4[[#This Row],[DATA ORÇAMENTO]]</f>
        <v>29</v>
      </c>
      <c r="F682">
        <v>11144</v>
      </c>
      <c r="G682" s="25" t="s">
        <v>28</v>
      </c>
      <c r="H682" s="25"/>
      <c r="I682" s="155">
        <v>485</v>
      </c>
      <c r="J682" s="154">
        <f>Tabela4[[#This Row],[VALOR]]-Tabela4[[#This Row],[PECAS]]</f>
        <v>620.6099999999999</v>
      </c>
      <c r="K682" s="150">
        <v>1105.6099999999999</v>
      </c>
      <c r="L682" s="155">
        <v>60</v>
      </c>
      <c r="M682" s="155">
        <v>287.8</v>
      </c>
      <c r="N682" s="67"/>
      <c r="O682" s="155">
        <f>194+38.8</f>
        <v>232.8</v>
      </c>
      <c r="P682" s="155">
        <v>0</v>
      </c>
      <c r="Q682" s="155">
        <v>0</v>
      </c>
      <c r="R682" s="155">
        <v>0</v>
      </c>
      <c r="S682" s="154">
        <v>150.01</v>
      </c>
      <c r="T682" s="155">
        <v>0</v>
      </c>
      <c r="U682" s="155">
        <v>359</v>
      </c>
      <c r="V682" s="25" t="s">
        <v>653</v>
      </c>
      <c r="W682" s="22">
        <v>0</v>
      </c>
      <c r="X682" s="149">
        <v>0</v>
      </c>
      <c r="Y682" s="25"/>
      <c r="Z682" s="155">
        <v>0</v>
      </c>
      <c r="AA682" s="149">
        <f>Tabela4[[#This Row],[VALOR]]-Tabela4[[#This Row],[PNEUS]]-Tabela4[[#This Row],[BATERIA]]</f>
        <v>746.6099999999999</v>
      </c>
      <c r="AB682" s="27" t="s">
        <v>27</v>
      </c>
      <c r="AC682" s="30">
        <v>0</v>
      </c>
      <c r="AD682" s="162">
        <v>0</v>
      </c>
      <c r="AE682" s="162">
        <v>0</v>
      </c>
      <c r="AF682" s="162">
        <v>0</v>
      </c>
      <c r="AG682" s="162">
        <v>0</v>
      </c>
      <c r="AH682" s="162">
        <v>0</v>
      </c>
      <c r="AI682" s="162">
        <v>0</v>
      </c>
      <c r="AJ682" s="162">
        <v>0</v>
      </c>
    </row>
    <row r="683" spans="1:36" x14ac:dyDescent="0.25">
      <c r="A683" t="s">
        <v>362</v>
      </c>
      <c r="B683" t="s">
        <v>1138</v>
      </c>
      <c r="C683" s="143">
        <v>45399</v>
      </c>
      <c r="D683" s="142">
        <v>45416</v>
      </c>
      <c r="E683">
        <f>Tabela4[[#This Row],[DATA FATURAMENTO]]-Tabela4[[#This Row],[DATA ORÇAMENTO]]</f>
        <v>17</v>
      </c>
      <c r="F683">
        <v>11246</v>
      </c>
      <c r="G683" s="15" t="s">
        <v>37</v>
      </c>
      <c r="H683" s="25"/>
      <c r="I683" s="151">
        <v>415.96</v>
      </c>
      <c r="J683" s="154">
        <f>Tabela4[[#This Row],[VALOR]]-Tabela4[[#This Row],[PECAS]]</f>
        <v>836.39999999999986</v>
      </c>
      <c r="K683" s="150">
        <v>1252.3599999999999</v>
      </c>
      <c r="L683" s="151">
        <v>0</v>
      </c>
      <c r="M683" s="151">
        <f>22.95+40</f>
        <v>62.95</v>
      </c>
      <c r="N683" s="24"/>
      <c r="O683" s="151">
        <f>230+40.8</f>
        <v>270.8</v>
      </c>
      <c r="P683" s="151">
        <f>82.59+6.4</f>
        <v>88.990000000000009</v>
      </c>
      <c r="Q683" s="151">
        <v>100</v>
      </c>
      <c r="R683" s="151">
        <v>0</v>
      </c>
      <c r="S683" s="154">
        <v>147.36000000000001</v>
      </c>
      <c r="T683" s="151">
        <v>0</v>
      </c>
      <c r="U683" s="151">
        <v>0</v>
      </c>
      <c r="V683" s="15"/>
      <c r="W683" s="22">
        <v>5</v>
      </c>
      <c r="X683" s="149">
        <v>0</v>
      </c>
      <c r="Y683" s="15" t="s">
        <v>654</v>
      </c>
      <c r="Z683" s="151">
        <v>0</v>
      </c>
      <c r="AA683" s="149">
        <f>Tabela4[[#This Row],[VALOR]]-Tabela4[[#This Row],[PNEUS]]-Tabela4[[#This Row],[BATERIA]]</f>
        <v>1252.3599999999999</v>
      </c>
      <c r="AB683" s="19" t="s">
        <v>27</v>
      </c>
      <c r="AC683" s="30">
        <v>0</v>
      </c>
      <c r="AD683" s="162">
        <v>0</v>
      </c>
      <c r="AE683" s="162">
        <v>0</v>
      </c>
      <c r="AF683" s="162">
        <v>0</v>
      </c>
      <c r="AG683" s="162">
        <v>0</v>
      </c>
      <c r="AH683" s="162">
        <v>0</v>
      </c>
      <c r="AI683" s="162">
        <v>0</v>
      </c>
      <c r="AJ683" s="162">
        <v>0</v>
      </c>
    </row>
    <row r="684" spans="1:36" x14ac:dyDescent="0.25">
      <c r="A684" t="s">
        <v>183</v>
      </c>
      <c r="B684" t="s">
        <v>869</v>
      </c>
      <c r="C684" s="143">
        <v>45408</v>
      </c>
      <c r="D684" s="142">
        <v>45416</v>
      </c>
      <c r="E684">
        <f>Tabela4[[#This Row],[DATA FATURAMENTO]]-Tabela4[[#This Row],[DATA ORÇAMENTO]]</f>
        <v>8</v>
      </c>
      <c r="F684">
        <v>11341</v>
      </c>
      <c r="G684" s="15" t="s">
        <v>22</v>
      </c>
      <c r="H684" s="54"/>
      <c r="I684" s="151">
        <v>2486.3000000000002</v>
      </c>
      <c r="J684" s="154">
        <f>Tabela4[[#This Row],[VALOR]]-Tabela4[[#This Row],[PECAS]]</f>
        <v>1373.6999999999998</v>
      </c>
      <c r="K684" s="150">
        <v>3860</v>
      </c>
      <c r="L684" s="151">
        <v>0</v>
      </c>
      <c r="M684" s="151">
        <v>0</v>
      </c>
      <c r="N684" s="24"/>
      <c r="O684" s="151">
        <v>0</v>
      </c>
      <c r="P684" s="151">
        <v>0</v>
      </c>
      <c r="Q684" s="151">
        <v>0</v>
      </c>
      <c r="R684" s="151">
        <v>0</v>
      </c>
      <c r="S684" s="154">
        <v>0</v>
      </c>
      <c r="T684" s="151">
        <v>0</v>
      </c>
      <c r="U684" s="151">
        <v>0</v>
      </c>
      <c r="V684" s="15"/>
      <c r="W684" s="22">
        <v>0</v>
      </c>
      <c r="X684" s="149">
        <v>0</v>
      </c>
      <c r="Y684" s="15"/>
      <c r="Z684" s="151">
        <v>0</v>
      </c>
      <c r="AA684" s="149">
        <f>Tabela4[[#This Row],[VALOR]]-Tabela4[[#This Row],[PNEUS]]-Tabela4[[#This Row],[BATERIA]]</f>
        <v>3860</v>
      </c>
      <c r="AB684" s="19" t="s">
        <v>32</v>
      </c>
      <c r="AC684" s="30">
        <v>0</v>
      </c>
      <c r="AD684" s="162">
        <v>0</v>
      </c>
      <c r="AE684" s="162">
        <v>0</v>
      </c>
      <c r="AF684" s="162">
        <v>0</v>
      </c>
      <c r="AG684" s="162">
        <v>0</v>
      </c>
      <c r="AH684" s="162">
        <v>0</v>
      </c>
      <c r="AI684" s="162">
        <v>0</v>
      </c>
      <c r="AJ684" s="162">
        <v>0</v>
      </c>
    </row>
    <row r="685" spans="1:36" x14ac:dyDescent="0.25">
      <c r="A685" t="s">
        <v>405</v>
      </c>
      <c r="B685" t="s">
        <v>1130</v>
      </c>
      <c r="C685" s="143">
        <v>45408</v>
      </c>
      <c r="D685" s="142">
        <v>45416</v>
      </c>
      <c r="E685">
        <f>Tabela4[[#This Row],[DATA FATURAMENTO]]-Tabela4[[#This Row],[DATA ORÇAMENTO]]</f>
        <v>8</v>
      </c>
      <c r="F685">
        <v>11343</v>
      </c>
      <c r="G685" s="15" t="s">
        <v>25</v>
      </c>
      <c r="H685" s="54"/>
      <c r="I685" s="151">
        <v>193.23</v>
      </c>
      <c r="J685" s="154">
        <f>Tabela4[[#This Row],[VALOR]]-Tabela4[[#This Row],[PECAS]]</f>
        <v>66.000000000000028</v>
      </c>
      <c r="K685" s="150">
        <v>259.23</v>
      </c>
      <c r="L685" s="151">
        <v>0</v>
      </c>
      <c r="M685" s="151">
        <v>0</v>
      </c>
      <c r="N685" s="24"/>
      <c r="O685" s="151">
        <v>0</v>
      </c>
      <c r="P685" s="151">
        <v>0</v>
      </c>
      <c r="Q685" s="151">
        <v>0</v>
      </c>
      <c r="R685" s="151">
        <v>0</v>
      </c>
      <c r="S685" s="154">
        <v>0</v>
      </c>
      <c r="T685" s="151">
        <v>0</v>
      </c>
      <c r="U685" s="151">
        <v>0</v>
      </c>
      <c r="V685" s="15"/>
      <c r="W685" s="22">
        <v>4</v>
      </c>
      <c r="X685" s="149">
        <v>0</v>
      </c>
      <c r="Y685" s="15" t="s">
        <v>654</v>
      </c>
      <c r="Z685" s="151">
        <v>0</v>
      </c>
      <c r="AA685" s="149">
        <f>Tabela4[[#This Row],[VALOR]]-Tabela4[[#This Row],[PNEUS]]-Tabela4[[#This Row],[BATERIA]]</f>
        <v>259.23</v>
      </c>
      <c r="AB685" s="19" t="s">
        <v>30</v>
      </c>
      <c r="AC685" s="30">
        <v>0</v>
      </c>
      <c r="AD685" s="162">
        <v>0</v>
      </c>
      <c r="AE685" s="162">
        <v>0</v>
      </c>
      <c r="AF685" s="162">
        <v>0</v>
      </c>
      <c r="AG685" s="162">
        <v>0</v>
      </c>
      <c r="AH685" s="162">
        <v>0</v>
      </c>
      <c r="AI685" s="162">
        <v>0</v>
      </c>
      <c r="AJ685" s="162">
        <v>0</v>
      </c>
    </row>
    <row r="686" spans="1:36" x14ac:dyDescent="0.25">
      <c r="A686" t="s">
        <v>410</v>
      </c>
      <c r="B686" t="s">
        <v>1139</v>
      </c>
      <c r="C686" s="143">
        <v>45409</v>
      </c>
      <c r="D686" s="142">
        <v>45416</v>
      </c>
      <c r="E686">
        <f>Tabela4[[#This Row],[DATA FATURAMENTO]]-Tabela4[[#This Row],[DATA ORÇAMENTO]]</f>
        <v>7</v>
      </c>
      <c r="F686">
        <v>11351</v>
      </c>
      <c r="G686" s="15" t="s">
        <v>22</v>
      </c>
      <c r="H686" s="54"/>
      <c r="I686" s="151">
        <v>2189.4</v>
      </c>
      <c r="J686" s="154">
        <f>Tabela4[[#This Row],[VALOR]]-Tabela4[[#This Row],[PECAS]]</f>
        <v>2390.6</v>
      </c>
      <c r="K686" s="150">
        <v>4580</v>
      </c>
      <c r="L686" s="151">
        <v>0</v>
      </c>
      <c r="M686" s="151">
        <f>116.4+20.8+80</f>
        <v>217.20000000000002</v>
      </c>
      <c r="N686" s="24"/>
      <c r="O686" s="151">
        <v>0</v>
      </c>
      <c r="P686" s="151">
        <v>0</v>
      </c>
      <c r="Q686" s="151">
        <v>0</v>
      </c>
      <c r="R686" s="151">
        <v>0</v>
      </c>
      <c r="S686" s="154">
        <v>0</v>
      </c>
      <c r="T686" s="151">
        <v>0</v>
      </c>
      <c r="U686" s="151">
        <v>0</v>
      </c>
      <c r="V686" s="15"/>
      <c r="W686" s="22">
        <v>0</v>
      </c>
      <c r="X686" s="149">
        <v>0</v>
      </c>
      <c r="Y686" s="15"/>
      <c r="Z686" s="151">
        <v>0</v>
      </c>
      <c r="AA686" s="149">
        <f>Tabela4[[#This Row],[VALOR]]-Tabela4[[#This Row],[PNEUS]]-Tabela4[[#This Row],[BATERIA]]</f>
        <v>4580</v>
      </c>
      <c r="AB686" s="19" t="s">
        <v>30</v>
      </c>
      <c r="AC686" s="30">
        <v>0</v>
      </c>
      <c r="AD686" s="162">
        <v>0</v>
      </c>
      <c r="AE686" s="162">
        <v>0</v>
      </c>
      <c r="AF686" s="162">
        <v>0</v>
      </c>
      <c r="AG686" s="162">
        <v>0</v>
      </c>
      <c r="AH686" s="162">
        <v>0</v>
      </c>
      <c r="AI686" s="162">
        <v>0</v>
      </c>
      <c r="AJ686" s="162">
        <v>0</v>
      </c>
    </row>
    <row r="687" spans="1:36" x14ac:dyDescent="0.25">
      <c r="A687" t="s">
        <v>409</v>
      </c>
      <c r="B687" t="s">
        <v>1140</v>
      </c>
      <c r="C687" s="143">
        <v>45414</v>
      </c>
      <c r="D687" s="142">
        <v>45416</v>
      </c>
      <c r="E687">
        <f>Tabela4[[#This Row],[DATA FATURAMENTO]]-Tabela4[[#This Row],[DATA ORÇAMENTO]]</f>
        <v>2</v>
      </c>
      <c r="F687">
        <v>11382</v>
      </c>
      <c r="G687" s="15" t="s">
        <v>31</v>
      </c>
      <c r="H687" s="54"/>
      <c r="I687" s="151">
        <v>316</v>
      </c>
      <c r="J687" s="154">
        <f>Tabela4[[#This Row],[VALOR]]-Tabela4[[#This Row],[PECAS]]</f>
        <v>384</v>
      </c>
      <c r="K687" s="150">
        <v>700</v>
      </c>
      <c r="L687" s="151">
        <v>0</v>
      </c>
      <c r="M687" s="151">
        <v>0</v>
      </c>
      <c r="N687" s="24"/>
      <c r="O687" s="151">
        <v>0</v>
      </c>
      <c r="P687" s="151">
        <v>0</v>
      </c>
      <c r="Q687" s="151">
        <v>0</v>
      </c>
      <c r="R687" s="151">
        <v>0</v>
      </c>
      <c r="S687" s="154">
        <v>0</v>
      </c>
      <c r="T687" s="151">
        <v>0</v>
      </c>
      <c r="U687" s="151">
        <v>0</v>
      </c>
      <c r="V687" s="15"/>
      <c r="W687" s="22">
        <v>0</v>
      </c>
      <c r="X687" s="149">
        <v>0</v>
      </c>
      <c r="Y687" s="15"/>
      <c r="Z687" s="151">
        <v>0</v>
      </c>
      <c r="AA687" s="149">
        <f>Tabela4[[#This Row],[VALOR]]-Tabela4[[#This Row],[PNEUS]]-Tabela4[[#This Row],[BATERIA]]</f>
        <v>700</v>
      </c>
      <c r="AB687" s="19" t="s">
        <v>32</v>
      </c>
      <c r="AC687" s="30">
        <v>0</v>
      </c>
      <c r="AD687" s="162">
        <v>0</v>
      </c>
      <c r="AE687" s="162">
        <v>0</v>
      </c>
      <c r="AF687" s="162">
        <v>0</v>
      </c>
      <c r="AG687" s="162">
        <v>0</v>
      </c>
      <c r="AH687" s="162">
        <v>0</v>
      </c>
      <c r="AI687" s="162">
        <v>0</v>
      </c>
      <c r="AJ687" s="162">
        <v>0</v>
      </c>
    </row>
    <row r="688" spans="1:36" x14ac:dyDescent="0.25">
      <c r="A688" t="s">
        <v>1141</v>
      </c>
      <c r="B688" t="s">
        <v>1142</v>
      </c>
      <c r="C688" s="143">
        <v>45416</v>
      </c>
      <c r="D688" s="142">
        <v>45416</v>
      </c>
      <c r="E688">
        <f>Tabela4[[#This Row],[DATA FATURAMENTO]]-Tabela4[[#This Row],[DATA ORÇAMENTO]]</f>
        <v>0</v>
      </c>
      <c r="F688">
        <v>11405</v>
      </c>
      <c r="G688" s="15" t="s">
        <v>35</v>
      </c>
      <c r="H688" s="54"/>
      <c r="I688" s="151">
        <v>330</v>
      </c>
      <c r="J688" s="154">
        <f>Tabela4[[#This Row],[VALOR]]-Tabela4[[#This Row],[PECAS]]</f>
        <v>0</v>
      </c>
      <c r="K688" s="150">
        <v>330</v>
      </c>
      <c r="L688" s="151">
        <v>0</v>
      </c>
      <c r="M688" s="151">
        <v>0</v>
      </c>
      <c r="N688" s="24"/>
      <c r="O688" s="151">
        <v>0</v>
      </c>
      <c r="P688" s="151">
        <v>0</v>
      </c>
      <c r="Q688" s="151">
        <v>0</v>
      </c>
      <c r="R688" s="151">
        <v>0</v>
      </c>
      <c r="S688" s="154">
        <v>0</v>
      </c>
      <c r="T688" s="151">
        <v>0</v>
      </c>
      <c r="U688" s="151">
        <v>0</v>
      </c>
      <c r="V688" s="15"/>
      <c r="W688" s="22">
        <v>4</v>
      </c>
      <c r="X688" s="149">
        <v>0</v>
      </c>
      <c r="Y688" s="15" t="s">
        <v>638</v>
      </c>
      <c r="Z688" s="151">
        <v>0</v>
      </c>
      <c r="AA688" s="149">
        <f>Tabela4[[#This Row],[VALOR]]-Tabela4[[#This Row],[PNEUS]]-Tabela4[[#This Row],[BATERIA]]</f>
        <v>330</v>
      </c>
      <c r="AB688" s="19" t="s">
        <v>32</v>
      </c>
      <c r="AC688" s="30">
        <v>0</v>
      </c>
      <c r="AD688" s="162">
        <v>0</v>
      </c>
      <c r="AE688" s="162">
        <v>0</v>
      </c>
      <c r="AF688" s="162">
        <v>0</v>
      </c>
      <c r="AG688" s="162">
        <v>0</v>
      </c>
      <c r="AH688" s="162">
        <v>0</v>
      </c>
      <c r="AI688" s="162">
        <v>0</v>
      </c>
      <c r="AJ688" s="162">
        <v>0</v>
      </c>
    </row>
    <row r="689" spans="1:36" x14ac:dyDescent="0.25">
      <c r="A689" t="s">
        <v>427</v>
      </c>
      <c r="B689" t="s">
        <v>1036</v>
      </c>
      <c r="C689" s="143">
        <v>45415</v>
      </c>
      <c r="D689" s="142">
        <v>45419</v>
      </c>
      <c r="E689">
        <f>Tabela4[[#This Row],[DATA FATURAMENTO]]-Tabela4[[#This Row],[DATA ORÇAMENTO]]</f>
        <v>4</v>
      </c>
      <c r="F689">
        <v>11389</v>
      </c>
      <c r="G689" s="25" t="s">
        <v>37</v>
      </c>
      <c r="H689" s="25"/>
      <c r="I689" s="155">
        <v>1905.91</v>
      </c>
      <c r="J689" s="154">
        <f>Tabela4[[#This Row],[VALOR]]-Tabela4[[#This Row],[PECAS]]</f>
        <v>992.80999999999972</v>
      </c>
      <c r="K689" s="150">
        <v>2898.72</v>
      </c>
      <c r="L689" s="155">
        <v>0</v>
      </c>
      <c r="M689" s="155">
        <f>22.95+20</f>
        <v>42.95</v>
      </c>
      <c r="N689" s="67"/>
      <c r="O689" s="155">
        <f>40.8+230</f>
        <v>270.8</v>
      </c>
      <c r="P689" s="155">
        <f>82.59+41.64</f>
        <v>124.23</v>
      </c>
      <c r="Q689" s="155">
        <v>0</v>
      </c>
      <c r="R689" s="155">
        <v>0</v>
      </c>
      <c r="S689" s="154">
        <v>189.1</v>
      </c>
      <c r="T689" s="155">
        <v>0</v>
      </c>
      <c r="U689" s="155">
        <v>0</v>
      </c>
      <c r="V689" s="25"/>
      <c r="W689" s="28">
        <v>5</v>
      </c>
      <c r="X689" s="149">
        <v>0</v>
      </c>
      <c r="Y689" s="25" t="s">
        <v>654</v>
      </c>
      <c r="Z689" s="155">
        <v>0</v>
      </c>
      <c r="AA689" s="149">
        <f>Tabela4[[#This Row],[VALOR]]-Tabela4[[#This Row],[PNEUS]]-Tabela4[[#This Row],[BATERIA]]</f>
        <v>2898.72</v>
      </c>
      <c r="AB689" s="27" t="s">
        <v>24</v>
      </c>
      <c r="AC689" s="30">
        <v>0</v>
      </c>
      <c r="AD689" s="162">
        <v>0</v>
      </c>
      <c r="AE689" s="162">
        <v>0</v>
      </c>
      <c r="AF689" s="162">
        <v>0</v>
      </c>
      <c r="AG689" s="162">
        <v>0</v>
      </c>
      <c r="AH689" s="162">
        <v>0</v>
      </c>
      <c r="AI689" s="162">
        <v>0</v>
      </c>
      <c r="AJ689" s="162">
        <v>0</v>
      </c>
    </row>
    <row r="690" spans="1:36" x14ac:dyDescent="0.25">
      <c r="A690" t="s">
        <v>1143</v>
      </c>
      <c r="B690" t="s">
        <v>1144</v>
      </c>
      <c r="C690" s="143">
        <v>45416</v>
      </c>
      <c r="D690" s="142">
        <v>45419</v>
      </c>
      <c r="E690">
        <f>Tabela4[[#This Row],[DATA FATURAMENTO]]-Tabela4[[#This Row],[DATA ORÇAMENTO]]</f>
        <v>3</v>
      </c>
      <c r="F690">
        <v>11403</v>
      </c>
      <c r="G690" s="15" t="s">
        <v>35</v>
      </c>
      <c r="H690" s="25"/>
      <c r="I690" s="151">
        <v>1014.55</v>
      </c>
      <c r="J690" s="154">
        <f>Tabela4[[#This Row],[VALOR]]-Tabela4[[#This Row],[PECAS]]</f>
        <v>390</v>
      </c>
      <c r="K690" s="150">
        <v>1404.55</v>
      </c>
      <c r="L690" s="151">
        <v>0</v>
      </c>
      <c r="M690" s="151">
        <v>0</v>
      </c>
      <c r="N690" s="24"/>
      <c r="O690" s="151">
        <v>0</v>
      </c>
      <c r="P690" s="151">
        <v>0</v>
      </c>
      <c r="Q690" s="151">
        <v>0</v>
      </c>
      <c r="R690" s="151">
        <v>0</v>
      </c>
      <c r="S690" s="154">
        <v>0</v>
      </c>
      <c r="T690" s="151">
        <v>0</v>
      </c>
      <c r="U690" s="151">
        <v>0</v>
      </c>
      <c r="V690" s="15"/>
      <c r="W690" s="22">
        <v>0</v>
      </c>
      <c r="X690" s="149">
        <v>0</v>
      </c>
      <c r="Y690" s="15"/>
      <c r="Z690" s="151">
        <v>0</v>
      </c>
      <c r="AA690" s="149">
        <f>Tabela4[[#This Row],[VALOR]]-Tabela4[[#This Row],[PNEUS]]-Tabela4[[#This Row],[BATERIA]]</f>
        <v>1404.55</v>
      </c>
      <c r="AB690" s="19" t="s">
        <v>24</v>
      </c>
      <c r="AC690" s="30">
        <v>0</v>
      </c>
      <c r="AD690" s="162">
        <v>0</v>
      </c>
      <c r="AE690" s="162">
        <v>0</v>
      </c>
      <c r="AF690" s="162">
        <v>0</v>
      </c>
      <c r="AG690" s="162">
        <v>0</v>
      </c>
      <c r="AH690" s="162">
        <v>0</v>
      </c>
      <c r="AI690" s="162">
        <v>0</v>
      </c>
      <c r="AJ690" s="162">
        <v>0</v>
      </c>
    </row>
    <row r="691" spans="1:36" x14ac:dyDescent="0.25">
      <c r="A691" t="s">
        <v>440</v>
      </c>
      <c r="B691" t="s">
        <v>1145</v>
      </c>
      <c r="C691" s="143">
        <v>45418</v>
      </c>
      <c r="D691" s="142">
        <v>45419</v>
      </c>
      <c r="E691">
        <f>Tabela4[[#This Row],[DATA FATURAMENTO]]-Tabela4[[#This Row],[DATA ORÇAMENTO]]</f>
        <v>1</v>
      </c>
      <c r="F691">
        <v>11417</v>
      </c>
      <c r="G691" s="15" t="s">
        <v>35</v>
      </c>
      <c r="H691" s="54"/>
      <c r="I691" s="151">
        <v>212.7</v>
      </c>
      <c r="J691" s="154">
        <f>Tabela4[[#This Row],[VALOR]]-Tabela4[[#This Row],[PECAS]]</f>
        <v>247.29000000000002</v>
      </c>
      <c r="K691" s="150">
        <v>459.99</v>
      </c>
      <c r="L691" s="151">
        <v>0</v>
      </c>
      <c r="M691" s="151">
        <f>116.4+20.8+76.75</f>
        <v>213.95000000000002</v>
      </c>
      <c r="N691" s="24"/>
      <c r="O691" s="151">
        <v>0</v>
      </c>
      <c r="P691" s="151">
        <v>0</v>
      </c>
      <c r="Q691" s="151">
        <v>0</v>
      </c>
      <c r="R691" s="151">
        <v>0</v>
      </c>
      <c r="S691" s="154">
        <v>246.04</v>
      </c>
      <c r="T691" s="151">
        <v>0</v>
      </c>
      <c r="U691" s="151">
        <v>0</v>
      </c>
      <c r="V691" s="15"/>
      <c r="W691" s="22">
        <v>0</v>
      </c>
      <c r="X691" s="149">
        <v>0</v>
      </c>
      <c r="Y691" s="15"/>
      <c r="Z691" s="151">
        <f>75.5+170.54</f>
        <v>246.04</v>
      </c>
      <c r="AA691" s="149">
        <f>Tabela4[[#This Row],[VALOR]]-Tabela4[[#This Row],[PNEUS]]-Tabela4[[#This Row],[BATERIA]]</f>
        <v>459.99</v>
      </c>
      <c r="AB691" s="19" t="s">
        <v>32</v>
      </c>
      <c r="AC691" s="30">
        <v>0</v>
      </c>
      <c r="AD691" s="162">
        <v>0</v>
      </c>
      <c r="AE691" s="162">
        <v>0</v>
      </c>
      <c r="AF691" s="162">
        <v>0</v>
      </c>
      <c r="AG691" s="162">
        <v>0</v>
      </c>
      <c r="AH691" s="162">
        <v>0</v>
      </c>
      <c r="AI691" s="162">
        <v>0</v>
      </c>
      <c r="AJ691" s="162">
        <v>0</v>
      </c>
    </row>
    <row r="692" spans="1:36" x14ac:dyDescent="0.25">
      <c r="A692" t="s">
        <v>444</v>
      </c>
      <c r="B692" t="s">
        <v>1146</v>
      </c>
      <c r="C692" s="143">
        <v>45419</v>
      </c>
      <c r="D692" s="142">
        <v>45419</v>
      </c>
      <c r="E692">
        <f>Tabela4[[#This Row],[DATA FATURAMENTO]]-Tabela4[[#This Row],[DATA ORÇAMENTO]]</f>
        <v>0</v>
      </c>
      <c r="F692">
        <v>11421</v>
      </c>
      <c r="G692" s="15" t="s">
        <v>35</v>
      </c>
      <c r="H692" s="54"/>
      <c r="I692" s="151">
        <v>500</v>
      </c>
      <c r="J692" s="154">
        <f>Tabela4[[#This Row],[VALOR]]-Tabela4[[#This Row],[PECAS]]</f>
        <v>287</v>
      </c>
      <c r="K692" s="150">
        <v>787</v>
      </c>
      <c r="L692" s="151">
        <v>0</v>
      </c>
      <c r="M692" s="151">
        <v>0</v>
      </c>
      <c r="N692" s="24"/>
      <c r="O692" s="151">
        <v>0</v>
      </c>
      <c r="P692" s="151">
        <v>0</v>
      </c>
      <c r="Q692" s="151">
        <v>0</v>
      </c>
      <c r="R692" s="151">
        <v>0</v>
      </c>
      <c r="S692" s="154">
        <v>0</v>
      </c>
      <c r="T692" s="151">
        <v>0</v>
      </c>
      <c r="U692" s="151">
        <v>0</v>
      </c>
      <c r="V692" s="15"/>
      <c r="W692" s="22">
        <v>4</v>
      </c>
      <c r="X692" s="149">
        <v>0</v>
      </c>
      <c r="Y692" s="15" t="s">
        <v>804</v>
      </c>
      <c r="Z692" s="151">
        <v>0</v>
      </c>
      <c r="AA692" s="149">
        <f>Tabela4[[#This Row],[VALOR]]-Tabela4[[#This Row],[PNEUS]]-Tabela4[[#This Row],[BATERIA]]</f>
        <v>787</v>
      </c>
      <c r="AB692" s="19" t="s">
        <v>27</v>
      </c>
      <c r="AC692" s="30">
        <v>0</v>
      </c>
      <c r="AD692" s="162">
        <v>0</v>
      </c>
      <c r="AE692" s="162">
        <v>0</v>
      </c>
      <c r="AF692" s="162">
        <v>0</v>
      </c>
      <c r="AG692" s="162">
        <v>0</v>
      </c>
      <c r="AH692" s="162">
        <v>0</v>
      </c>
      <c r="AI692" s="162">
        <v>0</v>
      </c>
      <c r="AJ692" s="162">
        <v>0</v>
      </c>
    </row>
    <row r="693" spans="1:36" x14ac:dyDescent="0.25">
      <c r="A693" t="s">
        <v>392</v>
      </c>
      <c r="B693" t="s">
        <v>1147</v>
      </c>
      <c r="C693" s="143">
        <v>45395</v>
      </c>
      <c r="D693" s="142">
        <v>45420</v>
      </c>
      <c r="E693">
        <f>Tabela4[[#This Row],[DATA FATURAMENTO]]-Tabela4[[#This Row],[DATA ORÇAMENTO]]</f>
        <v>25</v>
      </c>
      <c r="F693">
        <v>11222</v>
      </c>
      <c r="G693" s="25" t="s">
        <v>22</v>
      </c>
      <c r="H693" s="25"/>
      <c r="I693" s="155">
        <f>4600.01-3669.41</f>
        <v>930.60000000000036</v>
      </c>
      <c r="J693" s="154">
        <f>Tabela4[[#This Row],[VALOR]]-Tabela4[[#This Row],[PECAS]]</f>
        <v>3669.41</v>
      </c>
      <c r="K693" s="150">
        <v>4600.01</v>
      </c>
      <c r="L693" s="155">
        <v>0</v>
      </c>
      <c r="M693" s="155">
        <f>105</f>
        <v>105</v>
      </c>
      <c r="N693" s="67"/>
      <c r="O693" s="155">
        <v>0</v>
      </c>
      <c r="P693" s="155">
        <v>0</v>
      </c>
      <c r="Q693" s="155">
        <v>0</v>
      </c>
      <c r="R693" s="155">
        <v>0</v>
      </c>
      <c r="S693" s="154">
        <v>0</v>
      </c>
      <c r="T693" s="155">
        <v>0</v>
      </c>
      <c r="U693" s="155">
        <v>0</v>
      </c>
      <c r="V693" s="25"/>
      <c r="W693" s="22">
        <v>0</v>
      </c>
      <c r="X693" s="149">
        <v>0</v>
      </c>
      <c r="Y693" s="25"/>
      <c r="Z693" s="155">
        <v>0</v>
      </c>
      <c r="AA693" s="149">
        <f>Tabela4[[#This Row],[VALOR]]-Tabela4[[#This Row],[PNEUS]]-Tabela4[[#This Row],[BATERIA]]</f>
        <v>4600.01</v>
      </c>
      <c r="AB693" s="27" t="s">
        <v>34</v>
      </c>
      <c r="AC693" s="30">
        <v>0</v>
      </c>
      <c r="AD693" s="162">
        <v>0</v>
      </c>
      <c r="AE693" s="162">
        <v>0</v>
      </c>
      <c r="AF693" s="162">
        <v>0</v>
      </c>
      <c r="AG693" s="162">
        <v>0</v>
      </c>
      <c r="AH693" s="162">
        <v>0</v>
      </c>
      <c r="AI693" s="162">
        <v>0</v>
      </c>
      <c r="AJ693" s="162">
        <v>0</v>
      </c>
    </row>
    <row r="694" spans="1:36" x14ac:dyDescent="0.25">
      <c r="A694" t="s">
        <v>757</v>
      </c>
      <c r="B694" t="s">
        <v>1148</v>
      </c>
      <c r="C694" s="143">
        <v>45412</v>
      </c>
      <c r="D694" s="142">
        <v>45420</v>
      </c>
      <c r="E694">
        <f>Tabela4[[#This Row],[DATA FATURAMENTO]]-Tabela4[[#This Row],[DATA ORÇAMENTO]]</f>
        <v>8</v>
      </c>
      <c r="F694">
        <v>11369</v>
      </c>
      <c r="G694" s="15" t="s">
        <v>22</v>
      </c>
      <c r="H694" s="25"/>
      <c r="I694" s="151">
        <v>1375.3</v>
      </c>
      <c r="J694" s="154">
        <f>Tabela4[[#This Row],[VALOR]]-Tabela4[[#This Row],[PECAS]]</f>
        <v>1274.7</v>
      </c>
      <c r="K694" s="150">
        <v>2650</v>
      </c>
      <c r="L694" s="151">
        <v>103.49</v>
      </c>
      <c r="M694" s="151">
        <f>116.4+21+66.53</f>
        <v>203.93</v>
      </c>
      <c r="N694" s="24"/>
      <c r="O694" s="151">
        <v>0</v>
      </c>
      <c r="P694" s="151">
        <v>0</v>
      </c>
      <c r="Q694" s="151">
        <v>0</v>
      </c>
      <c r="R694" s="151">
        <v>0</v>
      </c>
      <c r="S694" s="154">
        <v>147.84</v>
      </c>
      <c r="T694" s="151">
        <v>0</v>
      </c>
      <c r="U694" s="151">
        <v>0</v>
      </c>
      <c r="V694" s="15"/>
      <c r="W694" s="22">
        <v>4</v>
      </c>
      <c r="X694" s="149">
        <v>0</v>
      </c>
      <c r="Y694" s="15" t="s">
        <v>807</v>
      </c>
      <c r="Z694" s="151">
        <v>147.84</v>
      </c>
      <c r="AA694" s="149">
        <f>Tabela4[[#This Row],[VALOR]]-Tabela4[[#This Row],[PNEUS]]-Tabela4[[#This Row],[BATERIA]]</f>
        <v>2650</v>
      </c>
      <c r="AB694" s="19" t="s">
        <v>24</v>
      </c>
      <c r="AC694" s="30">
        <v>0</v>
      </c>
      <c r="AD694" s="162">
        <v>0</v>
      </c>
      <c r="AE694" s="162">
        <v>0</v>
      </c>
      <c r="AF694" s="162">
        <v>0</v>
      </c>
      <c r="AG694" s="162">
        <v>0</v>
      </c>
      <c r="AH694" s="162">
        <v>0</v>
      </c>
      <c r="AI694" s="162">
        <v>0</v>
      </c>
      <c r="AJ694" s="162">
        <v>0</v>
      </c>
    </row>
    <row r="695" spans="1:36" x14ac:dyDescent="0.25">
      <c r="A695" t="s">
        <v>421</v>
      </c>
      <c r="B695" t="s">
        <v>1149</v>
      </c>
      <c r="C695" s="143">
        <v>45414</v>
      </c>
      <c r="D695" s="142">
        <v>45420</v>
      </c>
      <c r="E695">
        <f>Tabela4[[#This Row],[DATA FATURAMENTO]]-Tabela4[[#This Row],[DATA ORÇAMENTO]]</f>
        <v>6</v>
      </c>
      <c r="F695">
        <v>11375</v>
      </c>
      <c r="G695" s="15" t="s">
        <v>39</v>
      </c>
      <c r="H695" s="54" t="s">
        <v>44</v>
      </c>
      <c r="I695" s="151">
        <v>0</v>
      </c>
      <c r="J695" s="154">
        <f>Tabela4[[#This Row],[VALOR]]-Tabela4[[#This Row],[PECAS]]</f>
        <v>120.02</v>
      </c>
      <c r="K695" s="150">
        <v>120.02</v>
      </c>
      <c r="L695" s="151">
        <v>0</v>
      </c>
      <c r="M695" s="151">
        <v>0</v>
      </c>
      <c r="N695" s="24"/>
      <c r="O695" s="151">
        <v>0</v>
      </c>
      <c r="P695" s="151">
        <v>0</v>
      </c>
      <c r="Q695" s="151">
        <v>0</v>
      </c>
      <c r="R695" s="151">
        <v>0</v>
      </c>
      <c r="S695" s="154">
        <v>0</v>
      </c>
      <c r="T695" s="151">
        <v>0</v>
      </c>
      <c r="U695" s="151">
        <v>0</v>
      </c>
      <c r="V695" s="15"/>
      <c r="W695" s="22">
        <v>0</v>
      </c>
      <c r="X695" s="149">
        <v>0</v>
      </c>
      <c r="Y695" s="15"/>
      <c r="Z695" s="151">
        <v>0</v>
      </c>
      <c r="AA695" s="149">
        <f>Tabela4[[#This Row],[VALOR]]-Tabela4[[#This Row],[PNEUS]]-Tabela4[[#This Row],[BATERIA]]</f>
        <v>120.02</v>
      </c>
      <c r="AB695" s="19" t="s">
        <v>27</v>
      </c>
      <c r="AC695" s="30">
        <v>0</v>
      </c>
      <c r="AD695" s="162">
        <v>0</v>
      </c>
      <c r="AE695" s="162">
        <v>0</v>
      </c>
      <c r="AF695" s="162">
        <v>0</v>
      </c>
      <c r="AG695" s="162">
        <v>0</v>
      </c>
      <c r="AH695" s="162">
        <v>0</v>
      </c>
      <c r="AI695" s="162">
        <v>0</v>
      </c>
      <c r="AJ695" s="162">
        <v>0</v>
      </c>
    </row>
    <row r="696" spans="1:36" x14ac:dyDescent="0.25">
      <c r="A696" t="s">
        <v>423</v>
      </c>
      <c r="B696" t="s">
        <v>1150</v>
      </c>
      <c r="C696" s="143">
        <v>45420</v>
      </c>
      <c r="D696" s="142">
        <v>45420</v>
      </c>
      <c r="E696">
        <f>Tabela4[[#This Row],[DATA FATURAMENTO]]-Tabela4[[#This Row],[DATA ORÇAMENTO]]</f>
        <v>0</v>
      </c>
      <c r="F696">
        <v>11427</v>
      </c>
      <c r="G696" s="15" t="s">
        <v>25</v>
      </c>
      <c r="H696" s="54"/>
      <c r="I696" s="151">
        <v>1388.31</v>
      </c>
      <c r="J696" s="154">
        <f>Tabela4[[#This Row],[VALOR]]-Tabela4[[#This Row],[PECAS]]</f>
        <v>1045.21</v>
      </c>
      <c r="K696" s="150">
        <v>2433.52</v>
      </c>
      <c r="L696" s="151">
        <v>0</v>
      </c>
      <c r="M696" s="151">
        <f>150+190</f>
        <v>340</v>
      </c>
      <c r="N696" s="24"/>
      <c r="O696" s="151">
        <f>83.55+59.6</f>
        <v>143.15</v>
      </c>
      <c r="P696" s="151">
        <v>0</v>
      </c>
      <c r="Q696" s="151">
        <v>0</v>
      </c>
      <c r="R696" s="151">
        <v>0</v>
      </c>
      <c r="S696" s="154">
        <v>50</v>
      </c>
      <c r="T696" s="151">
        <v>0</v>
      </c>
      <c r="U696" s="151">
        <v>0</v>
      </c>
      <c r="V696" s="15"/>
      <c r="W696" s="22">
        <v>4</v>
      </c>
      <c r="X696" s="149">
        <v>0</v>
      </c>
      <c r="Y696" s="15" t="s">
        <v>654</v>
      </c>
      <c r="Z696" s="151">
        <v>0</v>
      </c>
      <c r="AA696" s="149">
        <f>Tabela4[[#This Row],[VALOR]]-Tabela4[[#This Row],[PNEUS]]-Tabela4[[#This Row],[BATERIA]]</f>
        <v>2433.52</v>
      </c>
      <c r="AB696" s="19" t="s">
        <v>24</v>
      </c>
      <c r="AC696" s="30">
        <v>0</v>
      </c>
      <c r="AD696" s="162">
        <v>0</v>
      </c>
      <c r="AE696" s="162">
        <v>0</v>
      </c>
      <c r="AF696" s="162">
        <v>0</v>
      </c>
      <c r="AG696" s="162">
        <v>0</v>
      </c>
      <c r="AH696" s="162">
        <v>0</v>
      </c>
      <c r="AI696" s="162">
        <v>0</v>
      </c>
      <c r="AJ696" s="162">
        <v>0</v>
      </c>
    </row>
    <row r="697" spans="1:36" x14ac:dyDescent="0.25">
      <c r="A697" t="s">
        <v>421</v>
      </c>
      <c r="B697" t="s">
        <v>1149</v>
      </c>
      <c r="C697" s="143">
        <v>45414</v>
      </c>
      <c r="D697" s="142">
        <v>45420</v>
      </c>
      <c r="E697">
        <f>Tabela4[[#This Row],[DATA FATURAMENTO]]-Tabela4[[#This Row],[DATA ORÇAMENTO]]</f>
        <v>6</v>
      </c>
      <c r="F697">
        <v>11378</v>
      </c>
      <c r="G697" s="15" t="s">
        <v>39</v>
      </c>
      <c r="H697" s="54" t="s">
        <v>44</v>
      </c>
      <c r="I697" s="151">
        <v>10</v>
      </c>
      <c r="J697" s="154">
        <f>Tabela4[[#This Row],[VALOR]]-Tabela4[[#This Row],[PECAS]]</f>
        <v>0</v>
      </c>
      <c r="K697" s="150">
        <v>10</v>
      </c>
      <c r="L697" s="151">
        <v>0</v>
      </c>
      <c r="M697" s="151">
        <v>0</v>
      </c>
      <c r="N697" s="24"/>
      <c r="O697" s="151">
        <v>0</v>
      </c>
      <c r="P697" s="151">
        <v>0</v>
      </c>
      <c r="Q697" s="151">
        <v>0</v>
      </c>
      <c r="R697" s="151">
        <v>0</v>
      </c>
      <c r="S697" s="154">
        <v>0</v>
      </c>
      <c r="T697" s="151">
        <v>0</v>
      </c>
      <c r="U697" s="151">
        <v>0</v>
      </c>
      <c r="V697" s="15"/>
      <c r="W697" s="22">
        <v>0</v>
      </c>
      <c r="X697" s="149">
        <v>0</v>
      </c>
      <c r="Y697" s="15"/>
      <c r="Z697" s="151">
        <v>0</v>
      </c>
      <c r="AA697" s="149">
        <f>Tabela4[[#This Row],[VALOR]]-Tabela4[[#This Row],[PNEUS]]-Tabela4[[#This Row],[BATERIA]]</f>
        <v>10</v>
      </c>
      <c r="AB697" s="19" t="s">
        <v>38</v>
      </c>
      <c r="AC697" s="30">
        <v>0</v>
      </c>
      <c r="AD697" s="162">
        <v>0</v>
      </c>
      <c r="AE697" s="162">
        <v>0</v>
      </c>
      <c r="AF697" s="162">
        <v>0</v>
      </c>
      <c r="AG697" s="162">
        <v>0</v>
      </c>
      <c r="AH697" s="162">
        <v>0</v>
      </c>
      <c r="AI697" s="162">
        <v>0</v>
      </c>
      <c r="AJ697" s="162">
        <v>0</v>
      </c>
    </row>
    <row r="698" spans="1:36" x14ac:dyDescent="0.25">
      <c r="A698" t="s">
        <v>441</v>
      </c>
      <c r="B698" t="s">
        <v>952</v>
      </c>
      <c r="C698" s="143">
        <v>45418</v>
      </c>
      <c r="D698" s="142">
        <v>45420</v>
      </c>
      <c r="E698">
        <f>Tabela4[[#This Row],[DATA FATURAMENTO]]-Tabela4[[#This Row],[DATA ORÇAMENTO]]</f>
        <v>2</v>
      </c>
      <c r="F698">
        <v>11409</v>
      </c>
      <c r="G698" s="15" t="s">
        <v>37</v>
      </c>
      <c r="H698" s="54"/>
      <c r="I698" s="151">
        <v>1022.6</v>
      </c>
      <c r="J698" s="154">
        <f>Tabela4[[#This Row],[VALOR]]-Tabela4[[#This Row],[PECAS]]</f>
        <v>415.99999999999989</v>
      </c>
      <c r="K698" s="150">
        <v>1438.6</v>
      </c>
      <c r="L698" s="151">
        <v>0</v>
      </c>
      <c r="M698" s="151">
        <f>22.95+20</f>
        <v>42.95</v>
      </c>
      <c r="N698" s="24"/>
      <c r="O698" s="151">
        <v>0</v>
      </c>
      <c r="P698" s="151">
        <v>0</v>
      </c>
      <c r="Q698" s="151">
        <v>0</v>
      </c>
      <c r="R698" s="151">
        <v>0</v>
      </c>
      <c r="S698" s="154">
        <v>17.36</v>
      </c>
      <c r="T698" s="151">
        <v>0</v>
      </c>
      <c r="U698" s="151">
        <v>0</v>
      </c>
      <c r="V698" s="15"/>
      <c r="W698" s="22">
        <v>4</v>
      </c>
      <c r="X698" s="149">
        <v>0</v>
      </c>
      <c r="Y698" s="15" t="s">
        <v>654</v>
      </c>
      <c r="Z698" s="151">
        <v>0</v>
      </c>
      <c r="AA698" s="149">
        <f>Tabela4[[#This Row],[VALOR]]-Tabela4[[#This Row],[PNEUS]]-Tabela4[[#This Row],[BATERIA]]</f>
        <v>1438.6</v>
      </c>
      <c r="AB698" s="19" t="s">
        <v>24</v>
      </c>
      <c r="AC698" s="30">
        <v>0</v>
      </c>
      <c r="AD698" s="162">
        <v>0</v>
      </c>
      <c r="AE698" s="162">
        <v>0</v>
      </c>
      <c r="AF698" s="162">
        <v>0</v>
      </c>
      <c r="AG698" s="162">
        <v>0</v>
      </c>
      <c r="AH698" s="162">
        <v>0</v>
      </c>
      <c r="AI698" s="162">
        <v>0</v>
      </c>
      <c r="AJ698" s="162">
        <v>0</v>
      </c>
    </row>
    <row r="699" spans="1:36" x14ac:dyDescent="0.25">
      <c r="A699" t="s">
        <v>389</v>
      </c>
      <c r="B699" t="s">
        <v>876</v>
      </c>
      <c r="C699" s="143">
        <v>45419</v>
      </c>
      <c r="D699" s="142">
        <v>45420</v>
      </c>
      <c r="E699">
        <f>Tabela4[[#This Row],[DATA FATURAMENTO]]-Tabela4[[#This Row],[DATA ORÇAMENTO]]</f>
        <v>1</v>
      </c>
      <c r="F699">
        <v>11419</v>
      </c>
      <c r="G699" s="15" t="s">
        <v>35</v>
      </c>
      <c r="H699" s="54"/>
      <c r="I699" s="151">
        <v>178.8</v>
      </c>
      <c r="J699" s="154">
        <f>Tabela4[[#This Row],[VALOR]]-Tabela4[[#This Row],[PECAS]]</f>
        <v>170</v>
      </c>
      <c r="K699" s="150">
        <v>348.8</v>
      </c>
      <c r="L699" s="151">
        <v>0</v>
      </c>
      <c r="M699" s="151">
        <v>0</v>
      </c>
      <c r="N699" s="24"/>
      <c r="O699" s="151">
        <v>0</v>
      </c>
      <c r="P699" s="151">
        <v>0</v>
      </c>
      <c r="Q699" s="151">
        <v>0</v>
      </c>
      <c r="R699" s="151">
        <v>0</v>
      </c>
      <c r="S699" s="154">
        <v>0</v>
      </c>
      <c r="T699" s="151">
        <v>0</v>
      </c>
      <c r="U699" s="151">
        <v>0</v>
      </c>
      <c r="V699" s="15"/>
      <c r="W699" s="22">
        <v>0</v>
      </c>
      <c r="X699" s="149">
        <v>0</v>
      </c>
      <c r="Y699" s="15"/>
      <c r="Z699" s="151">
        <v>0</v>
      </c>
      <c r="AA699" s="149">
        <f>Tabela4[[#This Row],[VALOR]]-Tabela4[[#This Row],[PNEUS]]-Tabela4[[#This Row],[BATERIA]]</f>
        <v>348.8</v>
      </c>
      <c r="AB699" s="19" t="s">
        <v>27</v>
      </c>
      <c r="AC699" s="30">
        <v>0</v>
      </c>
      <c r="AD699" s="162">
        <v>0</v>
      </c>
      <c r="AE699" s="162">
        <v>0</v>
      </c>
      <c r="AF699" s="162">
        <v>0</v>
      </c>
      <c r="AG699" s="162">
        <v>0</v>
      </c>
      <c r="AH699" s="162">
        <v>0</v>
      </c>
      <c r="AI699" s="162">
        <v>0</v>
      </c>
      <c r="AJ699" s="162">
        <v>0</v>
      </c>
    </row>
    <row r="700" spans="1:36" x14ac:dyDescent="0.25">
      <c r="A700" t="s">
        <v>405</v>
      </c>
      <c r="B700" t="s">
        <v>1130</v>
      </c>
      <c r="C700" s="143">
        <v>45419</v>
      </c>
      <c r="D700" s="142">
        <v>45420</v>
      </c>
      <c r="E700">
        <f>Tabela4[[#This Row],[DATA FATURAMENTO]]-Tabela4[[#This Row],[DATA ORÇAMENTO]]</f>
        <v>1</v>
      </c>
      <c r="F700">
        <v>11423</v>
      </c>
      <c r="G700" s="15" t="s">
        <v>25</v>
      </c>
      <c r="H700" s="54"/>
      <c r="I700" s="151">
        <v>1565.2</v>
      </c>
      <c r="J700" s="154">
        <f>Tabela4[[#This Row],[VALOR]]-Tabela4[[#This Row],[PECAS]]</f>
        <v>564.70000000000005</v>
      </c>
      <c r="K700" s="150">
        <v>2129.9</v>
      </c>
      <c r="L700" s="151">
        <v>0</v>
      </c>
      <c r="M700" s="151">
        <v>0</v>
      </c>
      <c r="N700" s="24"/>
      <c r="O700" s="151">
        <f>230+38.8</f>
        <v>268.8</v>
      </c>
      <c r="P700" s="151">
        <v>0</v>
      </c>
      <c r="Q700" s="151">
        <v>0</v>
      </c>
      <c r="R700" s="151">
        <v>0</v>
      </c>
      <c r="S700" s="154">
        <v>85.9</v>
      </c>
      <c r="T700" s="151">
        <v>1391.7</v>
      </c>
      <c r="U700" s="151">
        <v>0</v>
      </c>
      <c r="V700" s="15"/>
      <c r="W700" s="22">
        <v>0</v>
      </c>
      <c r="X700" s="149">
        <v>0</v>
      </c>
      <c r="Y700" s="15"/>
      <c r="Z700" s="151">
        <v>85.9</v>
      </c>
      <c r="AA700" s="149">
        <f>Tabela4[[#This Row],[VALOR]]-Tabela4[[#This Row],[PNEUS]]-Tabela4[[#This Row],[BATERIA]]</f>
        <v>738.2</v>
      </c>
      <c r="AB700" s="19" t="s">
        <v>24</v>
      </c>
      <c r="AC700" s="30">
        <v>0</v>
      </c>
      <c r="AD700" s="162">
        <v>0</v>
      </c>
      <c r="AE700" s="162">
        <v>0</v>
      </c>
      <c r="AF700" s="162">
        <v>0</v>
      </c>
      <c r="AG700" s="162">
        <v>0</v>
      </c>
      <c r="AH700" s="162">
        <v>0</v>
      </c>
      <c r="AI700" s="162">
        <v>0</v>
      </c>
      <c r="AJ700" s="162">
        <v>0</v>
      </c>
    </row>
    <row r="701" spans="1:36" x14ac:dyDescent="0.25">
      <c r="A701" t="s">
        <v>423</v>
      </c>
      <c r="B701" t="s">
        <v>1150</v>
      </c>
      <c r="C701" s="143">
        <v>45419</v>
      </c>
      <c r="D701" s="142">
        <v>45420</v>
      </c>
      <c r="E701">
        <f>Tabela4[[#This Row],[DATA FATURAMENTO]]-Tabela4[[#This Row],[DATA ORÇAMENTO]]</f>
        <v>1</v>
      </c>
      <c r="F701">
        <v>11426</v>
      </c>
      <c r="G701" s="15" t="s">
        <v>25</v>
      </c>
      <c r="H701" s="54"/>
      <c r="I701" s="151">
        <v>299.8</v>
      </c>
      <c r="J701" s="154">
        <f>Tabela4[[#This Row],[VALOR]]-Tabela4[[#This Row],[PECAS]]</f>
        <v>730</v>
      </c>
      <c r="K701" s="150">
        <v>1029.8</v>
      </c>
      <c r="L701" s="151">
        <v>0</v>
      </c>
      <c r="M701" s="151">
        <v>0</v>
      </c>
      <c r="N701" s="24"/>
      <c r="O701" s="151">
        <v>0</v>
      </c>
      <c r="P701" s="151">
        <v>0</v>
      </c>
      <c r="Q701" s="151">
        <v>0</v>
      </c>
      <c r="R701" s="151">
        <v>0</v>
      </c>
      <c r="S701" s="154">
        <v>0</v>
      </c>
      <c r="T701" s="151">
        <v>0</v>
      </c>
      <c r="U701" s="151">
        <v>0</v>
      </c>
      <c r="V701" s="15"/>
      <c r="W701" s="22">
        <v>0</v>
      </c>
      <c r="X701" s="149">
        <v>0</v>
      </c>
      <c r="Y701" s="15"/>
      <c r="Z701" s="151">
        <v>0</v>
      </c>
      <c r="AA701" s="149">
        <f>Tabela4[[#This Row],[VALOR]]-Tabela4[[#This Row],[PNEUS]]-Tabela4[[#This Row],[BATERIA]]</f>
        <v>1029.8</v>
      </c>
      <c r="AB701" s="19" t="s">
        <v>34</v>
      </c>
      <c r="AC701" s="30">
        <v>0</v>
      </c>
      <c r="AD701" s="162">
        <v>0</v>
      </c>
      <c r="AE701" s="162">
        <v>0</v>
      </c>
      <c r="AF701" s="162">
        <v>0</v>
      </c>
      <c r="AG701" s="162">
        <v>0</v>
      </c>
      <c r="AH701" s="162">
        <v>0</v>
      </c>
      <c r="AI701" s="162">
        <v>0</v>
      </c>
      <c r="AJ701" s="162">
        <v>0</v>
      </c>
    </row>
    <row r="702" spans="1:36" x14ac:dyDescent="0.25">
      <c r="A702" s="25" t="s">
        <v>1151</v>
      </c>
      <c r="B702" s="25" t="s">
        <v>1152</v>
      </c>
      <c r="C702" s="142">
        <v>45405</v>
      </c>
      <c r="D702" s="142">
        <v>45421</v>
      </c>
      <c r="E702">
        <f>Tabela4[[#This Row],[DATA FATURAMENTO]]-Tabela4[[#This Row],[DATA ORÇAMENTO]]</f>
        <v>16</v>
      </c>
      <c r="F702" s="25">
        <v>11304</v>
      </c>
      <c r="G702" s="25" t="s">
        <v>6</v>
      </c>
      <c r="H702" s="25"/>
      <c r="I702" s="155">
        <v>522.5</v>
      </c>
      <c r="J702" s="155">
        <v>0.01</v>
      </c>
      <c r="K702" s="153">
        <f>Tabela4[[#This Row],[PECAS]]+Tabela4[[#This Row],[SERVICOS]]</f>
        <v>522.51</v>
      </c>
      <c r="L702" s="155">
        <v>0</v>
      </c>
      <c r="M702" s="155">
        <v>0</v>
      </c>
      <c r="N702" s="67"/>
      <c r="O702" s="155">
        <v>0</v>
      </c>
      <c r="P702" s="155">
        <v>0</v>
      </c>
      <c r="Q702" s="155">
        <v>0</v>
      </c>
      <c r="R702" s="155">
        <v>0</v>
      </c>
      <c r="S702" s="154">
        <v>0</v>
      </c>
      <c r="T702" s="155">
        <v>0</v>
      </c>
      <c r="U702" s="155">
        <v>522.51</v>
      </c>
      <c r="V702" s="25" t="s">
        <v>707</v>
      </c>
      <c r="W702" s="22">
        <v>0</v>
      </c>
      <c r="X702" s="149">
        <v>0</v>
      </c>
      <c r="Y702" s="25"/>
      <c r="Z702" s="155">
        <v>0</v>
      </c>
      <c r="AA702" s="149">
        <f>Tabela4[[#This Row],[VALOR]]-Tabela4[[#This Row],[PNEUS]]-Tabela4[[#This Row],[BATERIA]]</f>
        <v>0</v>
      </c>
      <c r="AB702" s="27" t="s">
        <v>6</v>
      </c>
      <c r="AC702" s="30">
        <v>0</v>
      </c>
      <c r="AD702" s="162">
        <v>0</v>
      </c>
      <c r="AE702" s="162">
        <v>0</v>
      </c>
      <c r="AF702" s="162">
        <v>0</v>
      </c>
      <c r="AG702" s="162">
        <v>0</v>
      </c>
      <c r="AH702" s="162">
        <v>0</v>
      </c>
      <c r="AI702" s="162">
        <v>0</v>
      </c>
      <c r="AJ702" s="162">
        <v>0</v>
      </c>
    </row>
    <row r="703" spans="1:36" x14ac:dyDescent="0.25">
      <c r="A703" s="25" t="s">
        <v>1153</v>
      </c>
      <c r="B703" s="25" t="s">
        <v>889</v>
      </c>
      <c r="C703" s="142">
        <v>45408</v>
      </c>
      <c r="D703" s="142">
        <v>45421</v>
      </c>
      <c r="E703">
        <f>Tabela4[[#This Row],[DATA FATURAMENTO]]-Tabela4[[#This Row],[DATA ORÇAMENTO]]</f>
        <v>13</v>
      </c>
      <c r="F703" s="25">
        <v>11347</v>
      </c>
      <c r="G703" s="25" t="s">
        <v>6</v>
      </c>
      <c r="H703" s="25"/>
      <c r="I703" s="155">
        <v>533.5</v>
      </c>
      <c r="J703" s="155">
        <v>0.01</v>
      </c>
      <c r="K703" s="153">
        <f>Tabela4[[#This Row],[PECAS]]+Tabela4[[#This Row],[SERVICOS]]</f>
        <v>533.51</v>
      </c>
      <c r="L703" s="155">
        <v>0</v>
      </c>
      <c r="M703" s="155">
        <v>0</v>
      </c>
      <c r="N703" s="67"/>
      <c r="O703" s="155">
        <v>0</v>
      </c>
      <c r="P703" s="155">
        <v>0</v>
      </c>
      <c r="Q703" s="155">
        <v>0</v>
      </c>
      <c r="R703" s="155">
        <v>0</v>
      </c>
      <c r="S703" s="154">
        <v>0</v>
      </c>
      <c r="T703" s="155">
        <v>0</v>
      </c>
      <c r="U703" s="155">
        <v>533.51</v>
      </c>
      <c r="V703" s="25" t="s">
        <v>661</v>
      </c>
      <c r="W703" s="22">
        <v>0</v>
      </c>
      <c r="X703" s="149">
        <v>0</v>
      </c>
      <c r="Y703" s="25"/>
      <c r="Z703" s="155">
        <v>0</v>
      </c>
      <c r="AA703" s="149">
        <f>Tabela4[[#This Row],[VALOR]]-Tabela4[[#This Row],[PNEUS]]-Tabela4[[#This Row],[BATERIA]]</f>
        <v>0</v>
      </c>
      <c r="AB703" s="27" t="s">
        <v>6</v>
      </c>
      <c r="AC703" s="30">
        <v>0</v>
      </c>
      <c r="AD703" s="162">
        <v>0</v>
      </c>
      <c r="AE703" s="162">
        <v>0</v>
      </c>
      <c r="AF703" s="162">
        <v>0</v>
      </c>
      <c r="AG703" s="162">
        <v>0</v>
      </c>
      <c r="AH703" s="162">
        <v>0</v>
      </c>
      <c r="AI703" s="162">
        <v>0</v>
      </c>
      <c r="AJ703" s="162">
        <v>0</v>
      </c>
    </row>
    <row r="704" spans="1:36" x14ac:dyDescent="0.25">
      <c r="A704" s="64" t="s">
        <v>1154</v>
      </c>
      <c r="B704" s="25" t="s">
        <v>1155</v>
      </c>
      <c r="C704" s="142">
        <v>45420</v>
      </c>
      <c r="D704" s="142">
        <v>45421</v>
      </c>
      <c r="E704">
        <f>Tabela4[[#This Row],[DATA FATURAMENTO]]-Tabela4[[#This Row],[DATA ORÇAMENTO]]</f>
        <v>1</v>
      </c>
      <c r="F704" s="25">
        <v>11428</v>
      </c>
      <c r="G704" s="25" t="s">
        <v>22</v>
      </c>
      <c r="H704" s="25"/>
      <c r="I704" s="155">
        <v>415.2</v>
      </c>
      <c r="J704" s="155">
        <v>517.44000000000005</v>
      </c>
      <c r="K704" s="153">
        <f>Tabela4[[#This Row],[PECAS]]+Tabela4[[#This Row],[SERVICOS]]</f>
        <v>932.6400000000001</v>
      </c>
      <c r="L704" s="155">
        <v>0</v>
      </c>
      <c r="M704" s="155">
        <v>0</v>
      </c>
      <c r="N704" s="67"/>
      <c r="O704" s="155">
        <v>0</v>
      </c>
      <c r="P704" s="155">
        <v>0</v>
      </c>
      <c r="Q704" s="155">
        <v>0</v>
      </c>
      <c r="R704" s="155">
        <v>0</v>
      </c>
      <c r="S704" s="154">
        <v>0</v>
      </c>
      <c r="T704" s="155">
        <v>0</v>
      </c>
      <c r="U704" s="155">
        <v>0</v>
      </c>
      <c r="V704" s="25"/>
      <c r="W704" s="22">
        <v>0</v>
      </c>
      <c r="X704" s="149">
        <v>0</v>
      </c>
      <c r="Y704" s="25"/>
      <c r="Z704" s="155">
        <v>0</v>
      </c>
      <c r="AA704" s="149">
        <f>Tabela4[[#This Row],[VALOR]]-Tabela4[[#This Row],[PNEUS]]-Tabela4[[#This Row],[BATERIA]]</f>
        <v>932.6400000000001</v>
      </c>
      <c r="AB704" s="27" t="s">
        <v>36</v>
      </c>
      <c r="AC704" s="30">
        <v>0</v>
      </c>
      <c r="AD704" s="162">
        <v>0</v>
      </c>
      <c r="AE704" s="162">
        <v>0</v>
      </c>
      <c r="AF704" s="162">
        <v>0</v>
      </c>
      <c r="AG704" s="162">
        <v>0</v>
      </c>
      <c r="AH704" s="162">
        <v>0</v>
      </c>
      <c r="AI704" s="162">
        <v>0</v>
      </c>
      <c r="AJ704" s="162">
        <v>0</v>
      </c>
    </row>
    <row r="705" spans="1:36" x14ac:dyDescent="0.25">
      <c r="A705" s="25" t="s">
        <v>1156</v>
      </c>
      <c r="B705" s="25" t="s">
        <v>1157</v>
      </c>
      <c r="C705" s="142">
        <v>45421</v>
      </c>
      <c r="D705" s="142">
        <v>45421</v>
      </c>
      <c r="E705">
        <f>Tabela4[[#This Row],[DATA FATURAMENTO]]-Tabela4[[#This Row],[DATA ORÇAMENTO]]</f>
        <v>0</v>
      </c>
      <c r="F705" s="25">
        <v>11442</v>
      </c>
      <c r="G705" s="25" t="s">
        <v>22</v>
      </c>
      <c r="H705" s="25"/>
      <c r="I705" s="155">
        <v>0</v>
      </c>
      <c r="J705" s="155">
        <v>85.6</v>
      </c>
      <c r="K705" s="153">
        <f>Tabela4[[#This Row],[PECAS]]+Tabela4[[#This Row],[SERVICOS]]</f>
        <v>85.6</v>
      </c>
      <c r="L705" s="155">
        <v>0</v>
      </c>
      <c r="M705" s="155">
        <v>0</v>
      </c>
      <c r="N705" s="67"/>
      <c r="O705" s="155">
        <v>0</v>
      </c>
      <c r="P705" s="155">
        <v>0</v>
      </c>
      <c r="Q705" s="155">
        <v>0</v>
      </c>
      <c r="R705" s="155">
        <v>0</v>
      </c>
      <c r="S705" s="154">
        <v>0</v>
      </c>
      <c r="T705" s="155">
        <v>0</v>
      </c>
      <c r="U705" s="155">
        <v>0</v>
      </c>
      <c r="V705" s="25"/>
      <c r="W705" s="22">
        <v>0</v>
      </c>
      <c r="X705" s="149">
        <v>0</v>
      </c>
      <c r="Y705" s="25"/>
      <c r="Z705" s="155">
        <v>0</v>
      </c>
      <c r="AA705" s="149">
        <f>Tabela4[[#This Row],[VALOR]]-Tabela4[[#This Row],[PNEUS]]-Tabela4[[#This Row],[BATERIA]]</f>
        <v>85.6</v>
      </c>
      <c r="AB705" s="27" t="s">
        <v>36</v>
      </c>
      <c r="AC705" s="30">
        <v>0</v>
      </c>
      <c r="AD705" s="162">
        <v>0</v>
      </c>
      <c r="AE705" s="162">
        <v>0</v>
      </c>
      <c r="AF705" s="162">
        <v>0</v>
      </c>
      <c r="AG705" s="162">
        <v>0</v>
      </c>
      <c r="AH705" s="162">
        <v>0</v>
      </c>
      <c r="AI705" s="162">
        <v>0</v>
      </c>
      <c r="AJ705" s="162">
        <v>0</v>
      </c>
    </row>
    <row r="706" spans="1:36" x14ac:dyDescent="0.25">
      <c r="A706" s="25" t="s">
        <v>1158</v>
      </c>
      <c r="B706" s="25" t="s">
        <v>1159</v>
      </c>
      <c r="C706" s="142">
        <v>45421</v>
      </c>
      <c r="D706" s="142">
        <v>45421</v>
      </c>
      <c r="E706">
        <f>Tabela4[[#This Row],[DATA FATURAMENTO]]-Tabela4[[#This Row],[DATA ORÇAMENTO]]</f>
        <v>0</v>
      </c>
      <c r="F706" s="25">
        <v>11444</v>
      </c>
      <c r="G706" s="25" t="s">
        <v>6</v>
      </c>
      <c r="H706" s="25"/>
      <c r="I706" s="155">
        <v>533.5</v>
      </c>
      <c r="J706" s="155">
        <v>0.01</v>
      </c>
      <c r="K706" s="153">
        <f>Tabela4[[#This Row],[PECAS]]+Tabela4[[#This Row],[SERVICOS]]</f>
        <v>533.51</v>
      </c>
      <c r="L706" s="155">
        <v>0</v>
      </c>
      <c r="M706" s="155">
        <v>0</v>
      </c>
      <c r="N706" s="67"/>
      <c r="O706" s="155">
        <v>0</v>
      </c>
      <c r="P706" s="155">
        <v>0</v>
      </c>
      <c r="Q706" s="155">
        <v>0</v>
      </c>
      <c r="R706" s="155">
        <v>0</v>
      </c>
      <c r="S706" s="154">
        <v>0</v>
      </c>
      <c r="T706" s="155">
        <v>0</v>
      </c>
      <c r="U706" s="155">
        <v>533.51</v>
      </c>
      <c r="V706" s="25" t="s">
        <v>997</v>
      </c>
      <c r="W706" s="22">
        <v>0</v>
      </c>
      <c r="X706" s="149">
        <v>0</v>
      </c>
      <c r="Y706" s="25"/>
      <c r="Z706" s="155">
        <v>0</v>
      </c>
      <c r="AA706" s="149">
        <f>Tabela4[[#This Row],[VALOR]]-Tabela4[[#This Row],[PNEUS]]-Tabela4[[#This Row],[BATERIA]]</f>
        <v>0</v>
      </c>
      <c r="AB706" s="27" t="s">
        <v>6</v>
      </c>
      <c r="AC706" s="30">
        <v>0</v>
      </c>
      <c r="AD706" s="162">
        <v>0</v>
      </c>
      <c r="AE706" s="162">
        <v>0</v>
      </c>
      <c r="AF706" s="162">
        <v>0</v>
      </c>
      <c r="AG706" s="162">
        <v>0</v>
      </c>
      <c r="AH706" s="162">
        <v>0</v>
      </c>
      <c r="AI706" s="162">
        <v>0</v>
      </c>
      <c r="AJ706" s="162">
        <v>0</v>
      </c>
    </row>
    <row r="707" spans="1:36" x14ac:dyDescent="0.25">
      <c r="A707" s="25" t="s">
        <v>1160</v>
      </c>
      <c r="B707" s="25" t="s">
        <v>1161</v>
      </c>
      <c r="C707" s="142">
        <v>45421</v>
      </c>
      <c r="D707" s="142">
        <v>45421</v>
      </c>
      <c r="E707">
        <f>Tabela4[[#This Row],[DATA FATURAMENTO]]-Tabela4[[#This Row],[DATA ORÇAMENTO]]</f>
        <v>0</v>
      </c>
      <c r="F707" s="25">
        <v>11445</v>
      </c>
      <c r="G707" s="25" t="s">
        <v>6</v>
      </c>
      <c r="H707" s="25"/>
      <c r="I707" s="155">
        <v>533.5</v>
      </c>
      <c r="J707" s="155">
        <v>0.01</v>
      </c>
      <c r="K707" s="153">
        <f>Tabela4[[#This Row],[PECAS]]+Tabela4[[#This Row],[SERVICOS]]</f>
        <v>533.51</v>
      </c>
      <c r="L707" s="155">
        <v>0</v>
      </c>
      <c r="M707" s="155">
        <v>0</v>
      </c>
      <c r="N707" s="67"/>
      <c r="O707" s="155">
        <v>0</v>
      </c>
      <c r="P707" s="155">
        <v>0</v>
      </c>
      <c r="Q707" s="155">
        <v>0</v>
      </c>
      <c r="R707" s="155">
        <v>0</v>
      </c>
      <c r="S707" s="154">
        <v>0</v>
      </c>
      <c r="T707" s="155">
        <v>0</v>
      </c>
      <c r="U707" s="155">
        <v>533.51</v>
      </c>
      <c r="V707" s="25" t="s">
        <v>664</v>
      </c>
      <c r="W707" s="22">
        <v>0</v>
      </c>
      <c r="X707" s="149">
        <v>0</v>
      </c>
      <c r="Y707" s="25"/>
      <c r="Z707" s="155">
        <v>0</v>
      </c>
      <c r="AA707" s="149">
        <f>Tabela4[[#This Row],[VALOR]]-Tabela4[[#This Row],[PNEUS]]-Tabela4[[#This Row],[BATERIA]]</f>
        <v>0</v>
      </c>
      <c r="AB707" s="27" t="s">
        <v>6</v>
      </c>
      <c r="AC707" s="30">
        <v>0</v>
      </c>
      <c r="AD707" s="162">
        <v>0</v>
      </c>
      <c r="AE707" s="162">
        <v>0</v>
      </c>
      <c r="AF707" s="162">
        <v>0</v>
      </c>
      <c r="AG707" s="162">
        <v>0</v>
      </c>
      <c r="AH707" s="162">
        <v>0</v>
      </c>
      <c r="AI707" s="162">
        <v>0</v>
      </c>
      <c r="AJ707" s="162">
        <v>0</v>
      </c>
    </row>
    <row r="708" spans="1:36" x14ac:dyDescent="0.25">
      <c r="A708" s="25" t="s">
        <v>1162</v>
      </c>
      <c r="B708" s="25" t="s">
        <v>1161</v>
      </c>
      <c r="C708" s="142">
        <v>45415</v>
      </c>
      <c r="D708" s="142">
        <v>45422</v>
      </c>
      <c r="E708">
        <f>Tabela4[[#This Row],[DATA FATURAMENTO]]-Tabela4[[#This Row],[DATA ORÇAMENTO]]</f>
        <v>7</v>
      </c>
      <c r="F708" s="25">
        <v>11391</v>
      </c>
      <c r="G708" s="25" t="s">
        <v>6</v>
      </c>
      <c r="H708" s="25"/>
      <c r="I708" s="155">
        <v>535</v>
      </c>
      <c r="J708" s="155">
        <v>0.01</v>
      </c>
      <c r="K708" s="153">
        <f>Tabela4[[#This Row],[PECAS]]+Tabela4[[#This Row],[SERVICOS]]</f>
        <v>535.01</v>
      </c>
      <c r="L708" s="155">
        <v>0</v>
      </c>
      <c r="M708" s="155">
        <v>0</v>
      </c>
      <c r="N708" s="67"/>
      <c r="O708" s="155">
        <v>0</v>
      </c>
      <c r="P708" s="155">
        <v>0</v>
      </c>
      <c r="Q708" s="155">
        <v>0</v>
      </c>
      <c r="R708" s="155">
        <v>0</v>
      </c>
      <c r="S708" s="154">
        <v>0</v>
      </c>
      <c r="T708" s="155">
        <v>0</v>
      </c>
      <c r="U708" s="155">
        <v>535.01</v>
      </c>
      <c r="V708" s="25" t="s">
        <v>806</v>
      </c>
      <c r="W708" s="22">
        <v>0</v>
      </c>
      <c r="X708" s="149">
        <v>0</v>
      </c>
      <c r="Y708" s="25"/>
      <c r="Z708" s="155">
        <v>0</v>
      </c>
      <c r="AA708" s="149">
        <f>Tabela4[[#This Row],[VALOR]]-Tabela4[[#This Row],[PNEUS]]-Tabela4[[#This Row],[BATERIA]]</f>
        <v>0</v>
      </c>
      <c r="AB708" s="27" t="s">
        <v>6</v>
      </c>
      <c r="AC708" s="30">
        <v>0</v>
      </c>
      <c r="AD708" s="162">
        <v>0</v>
      </c>
      <c r="AE708" s="162">
        <v>0</v>
      </c>
      <c r="AF708" s="162">
        <v>0</v>
      </c>
      <c r="AG708" s="162">
        <v>0</v>
      </c>
      <c r="AH708" s="162">
        <v>0</v>
      </c>
      <c r="AI708" s="162">
        <v>0</v>
      </c>
      <c r="AJ708" s="162">
        <v>0</v>
      </c>
    </row>
    <row r="709" spans="1:36" x14ac:dyDescent="0.25">
      <c r="A709" s="25" t="s">
        <v>438</v>
      </c>
      <c r="B709" s="25" t="s">
        <v>1163</v>
      </c>
      <c r="C709" s="142">
        <v>45418</v>
      </c>
      <c r="D709" s="142">
        <v>45422</v>
      </c>
      <c r="E709">
        <f>Tabela4[[#This Row],[DATA FATURAMENTO]]-Tabela4[[#This Row],[DATA ORÇAMENTO]]</f>
        <v>4</v>
      </c>
      <c r="F709" s="25">
        <v>11415</v>
      </c>
      <c r="G709" s="25" t="s">
        <v>31</v>
      </c>
      <c r="H709" s="25"/>
      <c r="I709" s="155">
        <v>7751.8</v>
      </c>
      <c r="J709" s="155">
        <v>4098.21</v>
      </c>
      <c r="K709" s="153">
        <f>Tabela4[[#This Row],[PECAS]]+Tabela4[[#This Row],[SERVICOS]]</f>
        <v>11850.01</v>
      </c>
      <c r="L709" s="155">
        <v>130</v>
      </c>
      <c r="M709" s="155">
        <v>0</v>
      </c>
      <c r="N709" s="67"/>
      <c r="O709" s="155">
        <v>290</v>
      </c>
      <c r="P709" s="155">
        <v>0</v>
      </c>
      <c r="Q709" s="155">
        <v>0</v>
      </c>
      <c r="R709" s="155">
        <v>0</v>
      </c>
      <c r="S709" s="154">
        <v>280</v>
      </c>
      <c r="T709" s="155">
        <v>0</v>
      </c>
      <c r="U709" s="155">
        <v>0</v>
      </c>
      <c r="V709" s="25"/>
      <c r="W709" s="28">
        <v>5</v>
      </c>
      <c r="X709" s="149">
        <v>0</v>
      </c>
      <c r="Y709" s="25" t="s">
        <v>804</v>
      </c>
      <c r="Z709" s="155">
        <v>0</v>
      </c>
      <c r="AA709" s="149">
        <f>Tabela4[[#This Row],[VALOR]]-Tabela4[[#This Row],[PNEUS]]-Tabela4[[#This Row],[BATERIA]]</f>
        <v>11850.01</v>
      </c>
      <c r="AB709" s="27" t="s">
        <v>30</v>
      </c>
      <c r="AC709" s="30">
        <v>0</v>
      </c>
      <c r="AD709" s="162">
        <v>0</v>
      </c>
      <c r="AE709" s="162">
        <v>0</v>
      </c>
      <c r="AF709" s="162">
        <v>0</v>
      </c>
      <c r="AG709" s="162">
        <v>0</v>
      </c>
      <c r="AH709" s="162">
        <v>0</v>
      </c>
      <c r="AI709" s="162">
        <v>0</v>
      </c>
      <c r="AJ709" s="162">
        <v>0</v>
      </c>
    </row>
    <row r="710" spans="1:36" x14ac:dyDescent="0.25">
      <c r="A710" s="25" t="s">
        <v>1164</v>
      </c>
      <c r="B710" s="25" t="s">
        <v>1165</v>
      </c>
      <c r="C710" s="142">
        <v>45421</v>
      </c>
      <c r="D710" s="142">
        <v>45422</v>
      </c>
      <c r="E710">
        <f>Tabela4[[#This Row],[DATA FATURAMENTO]]-Tabela4[[#This Row],[DATA ORÇAMENTO]]</f>
        <v>1</v>
      </c>
      <c r="F710" s="25">
        <v>11435</v>
      </c>
      <c r="G710" s="25" t="s">
        <v>22</v>
      </c>
      <c r="H710" s="25"/>
      <c r="I710" s="155">
        <v>2196.6</v>
      </c>
      <c r="J710" s="155">
        <v>963.07</v>
      </c>
      <c r="K710" s="153">
        <f>Tabela4[[#This Row],[PECAS]]+Tabela4[[#This Row],[SERVICOS]]</f>
        <v>3159.67</v>
      </c>
      <c r="L710" s="155">
        <v>0</v>
      </c>
      <c r="M710" s="155">
        <v>0</v>
      </c>
      <c r="N710" s="67"/>
      <c r="O710" s="155">
        <v>240.77</v>
      </c>
      <c r="P710" s="155">
        <f>117.4+68.7</f>
        <v>186.10000000000002</v>
      </c>
      <c r="Q710" s="155">
        <v>0</v>
      </c>
      <c r="R710" s="155">
        <v>0</v>
      </c>
      <c r="S710" s="154">
        <v>0</v>
      </c>
      <c r="T710" s="155">
        <v>0</v>
      </c>
      <c r="U710" s="155">
        <v>0</v>
      </c>
      <c r="V710" s="25"/>
      <c r="W710" s="22">
        <v>0</v>
      </c>
      <c r="X710" s="149">
        <v>0</v>
      </c>
      <c r="Y710" s="25"/>
      <c r="Z710" s="155">
        <v>0</v>
      </c>
      <c r="AA710" s="149">
        <f>Tabela4[[#This Row],[VALOR]]-Tabela4[[#This Row],[PNEUS]]-Tabela4[[#This Row],[BATERIA]]</f>
        <v>3159.67</v>
      </c>
      <c r="AB710" s="27" t="s">
        <v>30</v>
      </c>
      <c r="AC710" s="30">
        <v>0</v>
      </c>
      <c r="AD710" s="162">
        <v>0</v>
      </c>
      <c r="AE710" s="162">
        <v>0</v>
      </c>
      <c r="AF710" s="162">
        <v>0</v>
      </c>
      <c r="AG710" s="162">
        <v>0</v>
      </c>
      <c r="AH710" s="162">
        <v>0</v>
      </c>
      <c r="AI710" s="162">
        <v>0</v>
      </c>
      <c r="AJ710" s="162">
        <v>0</v>
      </c>
    </row>
    <row r="711" spans="1:36" x14ac:dyDescent="0.25">
      <c r="A711" s="25" t="s">
        <v>1166</v>
      </c>
      <c r="B711" s="25" t="s">
        <v>1080</v>
      </c>
      <c r="C711" s="142">
        <v>45421</v>
      </c>
      <c r="D711" s="142">
        <v>45422</v>
      </c>
      <c r="E711">
        <f>Tabela4[[#This Row],[DATA FATURAMENTO]]-Tabela4[[#This Row],[DATA ORÇAMENTO]]</f>
        <v>1</v>
      </c>
      <c r="F711" s="25">
        <v>11436</v>
      </c>
      <c r="G711" s="25" t="s">
        <v>39</v>
      </c>
      <c r="H711" s="25" t="s">
        <v>44</v>
      </c>
      <c r="I711" s="155">
        <v>0</v>
      </c>
      <c r="J711" s="155">
        <v>220.01</v>
      </c>
      <c r="K711" s="153">
        <f>Tabela4[[#This Row],[PECAS]]+Tabela4[[#This Row],[SERVICOS]]</f>
        <v>220.01</v>
      </c>
      <c r="L711" s="155">
        <v>0</v>
      </c>
      <c r="M711" s="155">
        <v>0</v>
      </c>
      <c r="N711" s="67"/>
      <c r="O711" s="155">
        <v>0</v>
      </c>
      <c r="P711" s="155">
        <v>0</v>
      </c>
      <c r="Q711" s="155">
        <v>0</v>
      </c>
      <c r="R711" s="155">
        <v>0</v>
      </c>
      <c r="S711" s="154">
        <v>0</v>
      </c>
      <c r="T711" s="155">
        <v>0</v>
      </c>
      <c r="U711" s="155">
        <v>0</v>
      </c>
      <c r="V711" s="25"/>
      <c r="W711" s="22">
        <v>0</v>
      </c>
      <c r="X711" s="149">
        <v>0</v>
      </c>
      <c r="Y711" s="25"/>
      <c r="Z711" s="155">
        <v>0</v>
      </c>
      <c r="AA711" s="149">
        <f>Tabela4[[#This Row],[VALOR]]-Tabela4[[#This Row],[PNEUS]]-Tabela4[[#This Row],[BATERIA]]</f>
        <v>220.01</v>
      </c>
      <c r="AB711" s="27" t="s">
        <v>27</v>
      </c>
      <c r="AC711" s="30">
        <v>0</v>
      </c>
      <c r="AD711" s="162">
        <v>0</v>
      </c>
      <c r="AE711" s="162">
        <v>0</v>
      </c>
      <c r="AF711" s="162">
        <v>0</v>
      </c>
      <c r="AG711" s="162">
        <v>0</v>
      </c>
      <c r="AH711" s="162">
        <v>0</v>
      </c>
      <c r="AI711" s="162">
        <v>0</v>
      </c>
      <c r="AJ711" s="162">
        <v>0</v>
      </c>
    </row>
    <row r="712" spans="1:36" x14ac:dyDescent="0.25">
      <c r="A712" s="25" t="s">
        <v>1167</v>
      </c>
      <c r="B712" s="25" t="s">
        <v>948</v>
      </c>
      <c r="C712" s="142">
        <v>45421</v>
      </c>
      <c r="D712" s="142">
        <v>45422</v>
      </c>
      <c r="E712">
        <f>Tabela4[[#This Row],[DATA FATURAMENTO]]-Tabela4[[#This Row],[DATA ORÇAMENTO]]</f>
        <v>1</v>
      </c>
      <c r="F712" s="25">
        <v>11437</v>
      </c>
      <c r="G712" s="25" t="s">
        <v>22</v>
      </c>
      <c r="H712" s="25"/>
      <c r="I712" s="155">
        <v>637</v>
      </c>
      <c r="J712" s="155">
        <v>617</v>
      </c>
      <c r="K712" s="153">
        <f>Tabela4[[#This Row],[PECAS]]+Tabela4[[#This Row],[SERVICOS]]</f>
        <v>1254</v>
      </c>
      <c r="L712" s="155">
        <v>0</v>
      </c>
      <c r="M712" s="155">
        <v>0</v>
      </c>
      <c r="N712" s="67"/>
      <c r="O712" s="155">
        <v>0</v>
      </c>
      <c r="P712" s="155">
        <f>90+64</f>
        <v>154</v>
      </c>
      <c r="Q712" s="155">
        <v>0</v>
      </c>
      <c r="R712" s="155">
        <v>0</v>
      </c>
      <c r="S712" s="154">
        <v>0</v>
      </c>
      <c r="T712" s="155">
        <v>0</v>
      </c>
      <c r="U712" s="155">
        <v>0</v>
      </c>
      <c r="V712" s="25"/>
      <c r="W712" s="22">
        <v>0</v>
      </c>
      <c r="X712" s="149">
        <v>0</v>
      </c>
      <c r="Y712" s="25"/>
      <c r="Z712" s="155">
        <v>0</v>
      </c>
      <c r="AA712" s="149">
        <f>Tabela4[[#This Row],[VALOR]]-Tabela4[[#This Row],[PNEUS]]-Tabela4[[#This Row],[BATERIA]]</f>
        <v>1254</v>
      </c>
      <c r="AB712" s="27" t="s">
        <v>34</v>
      </c>
      <c r="AC712" s="30">
        <v>0</v>
      </c>
      <c r="AD712" s="162">
        <v>0</v>
      </c>
      <c r="AE712" s="162">
        <v>0</v>
      </c>
      <c r="AF712" s="162">
        <v>0</v>
      </c>
      <c r="AG712" s="162">
        <v>0</v>
      </c>
      <c r="AH712" s="162">
        <v>0</v>
      </c>
      <c r="AI712" s="162">
        <v>0</v>
      </c>
      <c r="AJ712" s="162">
        <v>0</v>
      </c>
    </row>
    <row r="713" spans="1:36" x14ac:dyDescent="0.25">
      <c r="A713" s="25" t="s">
        <v>1168</v>
      </c>
      <c r="B713" s="25" t="s">
        <v>923</v>
      </c>
      <c r="C713" s="142">
        <v>45421</v>
      </c>
      <c r="D713" s="142">
        <v>45422</v>
      </c>
      <c r="E713">
        <f>Tabela4[[#This Row],[DATA FATURAMENTO]]-Tabela4[[#This Row],[DATA ORÇAMENTO]]</f>
        <v>1</v>
      </c>
      <c r="F713" s="25">
        <v>11446</v>
      </c>
      <c r="G713" s="25" t="s">
        <v>22</v>
      </c>
      <c r="H713" s="25"/>
      <c r="I713" s="155">
        <v>920</v>
      </c>
      <c r="J713" s="155">
        <v>475</v>
      </c>
      <c r="K713" s="153">
        <f>Tabela4[[#This Row],[PECAS]]+Tabela4[[#This Row],[SERVICOS]]</f>
        <v>1395</v>
      </c>
      <c r="L713" s="155">
        <v>0</v>
      </c>
      <c r="M713" s="155">
        <v>0</v>
      </c>
      <c r="N713" s="67"/>
      <c r="O713" s="155">
        <v>0</v>
      </c>
      <c r="P713" s="155">
        <v>0</v>
      </c>
      <c r="Q713" s="155">
        <v>0</v>
      </c>
      <c r="R713" s="155">
        <v>0</v>
      </c>
      <c r="S713" s="154">
        <v>0</v>
      </c>
      <c r="T713" s="155">
        <v>0</v>
      </c>
      <c r="U713" s="155">
        <v>0</v>
      </c>
      <c r="V713" s="25"/>
      <c r="W713" s="22">
        <v>0</v>
      </c>
      <c r="X713" s="149">
        <v>0</v>
      </c>
      <c r="Y713" s="25"/>
      <c r="Z713" s="155">
        <v>0</v>
      </c>
      <c r="AA713" s="149">
        <f>Tabela4[[#This Row],[VALOR]]-Tabela4[[#This Row],[PNEUS]]-Tabela4[[#This Row],[BATERIA]]</f>
        <v>1395</v>
      </c>
      <c r="AB713" s="27" t="s">
        <v>24</v>
      </c>
      <c r="AC713" s="30">
        <v>0</v>
      </c>
      <c r="AD713" s="162">
        <v>0</v>
      </c>
      <c r="AE713" s="162">
        <v>0</v>
      </c>
      <c r="AF713" s="162">
        <v>0</v>
      </c>
      <c r="AG713" s="162">
        <v>0</v>
      </c>
      <c r="AH713" s="162">
        <v>0</v>
      </c>
      <c r="AI713" s="162">
        <v>0</v>
      </c>
      <c r="AJ713" s="162">
        <v>0</v>
      </c>
    </row>
    <row r="714" spans="1:36" x14ac:dyDescent="0.25">
      <c r="A714" s="25" t="s">
        <v>1169</v>
      </c>
      <c r="B714" s="25" t="s">
        <v>1170</v>
      </c>
      <c r="C714" s="142">
        <v>45422</v>
      </c>
      <c r="D714" s="142">
        <v>45422</v>
      </c>
      <c r="E714">
        <f>Tabela4[[#This Row],[DATA FATURAMENTO]]-Tabela4[[#This Row],[DATA ORÇAMENTO]]</f>
        <v>0</v>
      </c>
      <c r="F714" s="25">
        <v>11447</v>
      </c>
      <c r="G714" s="25" t="s">
        <v>22</v>
      </c>
      <c r="H714" s="25"/>
      <c r="I714" s="155">
        <v>350</v>
      </c>
      <c r="J714" s="155">
        <v>0</v>
      </c>
      <c r="K714" s="153">
        <f>Tabela4[[#This Row],[PECAS]]+Tabela4[[#This Row],[SERVICOS]]</f>
        <v>350</v>
      </c>
      <c r="L714" s="155">
        <v>0</v>
      </c>
      <c r="M714" s="155">
        <v>0</v>
      </c>
      <c r="N714" s="67"/>
      <c r="O714" s="155">
        <v>0</v>
      </c>
      <c r="P714" s="155">
        <v>0</v>
      </c>
      <c r="Q714" s="155">
        <v>0</v>
      </c>
      <c r="R714" s="155">
        <v>0</v>
      </c>
      <c r="S714" s="154">
        <v>0</v>
      </c>
      <c r="T714" s="155">
        <v>0</v>
      </c>
      <c r="U714" s="155">
        <v>0</v>
      </c>
      <c r="V714" s="25"/>
      <c r="W714" s="28">
        <v>4</v>
      </c>
      <c r="X714" s="149">
        <v>0</v>
      </c>
      <c r="Y714" s="25" t="s">
        <v>807</v>
      </c>
      <c r="Z714" s="155">
        <v>0</v>
      </c>
      <c r="AA714" s="149">
        <f>Tabela4[[#This Row],[VALOR]]-Tabela4[[#This Row],[PNEUS]]-Tabela4[[#This Row],[BATERIA]]</f>
        <v>350</v>
      </c>
      <c r="AB714" s="27" t="s">
        <v>36</v>
      </c>
      <c r="AC714" s="30">
        <v>0</v>
      </c>
      <c r="AD714" s="162">
        <v>0</v>
      </c>
      <c r="AE714" s="162">
        <v>0</v>
      </c>
      <c r="AF714" s="162">
        <v>0</v>
      </c>
      <c r="AG714" s="162">
        <v>0</v>
      </c>
      <c r="AH714" s="162">
        <v>0</v>
      </c>
      <c r="AI714" s="162">
        <v>0</v>
      </c>
      <c r="AJ714" s="162">
        <v>0</v>
      </c>
    </row>
    <row r="715" spans="1:36" x14ac:dyDescent="0.25">
      <c r="A715" s="25" t="s">
        <v>441</v>
      </c>
      <c r="B715" s="25" t="s">
        <v>1171</v>
      </c>
      <c r="C715" s="142">
        <v>45422</v>
      </c>
      <c r="D715" s="142">
        <v>45422</v>
      </c>
      <c r="E715">
        <f>Tabela4[[#This Row],[DATA FATURAMENTO]]-Tabela4[[#This Row],[DATA ORÇAMENTO]]</f>
        <v>0</v>
      </c>
      <c r="F715" s="25">
        <v>11448</v>
      </c>
      <c r="G715" s="25" t="s">
        <v>37</v>
      </c>
      <c r="H715" s="25"/>
      <c r="I715" s="155">
        <v>20.399999999999999</v>
      </c>
      <c r="J715" s="155">
        <v>375.52</v>
      </c>
      <c r="K715" s="153">
        <f>Tabela4[[#This Row],[PECAS]]+Tabela4[[#This Row],[SERVICOS]]</f>
        <v>395.91999999999996</v>
      </c>
      <c r="L715" s="155">
        <v>0</v>
      </c>
      <c r="M715" s="155">
        <v>0</v>
      </c>
      <c r="N715" s="67"/>
      <c r="O715" s="155">
        <v>20.399999999999999</v>
      </c>
      <c r="P715" s="155">
        <v>0</v>
      </c>
      <c r="Q715" s="155">
        <v>0</v>
      </c>
      <c r="R715" s="155">
        <v>0</v>
      </c>
      <c r="S715" s="154">
        <v>150.01</v>
      </c>
      <c r="T715" s="155">
        <v>0</v>
      </c>
      <c r="U715" s="155">
        <v>0</v>
      </c>
      <c r="V715" s="25"/>
      <c r="W715" s="22">
        <v>0</v>
      </c>
      <c r="X715" s="149">
        <v>0</v>
      </c>
      <c r="Y715" s="25"/>
      <c r="Z715" s="155">
        <v>0</v>
      </c>
      <c r="AA715" s="149">
        <f>Tabela4[[#This Row],[VALOR]]-Tabela4[[#This Row],[PNEUS]]-Tabela4[[#This Row],[BATERIA]]</f>
        <v>395.91999999999996</v>
      </c>
      <c r="AB715" s="27" t="s">
        <v>24</v>
      </c>
      <c r="AC715" s="30">
        <v>0</v>
      </c>
      <c r="AD715" s="162">
        <v>0</v>
      </c>
      <c r="AE715" s="162">
        <v>0</v>
      </c>
      <c r="AF715" s="162">
        <v>0</v>
      </c>
      <c r="AG715" s="162">
        <v>0</v>
      </c>
      <c r="AH715" s="162">
        <v>0</v>
      </c>
      <c r="AI715" s="162">
        <v>0</v>
      </c>
      <c r="AJ715" s="162">
        <v>0</v>
      </c>
    </row>
    <row r="716" spans="1:36" x14ac:dyDescent="0.25">
      <c r="A716" s="25" t="s">
        <v>1172</v>
      </c>
      <c r="B716" s="25" t="s">
        <v>1173</v>
      </c>
      <c r="C716" s="142">
        <v>45422</v>
      </c>
      <c r="D716" s="142">
        <v>45422</v>
      </c>
      <c r="E716">
        <f>Tabela4[[#This Row],[DATA FATURAMENTO]]-Tabela4[[#This Row],[DATA ORÇAMENTO]]</f>
        <v>0</v>
      </c>
      <c r="F716" s="25">
        <v>11455</v>
      </c>
      <c r="G716" s="25" t="s">
        <v>6</v>
      </c>
      <c r="H716" s="25"/>
      <c r="I716" s="155">
        <v>1152.8</v>
      </c>
      <c r="J716" s="155">
        <v>0.01</v>
      </c>
      <c r="K716" s="153">
        <f>Tabela4[[#This Row],[PECAS]]+Tabela4[[#This Row],[SERVICOS]]</f>
        <v>1152.81</v>
      </c>
      <c r="L716" s="155">
        <v>0</v>
      </c>
      <c r="M716" s="155">
        <v>0</v>
      </c>
      <c r="N716" s="67"/>
      <c r="O716" s="155">
        <v>0</v>
      </c>
      <c r="P716" s="155">
        <v>0</v>
      </c>
      <c r="Q716" s="155">
        <v>0</v>
      </c>
      <c r="R716" s="155">
        <v>0</v>
      </c>
      <c r="S716" s="154">
        <v>0</v>
      </c>
      <c r="T716" s="155">
        <v>0</v>
      </c>
      <c r="U716" s="155">
        <v>1152.81</v>
      </c>
      <c r="V716" s="25" t="s">
        <v>1174</v>
      </c>
      <c r="W716" s="22">
        <v>0</v>
      </c>
      <c r="X716" s="149">
        <v>0</v>
      </c>
      <c r="Y716" s="25"/>
      <c r="Z716" s="155">
        <v>0</v>
      </c>
      <c r="AA716" s="149">
        <f>Tabela4[[#This Row],[VALOR]]-Tabela4[[#This Row],[PNEUS]]-Tabela4[[#This Row],[BATERIA]]</f>
        <v>0</v>
      </c>
      <c r="AB716" s="27" t="s">
        <v>6</v>
      </c>
      <c r="AC716" s="30">
        <v>0</v>
      </c>
      <c r="AD716" s="162">
        <v>0</v>
      </c>
      <c r="AE716" s="162">
        <v>0</v>
      </c>
      <c r="AF716" s="162">
        <v>0</v>
      </c>
      <c r="AG716" s="162">
        <v>0</v>
      </c>
      <c r="AH716" s="162">
        <v>0</v>
      </c>
      <c r="AI716" s="162">
        <v>0</v>
      </c>
      <c r="AJ716" s="162">
        <v>0</v>
      </c>
    </row>
    <row r="717" spans="1:36" x14ac:dyDescent="0.25">
      <c r="A717" s="25" t="s">
        <v>1175</v>
      </c>
      <c r="B717" s="25" t="s">
        <v>1176</v>
      </c>
      <c r="C717" s="142">
        <v>45422</v>
      </c>
      <c r="D717" s="142">
        <v>45422</v>
      </c>
      <c r="E717">
        <f>Tabela4[[#This Row],[DATA FATURAMENTO]]-Tabela4[[#This Row],[DATA ORÇAMENTO]]</f>
        <v>0</v>
      </c>
      <c r="F717" s="25">
        <v>11457</v>
      </c>
      <c r="G717" s="25" t="s">
        <v>22</v>
      </c>
      <c r="H717" s="25"/>
      <c r="I717" s="155">
        <v>483.6</v>
      </c>
      <c r="J717" s="155">
        <v>160.51</v>
      </c>
      <c r="K717" s="153">
        <f>Tabela4[[#This Row],[PECAS]]+Tabela4[[#This Row],[SERVICOS]]</f>
        <v>644.11</v>
      </c>
      <c r="L717" s="155">
        <v>0</v>
      </c>
      <c r="M717" s="155">
        <v>0</v>
      </c>
      <c r="N717" s="67"/>
      <c r="O717" s="155">
        <v>0</v>
      </c>
      <c r="P717" s="155">
        <v>0</v>
      </c>
      <c r="Q717" s="155">
        <v>0</v>
      </c>
      <c r="R717" s="155">
        <v>10</v>
      </c>
      <c r="S717" s="154">
        <v>225.51</v>
      </c>
      <c r="T717" s="155">
        <v>0</v>
      </c>
      <c r="U717" s="155">
        <v>0</v>
      </c>
      <c r="V717" s="25"/>
      <c r="W717" s="28">
        <v>4</v>
      </c>
      <c r="X717" s="149">
        <v>0</v>
      </c>
      <c r="Y717" s="25" t="s">
        <v>635</v>
      </c>
      <c r="Z717" s="155">
        <v>0</v>
      </c>
      <c r="AA717" s="149">
        <f>Tabela4[[#This Row],[VALOR]]-Tabela4[[#This Row],[PNEUS]]-Tabela4[[#This Row],[BATERIA]]</f>
        <v>644.11</v>
      </c>
      <c r="AB717" s="27" t="s">
        <v>36</v>
      </c>
      <c r="AC717" s="30">
        <v>0</v>
      </c>
      <c r="AD717" s="162">
        <v>0</v>
      </c>
      <c r="AE717" s="162">
        <v>0</v>
      </c>
      <c r="AF717" s="162">
        <v>0</v>
      </c>
      <c r="AG717" s="162">
        <v>0</v>
      </c>
      <c r="AH717" s="162">
        <v>0</v>
      </c>
      <c r="AI717" s="162">
        <v>0</v>
      </c>
      <c r="AJ717" s="162">
        <v>0</v>
      </c>
    </row>
    <row r="718" spans="1:36" x14ac:dyDescent="0.25">
      <c r="A718" s="25" t="s">
        <v>1177</v>
      </c>
      <c r="B718" s="25" t="s">
        <v>915</v>
      </c>
      <c r="C718" s="142">
        <v>45422</v>
      </c>
      <c r="D718" s="142">
        <v>45422</v>
      </c>
      <c r="E718">
        <f>Tabela4[[#This Row],[DATA FATURAMENTO]]-Tabela4[[#This Row],[DATA ORÇAMENTO]]</f>
        <v>0</v>
      </c>
      <c r="F718" s="25">
        <v>11462</v>
      </c>
      <c r="G718" s="25" t="s">
        <v>22</v>
      </c>
      <c r="H718" s="25"/>
      <c r="I718" s="155">
        <v>172.5</v>
      </c>
      <c r="J718" s="155">
        <v>0</v>
      </c>
      <c r="K718" s="153">
        <f>Tabela4[[#This Row],[PECAS]]+Tabela4[[#This Row],[SERVICOS]]</f>
        <v>172.5</v>
      </c>
      <c r="L718" s="155">
        <v>0</v>
      </c>
      <c r="M718" s="155">
        <v>37.5</v>
      </c>
      <c r="N718" s="67"/>
      <c r="O718" s="155">
        <v>0</v>
      </c>
      <c r="P718" s="155">
        <f>70+55</f>
        <v>125</v>
      </c>
      <c r="Q718" s="155">
        <v>0</v>
      </c>
      <c r="R718" s="155">
        <v>10</v>
      </c>
      <c r="S718" s="154">
        <v>0</v>
      </c>
      <c r="T718" s="155">
        <v>0</v>
      </c>
      <c r="U718" s="155">
        <v>0</v>
      </c>
      <c r="V718" s="25"/>
      <c r="W718" s="22">
        <v>0</v>
      </c>
      <c r="X718" s="149">
        <v>0</v>
      </c>
      <c r="Y718" s="25"/>
      <c r="Z718" s="155">
        <v>0</v>
      </c>
      <c r="AA718" s="149">
        <f>Tabela4[[#This Row],[VALOR]]-Tabela4[[#This Row],[PNEUS]]-Tabela4[[#This Row],[BATERIA]]</f>
        <v>172.5</v>
      </c>
      <c r="AB718" s="27" t="s">
        <v>24</v>
      </c>
      <c r="AC718" s="30">
        <v>0</v>
      </c>
      <c r="AD718" s="162">
        <v>0</v>
      </c>
      <c r="AE718" s="162">
        <v>0</v>
      </c>
      <c r="AF718" s="162">
        <v>0</v>
      </c>
      <c r="AG718" s="162">
        <v>0</v>
      </c>
      <c r="AH718" s="162">
        <v>0</v>
      </c>
      <c r="AI718" s="162">
        <v>0</v>
      </c>
      <c r="AJ718" s="162">
        <v>0</v>
      </c>
    </row>
    <row r="719" spans="1:36" x14ac:dyDescent="0.25">
      <c r="A719" s="25" t="s">
        <v>1178</v>
      </c>
      <c r="B719" s="25" t="s">
        <v>1179</v>
      </c>
      <c r="C719" s="142">
        <v>45422</v>
      </c>
      <c r="D719" s="142">
        <v>45422</v>
      </c>
      <c r="E719">
        <f>Tabela4[[#This Row],[DATA FATURAMENTO]]-Tabela4[[#This Row],[DATA ORÇAMENTO]]</f>
        <v>0</v>
      </c>
      <c r="F719" s="25">
        <v>11463</v>
      </c>
      <c r="G719" s="25" t="s">
        <v>22</v>
      </c>
      <c r="H719" s="25"/>
      <c r="I719" s="155">
        <v>199.1</v>
      </c>
      <c r="J719" s="155">
        <v>0</v>
      </c>
      <c r="K719" s="153">
        <f>Tabela4[[#This Row],[PECAS]]+Tabela4[[#This Row],[SERVICOS]]</f>
        <v>199.1</v>
      </c>
      <c r="L719" s="155">
        <v>0</v>
      </c>
      <c r="M719" s="155">
        <v>0</v>
      </c>
      <c r="N719" s="67"/>
      <c r="O719" s="155">
        <v>0</v>
      </c>
      <c r="P719" s="155">
        <f>45.51+81.62+61.97</f>
        <v>189.1</v>
      </c>
      <c r="Q719" s="155">
        <v>0</v>
      </c>
      <c r="R719" s="155">
        <v>10</v>
      </c>
      <c r="S719" s="154">
        <v>0</v>
      </c>
      <c r="T719" s="155">
        <v>0</v>
      </c>
      <c r="U719" s="155">
        <v>0</v>
      </c>
      <c r="V719" s="25"/>
      <c r="W719" s="22">
        <v>0</v>
      </c>
      <c r="X719" s="149">
        <v>0</v>
      </c>
      <c r="Y719" s="25"/>
      <c r="Z719" s="155">
        <v>0</v>
      </c>
      <c r="AA719" s="149">
        <f>Tabela4[[#This Row],[VALOR]]-Tabela4[[#This Row],[PNEUS]]-Tabela4[[#This Row],[BATERIA]]</f>
        <v>199.1</v>
      </c>
      <c r="AB719" s="27" t="s">
        <v>38</v>
      </c>
      <c r="AC719" s="30">
        <v>0</v>
      </c>
      <c r="AD719" s="162">
        <v>0</v>
      </c>
      <c r="AE719" s="162">
        <v>0</v>
      </c>
      <c r="AF719" s="162">
        <v>0</v>
      </c>
      <c r="AG719" s="162">
        <v>0</v>
      </c>
      <c r="AH719" s="162">
        <v>0</v>
      </c>
      <c r="AI719" s="162">
        <v>0</v>
      </c>
      <c r="AJ719" s="162">
        <v>0</v>
      </c>
    </row>
    <row r="720" spans="1:36" x14ac:dyDescent="0.25">
      <c r="A720" s="25" t="s">
        <v>1167</v>
      </c>
      <c r="B720" s="25" t="s">
        <v>948</v>
      </c>
      <c r="C720" s="142">
        <v>45422</v>
      </c>
      <c r="D720" s="142">
        <v>45422</v>
      </c>
      <c r="E720">
        <f>Tabela4[[#This Row],[DATA FATURAMENTO]]-Tabela4[[#This Row],[DATA ORÇAMENTO]]</f>
        <v>0</v>
      </c>
      <c r="F720" s="25">
        <v>11464</v>
      </c>
      <c r="G720" s="25" t="s">
        <v>22</v>
      </c>
      <c r="H720" s="25"/>
      <c r="I720" s="155">
        <v>10</v>
      </c>
      <c r="J720" s="155">
        <v>0</v>
      </c>
      <c r="K720" s="153">
        <f>Tabela4[[#This Row],[PECAS]]+Tabela4[[#This Row],[SERVICOS]]</f>
        <v>10</v>
      </c>
      <c r="L720" s="155">
        <v>0</v>
      </c>
      <c r="M720" s="155">
        <v>0</v>
      </c>
      <c r="N720" s="67"/>
      <c r="O720" s="155">
        <v>0</v>
      </c>
      <c r="P720" s="155">
        <v>0</v>
      </c>
      <c r="Q720" s="155">
        <v>0</v>
      </c>
      <c r="R720" s="155">
        <v>10</v>
      </c>
      <c r="S720" s="154">
        <v>0</v>
      </c>
      <c r="T720" s="155">
        <v>0</v>
      </c>
      <c r="U720" s="155">
        <v>0</v>
      </c>
      <c r="V720" s="25"/>
      <c r="W720" s="22">
        <v>0</v>
      </c>
      <c r="X720" s="149">
        <v>0</v>
      </c>
      <c r="Y720" s="25"/>
      <c r="Z720" s="155">
        <v>0</v>
      </c>
      <c r="AA720" s="149">
        <f>Tabela4[[#This Row],[VALOR]]-Tabela4[[#This Row],[PNEUS]]-Tabela4[[#This Row],[BATERIA]]</f>
        <v>10</v>
      </c>
      <c r="AB720" s="27" t="s">
        <v>38</v>
      </c>
      <c r="AC720" s="30">
        <v>0</v>
      </c>
      <c r="AD720" s="162">
        <v>0</v>
      </c>
      <c r="AE720" s="162">
        <v>0</v>
      </c>
      <c r="AF720" s="162">
        <v>0</v>
      </c>
      <c r="AG720" s="162">
        <v>0</v>
      </c>
      <c r="AH720" s="162">
        <v>0</v>
      </c>
      <c r="AI720" s="162">
        <v>0</v>
      </c>
      <c r="AJ720" s="162">
        <v>0</v>
      </c>
    </row>
    <row r="721" spans="1:36" x14ac:dyDescent="0.25">
      <c r="A721" t="s">
        <v>1180</v>
      </c>
      <c r="B721" t="s">
        <v>1181</v>
      </c>
      <c r="C721" s="143">
        <v>45423</v>
      </c>
      <c r="D721" s="141">
        <v>45423</v>
      </c>
      <c r="E721">
        <f>Tabela4[[#This Row],[DATA FATURAMENTO]]-Tabela4[[#This Row],[DATA ORÇAMENTO]]</f>
        <v>0</v>
      </c>
      <c r="F721">
        <v>11468</v>
      </c>
      <c r="G721" s="25" t="s">
        <v>31</v>
      </c>
      <c r="H721" s="25"/>
      <c r="I721" s="155">
        <v>0</v>
      </c>
      <c r="J721" s="155">
        <f>Tabela4[[#This Row],[VALOR]]-Tabela4[[#This Row],[PECAS]]</f>
        <v>260</v>
      </c>
      <c r="K721" s="157">
        <v>260</v>
      </c>
      <c r="L721" s="155">
        <v>0</v>
      </c>
      <c r="M721" s="155">
        <v>0</v>
      </c>
      <c r="N721" s="67"/>
      <c r="O721" s="155">
        <v>0</v>
      </c>
      <c r="P721" s="155">
        <v>0</v>
      </c>
      <c r="Q721" s="155">
        <v>0</v>
      </c>
      <c r="R721" s="155">
        <v>0</v>
      </c>
      <c r="S721" s="154">
        <v>0</v>
      </c>
      <c r="T721" s="155">
        <v>0</v>
      </c>
      <c r="U721" s="155">
        <v>0</v>
      </c>
      <c r="V721" s="25"/>
      <c r="W721" s="22">
        <v>0</v>
      </c>
      <c r="X721" s="149">
        <v>0</v>
      </c>
      <c r="Y721" s="25"/>
      <c r="Z721" s="155">
        <v>0</v>
      </c>
      <c r="AA721" s="149">
        <f>Tabela4[[#This Row],[VALOR]]-Tabela4[[#This Row],[PNEUS]]-Tabela4[[#This Row],[BATERIA]]</f>
        <v>260</v>
      </c>
      <c r="AB721" s="27" t="s">
        <v>27</v>
      </c>
      <c r="AC721" s="30">
        <v>0</v>
      </c>
      <c r="AD721" s="162">
        <v>0</v>
      </c>
      <c r="AE721" s="162">
        <v>0</v>
      </c>
      <c r="AF721" s="162">
        <v>0</v>
      </c>
      <c r="AG721" s="162">
        <v>0</v>
      </c>
      <c r="AH721" s="162">
        <v>0</v>
      </c>
      <c r="AI721" s="162">
        <v>0</v>
      </c>
      <c r="AJ721" s="162">
        <v>0</v>
      </c>
    </row>
    <row r="722" spans="1:36" x14ac:dyDescent="0.25">
      <c r="A722" t="s">
        <v>689</v>
      </c>
      <c r="B722" t="s">
        <v>1182</v>
      </c>
      <c r="C722" s="143">
        <v>45422</v>
      </c>
      <c r="D722" s="141">
        <v>45423</v>
      </c>
      <c r="E722">
        <f>Tabela4[[#This Row],[DATA FATURAMENTO]]-Tabela4[[#This Row],[DATA ORÇAMENTO]]</f>
        <v>1</v>
      </c>
      <c r="F722">
        <v>11460</v>
      </c>
      <c r="G722" s="15" t="s">
        <v>22</v>
      </c>
      <c r="H722" s="25"/>
      <c r="I722" s="151">
        <v>505</v>
      </c>
      <c r="J722" s="155">
        <f>Tabela4[[#This Row],[VALOR]]-Tabela4[[#This Row],[PECAS]]</f>
        <v>88</v>
      </c>
      <c r="K722" s="157">
        <v>593</v>
      </c>
      <c r="L722" s="151">
        <v>0</v>
      </c>
      <c r="M722" s="151">
        <v>35.5</v>
      </c>
      <c r="N722" s="24"/>
      <c r="O722" s="151">
        <v>0</v>
      </c>
      <c r="P722" s="151">
        <v>0</v>
      </c>
      <c r="Q722" s="151">
        <v>0</v>
      </c>
      <c r="R722" s="151">
        <v>0</v>
      </c>
      <c r="S722" s="154">
        <v>0</v>
      </c>
      <c r="T722" s="151">
        <v>0</v>
      </c>
      <c r="U722" s="151">
        <v>0</v>
      </c>
      <c r="V722" s="15"/>
      <c r="W722" s="22">
        <v>4</v>
      </c>
      <c r="X722" s="149">
        <v>0</v>
      </c>
      <c r="Y722" s="15" t="s">
        <v>635</v>
      </c>
      <c r="Z722" s="151">
        <v>0</v>
      </c>
      <c r="AA722" s="149">
        <f>Tabela4[[#This Row],[VALOR]]-Tabela4[[#This Row],[PNEUS]]-Tabela4[[#This Row],[BATERIA]]</f>
        <v>593</v>
      </c>
      <c r="AB722" s="19" t="s">
        <v>30</v>
      </c>
      <c r="AC722" s="30">
        <v>0</v>
      </c>
      <c r="AD722" s="162">
        <v>0</v>
      </c>
      <c r="AE722" s="162">
        <v>0</v>
      </c>
      <c r="AF722" s="162">
        <v>0</v>
      </c>
      <c r="AG722" s="162">
        <v>0</v>
      </c>
      <c r="AH722" s="162">
        <v>0</v>
      </c>
      <c r="AI722" s="162">
        <v>0</v>
      </c>
      <c r="AJ722" s="162">
        <v>0</v>
      </c>
    </row>
    <row r="723" spans="1:36" x14ac:dyDescent="0.25">
      <c r="A723" t="s">
        <v>1183</v>
      </c>
      <c r="B723" t="s">
        <v>1184</v>
      </c>
      <c r="C723" s="143">
        <v>45423</v>
      </c>
      <c r="D723" s="141">
        <v>45423</v>
      </c>
      <c r="E723">
        <f>Tabela4[[#This Row],[DATA FATURAMENTO]]-Tabela4[[#This Row],[DATA ORÇAMENTO]]</f>
        <v>0</v>
      </c>
      <c r="F723">
        <v>11466</v>
      </c>
      <c r="G723" s="15" t="s">
        <v>22</v>
      </c>
      <c r="H723" s="54"/>
      <c r="I723" s="151">
        <v>0</v>
      </c>
      <c r="J723" s="155">
        <f>Tabela4[[#This Row],[VALOR]]-Tabela4[[#This Row],[PECAS]]</f>
        <v>253</v>
      </c>
      <c r="K723" s="157">
        <v>253</v>
      </c>
      <c r="L723" s="151">
        <v>0</v>
      </c>
      <c r="M723" s="151">
        <v>0</v>
      </c>
      <c r="N723" s="24"/>
      <c r="O723" s="151">
        <v>0</v>
      </c>
      <c r="P723" s="151">
        <v>0</v>
      </c>
      <c r="Q723" s="151">
        <v>0</v>
      </c>
      <c r="R723" s="151">
        <v>0</v>
      </c>
      <c r="S723" s="154">
        <v>0</v>
      </c>
      <c r="T723" s="151">
        <v>0</v>
      </c>
      <c r="U723" s="151">
        <v>0</v>
      </c>
      <c r="V723" s="15"/>
      <c r="W723" s="22">
        <v>0</v>
      </c>
      <c r="X723" s="149">
        <v>0</v>
      </c>
      <c r="Y723" s="15"/>
      <c r="Z723" s="151">
        <v>0</v>
      </c>
      <c r="AA723" s="149">
        <f>Tabela4[[#This Row],[VALOR]]-Tabela4[[#This Row],[PNEUS]]-Tabela4[[#This Row],[BATERIA]]</f>
        <v>253</v>
      </c>
      <c r="AB723" s="19" t="s">
        <v>27</v>
      </c>
      <c r="AC723" s="30">
        <v>0</v>
      </c>
      <c r="AD723" s="162">
        <v>0</v>
      </c>
      <c r="AE723" s="162">
        <v>0</v>
      </c>
      <c r="AF723" s="162">
        <v>0</v>
      </c>
      <c r="AG723" s="162">
        <v>0</v>
      </c>
      <c r="AH723" s="162">
        <v>0</v>
      </c>
      <c r="AI723" s="162">
        <v>0</v>
      </c>
      <c r="AJ723" s="162">
        <v>0</v>
      </c>
    </row>
    <row r="724" spans="1:36" x14ac:dyDescent="0.25">
      <c r="A724" t="s">
        <v>259</v>
      </c>
      <c r="B724" t="s">
        <v>944</v>
      </c>
      <c r="C724" s="143">
        <v>45423</v>
      </c>
      <c r="D724" s="142">
        <v>45423</v>
      </c>
      <c r="E724">
        <f>Tabela4[[#This Row],[DATA FATURAMENTO]]-Tabela4[[#This Row],[DATA ORÇAMENTO]]</f>
        <v>0</v>
      </c>
      <c r="F724">
        <v>11467</v>
      </c>
      <c r="G724" s="15" t="s">
        <v>22</v>
      </c>
      <c r="H724" s="54"/>
      <c r="I724" s="151">
        <v>0</v>
      </c>
      <c r="J724" s="155">
        <f>Tabela4[[#This Row],[VALOR]]-Tabela4[[#This Row],[PECAS]]</f>
        <v>110</v>
      </c>
      <c r="K724" s="157">
        <v>110</v>
      </c>
      <c r="L724" s="151">
        <v>0</v>
      </c>
      <c r="M724" s="151">
        <v>0</v>
      </c>
      <c r="N724" s="24"/>
      <c r="O724" s="151">
        <v>0</v>
      </c>
      <c r="P724" s="151">
        <v>0</v>
      </c>
      <c r="Q724" s="151">
        <v>0</v>
      </c>
      <c r="R724" s="151">
        <v>0</v>
      </c>
      <c r="S724" s="154">
        <v>0</v>
      </c>
      <c r="T724" s="151">
        <v>0</v>
      </c>
      <c r="U724" s="151">
        <v>0</v>
      </c>
      <c r="V724" s="15"/>
      <c r="W724" s="22">
        <v>0</v>
      </c>
      <c r="X724" s="149">
        <v>0</v>
      </c>
      <c r="Y724" s="15"/>
      <c r="Z724" s="151">
        <v>0</v>
      </c>
      <c r="AA724" s="149">
        <f>Tabela4[[#This Row],[VALOR]]-Tabela4[[#This Row],[PNEUS]]-Tabela4[[#This Row],[BATERIA]]</f>
        <v>110</v>
      </c>
      <c r="AB724" s="19" t="s">
        <v>36</v>
      </c>
      <c r="AC724" s="30">
        <v>0</v>
      </c>
      <c r="AD724" s="162">
        <v>0</v>
      </c>
      <c r="AE724" s="162">
        <v>0</v>
      </c>
      <c r="AF724" s="162">
        <v>0</v>
      </c>
      <c r="AG724" s="162">
        <v>0</v>
      </c>
      <c r="AH724" s="162">
        <v>0</v>
      </c>
      <c r="AI724" s="162">
        <v>0</v>
      </c>
      <c r="AJ724" s="162">
        <v>0</v>
      </c>
    </row>
    <row r="725" spans="1:36" x14ac:dyDescent="0.25">
      <c r="A725" t="s">
        <v>390</v>
      </c>
      <c r="B725" t="s">
        <v>1080</v>
      </c>
      <c r="C725" s="143">
        <v>45404</v>
      </c>
      <c r="D725" s="142">
        <v>45425</v>
      </c>
      <c r="E725">
        <f>Tabela4[[#This Row],[DATA FATURAMENTO]]-Tabela4[[#This Row],[DATA ORÇAMENTO]]</f>
        <v>21</v>
      </c>
      <c r="F725">
        <v>11291</v>
      </c>
      <c r="G725" s="25" t="s">
        <v>39</v>
      </c>
      <c r="H725" s="25" t="s">
        <v>44</v>
      </c>
      <c r="I725" s="155">
        <v>0</v>
      </c>
      <c r="J725" s="155">
        <f>Tabela4[[#This Row],[VALOR]]-Tabela4[[#This Row],[PECAS]]</f>
        <v>120.02</v>
      </c>
      <c r="K725" s="150">
        <v>120.02</v>
      </c>
      <c r="L725" s="155">
        <v>0</v>
      </c>
      <c r="M725" s="155">
        <v>0</v>
      </c>
      <c r="N725" s="67"/>
      <c r="O725" s="155">
        <v>0</v>
      </c>
      <c r="P725" s="155">
        <v>0</v>
      </c>
      <c r="Q725" s="155">
        <v>0</v>
      </c>
      <c r="R725" s="155">
        <v>0</v>
      </c>
      <c r="S725" s="154">
        <v>0</v>
      </c>
      <c r="T725" s="155">
        <v>0</v>
      </c>
      <c r="U725" s="155">
        <v>0</v>
      </c>
      <c r="V725" s="25"/>
      <c r="W725" s="22">
        <v>0</v>
      </c>
      <c r="X725" s="149">
        <v>0</v>
      </c>
      <c r="Y725" s="25"/>
      <c r="Z725" s="155">
        <v>0</v>
      </c>
      <c r="AA725" s="149">
        <f>Tabela4[[#This Row],[VALOR]]-Tabela4[[#This Row],[PNEUS]]-Tabela4[[#This Row],[BATERIA]]</f>
        <v>120.02</v>
      </c>
      <c r="AB725" s="27" t="s">
        <v>27</v>
      </c>
      <c r="AC725" s="30">
        <v>0</v>
      </c>
      <c r="AD725" s="162">
        <v>0</v>
      </c>
      <c r="AE725" s="162">
        <v>0</v>
      </c>
      <c r="AF725" s="162">
        <v>0</v>
      </c>
      <c r="AG725" s="162">
        <v>0</v>
      </c>
      <c r="AH725" s="162">
        <v>0</v>
      </c>
      <c r="AI725" s="162">
        <v>0</v>
      </c>
      <c r="AJ725" s="162">
        <v>0</v>
      </c>
    </row>
    <row r="726" spans="1:36" x14ac:dyDescent="0.25">
      <c r="A726" t="s">
        <v>1185</v>
      </c>
      <c r="B726" t="s">
        <v>1186</v>
      </c>
      <c r="C726" s="143">
        <v>45420</v>
      </c>
      <c r="D726" s="142">
        <v>45425</v>
      </c>
      <c r="E726">
        <f>Tabela4[[#This Row],[DATA FATURAMENTO]]-Tabela4[[#This Row],[DATA ORÇAMENTO]]</f>
        <v>5</v>
      </c>
      <c r="F726">
        <v>11431</v>
      </c>
      <c r="G726" s="15" t="s">
        <v>31</v>
      </c>
      <c r="H726" s="25"/>
      <c r="I726" s="151">
        <v>0</v>
      </c>
      <c r="J726" s="155">
        <f>Tabela4[[#This Row],[VALOR]]-Tabela4[[#This Row],[PECAS]]</f>
        <v>880</v>
      </c>
      <c r="K726" s="150">
        <v>880</v>
      </c>
      <c r="L726" s="151">
        <v>0</v>
      </c>
      <c r="M726" s="151">
        <v>0</v>
      </c>
      <c r="N726" s="24"/>
      <c r="O726" s="151">
        <v>0</v>
      </c>
      <c r="P726" s="151">
        <v>0</v>
      </c>
      <c r="Q726" s="151">
        <v>0</v>
      </c>
      <c r="R726" s="151">
        <v>0</v>
      </c>
      <c r="S726" s="154">
        <v>0</v>
      </c>
      <c r="T726" s="151">
        <v>0</v>
      </c>
      <c r="U726" s="151">
        <v>0</v>
      </c>
      <c r="V726" s="15"/>
      <c r="W726" s="22">
        <v>0</v>
      </c>
      <c r="X726" s="149">
        <v>0</v>
      </c>
      <c r="Y726" s="15"/>
      <c r="Z726" s="151">
        <v>0</v>
      </c>
      <c r="AA726" s="149">
        <f>Tabela4[[#This Row],[VALOR]]-Tabela4[[#This Row],[PNEUS]]-Tabela4[[#This Row],[BATERIA]]</f>
        <v>880</v>
      </c>
      <c r="AB726" s="19" t="s">
        <v>24</v>
      </c>
      <c r="AC726" s="30">
        <v>0</v>
      </c>
      <c r="AD726" s="162">
        <v>0</v>
      </c>
      <c r="AE726" s="162">
        <v>0</v>
      </c>
      <c r="AF726" s="162">
        <v>0</v>
      </c>
      <c r="AG726" s="162">
        <v>0</v>
      </c>
      <c r="AH726" s="162">
        <v>0</v>
      </c>
      <c r="AI726" s="162">
        <v>0</v>
      </c>
      <c r="AJ726" s="162">
        <v>0</v>
      </c>
    </row>
    <row r="727" spans="1:36" x14ac:dyDescent="0.25">
      <c r="A727" t="s">
        <v>1187</v>
      </c>
      <c r="B727" t="s">
        <v>1188</v>
      </c>
      <c r="C727" s="143">
        <v>45425</v>
      </c>
      <c r="D727" s="142">
        <v>45425</v>
      </c>
      <c r="E727">
        <f>Tabela4[[#This Row],[DATA FATURAMENTO]]-Tabela4[[#This Row],[DATA ORÇAMENTO]]</f>
        <v>0</v>
      </c>
      <c r="F727">
        <v>11470</v>
      </c>
      <c r="G727" s="15" t="s">
        <v>35</v>
      </c>
      <c r="H727" s="54"/>
      <c r="I727" s="151">
        <v>570.9</v>
      </c>
      <c r="J727" s="155">
        <f>Tabela4[[#This Row],[VALOR]]-Tabela4[[#This Row],[PECAS]]</f>
        <v>655.1</v>
      </c>
      <c r="K727" s="150">
        <v>1226</v>
      </c>
      <c r="L727" s="151">
        <v>0</v>
      </c>
      <c r="M727" s="151">
        <v>0</v>
      </c>
      <c r="N727" s="24"/>
      <c r="O727" s="151">
        <v>0</v>
      </c>
      <c r="P727" s="151">
        <v>0</v>
      </c>
      <c r="Q727" s="151">
        <v>0</v>
      </c>
      <c r="R727" s="151">
        <v>0</v>
      </c>
      <c r="S727" s="154">
        <v>0</v>
      </c>
      <c r="T727" s="151">
        <v>0</v>
      </c>
      <c r="U727" s="151">
        <v>0</v>
      </c>
      <c r="V727" s="15"/>
      <c r="W727" s="22">
        <v>4</v>
      </c>
      <c r="X727" s="149">
        <v>0</v>
      </c>
      <c r="Y727" s="15" t="s">
        <v>635</v>
      </c>
      <c r="Z727" s="151">
        <v>0</v>
      </c>
      <c r="AA727" s="149">
        <f>Tabela4[[#This Row],[VALOR]]-Tabela4[[#This Row],[PNEUS]]-Tabela4[[#This Row],[BATERIA]]</f>
        <v>1226</v>
      </c>
      <c r="AB727" s="19" t="s">
        <v>36</v>
      </c>
      <c r="AC727" s="30">
        <v>0</v>
      </c>
      <c r="AD727" s="162">
        <v>0</v>
      </c>
      <c r="AE727" s="162">
        <v>0</v>
      </c>
      <c r="AF727" s="162">
        <v>0</v>
      </c>
      <c r="AG727" s="162">
        <v>0</v>
      </c>
      <c r="AH727" s="162">
        <v>0</v>
      </c>
      <c r="AI727" s="162">
        <v>0</v>
      </c>
      <c r="AJ727" s="162">
        <v>0</v>
      </c>
    </row>
    <row r="728" spans="1:36" x14ac:dyDescent="0.25">
      <c r="A728" t="s">
        <v>1189</v>
      </c>
      <c r="B728" t="s">
        <v>1190</v>
      </c>
      <c r="C728" s="143">
        <v>45425</v>
      </c>
      <c r="D728" s="142">
        <v>45425</v>
      </c>
      <c r="E728">
        <f>Tabela4[[#This Row],[DATA FATURAMENTO]]-Tabela4[[#This Row],[DATA ORÇAMENTO]]</f>
        <v>0</v>
      </c>
      <c r="F728">
        <v>11475</v>
      </c>
      <c r="G728" s="15" t="s">
        <v>39</v>
      </c>
      <c r="H728" s="54" t="s">
        <v>44</v>
      </c>
      <c r="I728" s="151">
        <v>40</v>
      </c>
      <c r="J728" s="155">
        <f>Tabela4[[#This Row],[VALOR]]-Tabela4[[#This Row],[PECAS]]</f>
        <v>220.01</v>
      </c>
      <c r="K728" s="150">
        <v>260.01</v>
      </c>
      <c r="L728" s="151">
        <v>0</v>
      </c>
      <c r="M728" s="151">
        <v>0</v>
      </c>
      <c r="N728" s="24"/>
      <c r="O728" s="151">
        <v>0</v>
      </c>
      <c r="P728" s="151">
        <v>0</v>
      </c>
      <c r="Q728" s="151">
        <v>0</v>
      </c>
      <c r="R728" s="151">
        <v>0</v>
      </c>
      <c r="S728" s="154">
        <v>0</v>
      </c>
      <c r="T728" s="151">
        <v>0</v>
      </c>
      <c r="U728" s="151">
        <v>0</v>
      </c>
      <c r="V728" s="15"/>
      <c r="W728" s="22">
        <v>0</v>
      </c>
      <c r="X728" s="149">
        <v>0</v>
      </c>
      <c r="Y728" s="15"/>
      <c r="Z728" s="151">
        <v>0</v>
      </c>
      <c r="AA728" s="149">
        <f>Tabela4[[#This Row],[VALOR]]-Tabela4[[#This Row],[PNEUS]]-Tabela4[[#This Row],[BATERIA]]</f>
        <v>260.01</v>
      </c>
      <c r="AB728" s="19" t="s">
        <v>30</v>
      </c>
      <c r="AC728" s="30">
        <v>0</v>
      </c>
      <c r="AD728" s="162">
        <v>0</v>
      </c>
      <c r="AE728" s="162">
        <v>0</v>
      </c>
      <c r="AF728" s="162">
        <v>0</v>
      </c>
      <c r="AG728" s="162">
        <v>0</v>
      </c>
      <c r="AH728" s="162">
        <v>0</v>
      </c>
      <c r="AI728" s="162">
        <v>0</v>
      </c>
      <c r="AJ728" s="162">
        <v>0</v>
      </c>
    </row>
    <row r="729" spans="1:36" x14ac:dyDescent="0.25">
      <c r="A729" t="s">
        <v>1191</v>
      </c>
      <c r="B729" t="s">
        <v>1192</v>
      </c>
      <c r="C729" s="143">
        <v>45425</v>
      </c>
      <c r="D729" s="142">
        <v>45425</v>
      </c>
      <c r="E729">
        <f>Tabela4[[#This Row],[DATA FATURAMENTO]]-Tabela4[[#This Row],[DATA ORÇAMENTO]]</f>
        <v>0</v>
      </c>
      <c r="F729">
        <v>11476</v>
      </c>
      <c r="G729" s="15" t="s">
        <v>31</v>
      </c>
      <c r="H729" s="54"/>
      <c r="I729" s="151">
        <v>836</v>
      </c>
      <c r="J729" s="155">
        <f>Tabela4[[#This Row],[VALOR]]-Tabela4[[#This Row],[PECAS]]</f>
        <v>9.9999999999909051E-3</v>
      </c>
      <c r="K729" s="150">
        <v>836.01</v>
      </c>
      <c r="L729" s="151">
        <v>0</v>
      </c>
      <c r="M729" s="151">
        <v>0</v>
      </c>
      <c r="N729" s="24"/>
      <c r="O729" s="151">
        <v>0</v>
      </c>
      <c r="P729" s="151">
        <v>0</v>
      </c>
      <c r="Q729" s="151">
        <v>0</v>
      </c>
      <c r="R729" s="151">
        <v>0</v>
      </c>
      <c r="S729" s="154">
        <v>0</v>
      </c>
      <c r="T729" s="151">
        <v>0</v>
      </c>
      <c r="U729" s="151">
        <v>585</v>
      </c>
      <c r="V729" s="15" t="s">
        <v>1087</v>
      </c>
      <c r="W729" s="22">
        <v>0</v>
      </c>
      <c r="X729" s="149">
        <v>0</v>
      </c>
      <c r="Y729" s="15"/>
      <c r="Z729" s="151">
        <v>0</v>
      </c>
      <c r="AA729" s="149">
        <f>Tabela4[[#This Row],[VALOR]]-Tabela4[[#This Row],[PNEUS]]-Tabela4[[#This Row],[BATERIA]]</f>
        <v>251.01</v>
      </c>
      <c r="AB729" s="19" t="s">
        <v>30</v>
      </c>
      <c r="AC729" s="30">
        <v>0</v>
      </c>
      <c r="AD729" s="162">
        <v>0</v>
      </c>
      <c r="AE729" s="162">
        <v>0</v>
      </c>
      <c r="AF729" s="162">
        <v>0</v>
      </c>
      <c r="AG729" s="162">
        <v>0</v>
      </c>
      <c r="AH729" s="162">
        <v>0</v>
      </c>
      <c r="AI729" s="162">
        <v>0</v>
      </c>
      <c r="AJ729" s="162">
        <v>0</v>
      </c>
    </row>
    <row r="730" spans="1:36" x14ac:dyDescent="0.25">
      <c r="A730" t="s">
        <v>433</v>
      </c>
      <c r="B730" t="s">
        <v>1193</v>
      </c>
      <c r="C730" s="143">
        <v>45422</v>
      </c>
      <c r="D730" s="142">
        <v>45426</v>
      </c>
      <c r="E730">
        <f>Tabela4[[#This Row],[DATA FATURAMENTO]]-Tabela4[[#This Row],[DATA ORÇAMENTO]]</f>
        <v>4</v>
      </c>
      <c r="F730">
        <v>11465</v>
      </c>
      <c r="G730" s="25" t="s">
        <v>31</v>
      </c>
      <c r="H730" s="25"/>
      <c r="I730" s="155">
        <v>0</v>
      </c>
      <c r="J730" s="155">
        <f>Tabela4[[#This Row],[VALOR]]-Tabela4[[#This Row],[PECAS]]</f>
        <v>200</v>
      </c>
      <c r="K730" s="150">
        <v>200</v>
      </c>
      <c r="L730" s="155">
        <v>0</v>
      </c>
      <c r="M730" s="155">
        <v>0</v>
      </c>
      <c r="N730" s="67">
        <v>0</v>
      </c>
      <c r="O730" s="155">
        <v>0</v>
      </c>
      <c r="P730" s="155">
        <v>0</v>
      </c>
      <c r="Q730" s="155">
        <v>0</v>
      </c>
      <c r="R730" s="155">
        <v>0</v>
      </c>
      <c r="S730" s="154">
        <v>0</v>
      </c>
      <c r="T730" s="155">
        <v>0</v>
      </c>
      <c r="U730" s="155">
        <v>0</v>
      </c>
      <c r="V730" s="25"/>
      <c r="W730" s="22">
        <v>0</v>
      </c>
      <c r="X730" s="149">
        <v>0</v>
      </c>
      <c r="Y730" s="25"/>
      <c r="Z730" s="155">
        <v>0</v>
      </c>
      <c r="AA730" s="149">
        <f>Tabela4[[#This Row],[VALOR]]-Tabela4[[#This Row],[PNEUS]]-Tabela4[[#This Row],[BATERIA]]</f>
        <v>200</v>
      </c>
      <c r="AB730" s="27" t="s">
        <v>38</v>
      </c>
      <c r="AC730" s="30">
        <v>0</v>
      </c>
      <c r="AD730" s="162">
        <v>0</v>
      </c>
      <c r="AE730" s="162">
        <v>0</v>
      </c>
      <c r="AF730" s="162">
        <v>0</v>
      </c>
      <c r="AG730" s="162">
        <v>0</v>
      </c>
      <c r="AH730" s="162">
        <v>0</v>
      </c>
      <c r="AI730" s="162">
        <v>0</v>
      </c>
      <c r="AJ730" s="162">
        <v>0</v>
      </c>
    </row>
    <row r="731" spans="1:36" x14ac:dyDescent="0.25">
      <c r="A731" t="s">
        <v>1194</v>
      </c>
      <c r="B731" t="s">
        <v>1195</v>
      </c>
      <c r="C731" s="143">
        <v>45425</v>
      </c>
      <c r="D731" s="142">
        <v>45426</v>
      </c>
      <c r="E731">
        <f>Tabela4[[#This Row],[DATA FATURAMENTO]]-Tabela4[[#This Row],[DATA ORÇAMENTO]]</f>
        <v>1</v>
      </c>
      <c r="F731">
        <v>11474</v>
      </c>
      <c r="G731" s="15" t="s">
        <v>35</v>
      </c>
      <c r="H731" s="25"/>
      <c r="I731" s="151">
        <v>4874.8</v>
      </c>
      <c r="J731" s="155">
        <f>Tabela4[[#This Row],[VALOR]]-Tabela4[[#This Row],[PECAS]]</f>
        <v>1625.2200000000003</v>
      </c>
      <c r="K731" s="150">
        <v>6500.02</v>
      </c>
      <c r="L731" s="151">
        <v>0</v>
      </c>
      <c r="M731" s="151">
        <v>0</v>
      </c>
      <c r="N731" s="24"/>
      <c r="O731" s="151">
        <v>140</v>
      </c>
      <c r="P731" s="151">
        <v>0</v>
      </c>
      <c r="Q731" s="151">
        <v>0</v>
      </c>
      <c r="R731" s="151">
        <v>0</v>
      </c>
      <c r="S731" s="154">
        <v>0</v>
      </c>
      <c r="T731" s="151">
        <v>1450</v>
      </c>
      <c r="U731" s="151">
        <v>0</v>
      </c>
      <c r="V731" s="15"/>
      <c r="W731" s="22">
        <v>5</v>
      </c>
      <c r="X731" s="149">
        <v>0</v>
      </c>
      <c r="Y731" s="15" t="s">
        <v>804</v>
      </c>
      <c r="Z731" s="151">
        <v>0</v>
      </c>
      <c r="AA731" s="149">
        <f>Tabela4[[#This Row],[VALOR]]-Tabela4[[#This Row],[PNEUS]]-Tabela4[[#This Row],[BATERIA]]</f>
        <v>5050.0200000000004</v>
      </c>
      <c r="AB731" s="19" t="s">
        <v>24</v>
      </c>
      <c r="AC731" s="30">
        <v>0</v>
      </c>
      <c r="AD731" s="162">
        <v>0</v>
      </c>
      <c r="AE731" s="162">
        <v>0</v>
      </c>
      <c r="AF731" s="162">
        <v>0</v>
      </c>
      <c r="AG731" s="162">
        <v>0</v>
      </c>
      <c r="AH731" s="162">
        <v>0</v>
      </c>
      <c r="AI731" s="162">
        <v>0</v>
      </c>
      <c r="AJ731" s="162">
        <v>0</v>
      </c>
    </row>
    <row r="732" spans="1:36" x14ac:dyDescent="0.25">
      <c r="A732" t="s">
        <v>1196</v>
      </c>
      <c r="B732" t="s">
        <v>1085</v>
      </c>
      <c r="C732" s="143">
        <v>45426</v>
      </c>
      <c r="D732" s="142">
        <v>45426</v>
      </c>
      <c r="E732">
        <f>Tabela4[[#This Row],[DATA FATURAMENTO]]-Tabela4[[#This Row],[DATA ORÇAMENTO]]</f>
        <v>0</v>
      </c>
      <c r="F732">
        <v>11480</v>
      </c>
      <c r="G732" s="15" t="s">
        <v>31</v>
      </c>
      <c r="H732" s="54"/>
      <c r="I732" s="151">
        <v>441.4</v>
      </c>
      <c r="J732" s="155">
        <f>Tabela4[[#This Row],[VALOR]]-Tabela4[[#This Row],[PECAS]]</f>
        <v>345.6</v>
      </c>
      <c r="K732" s="150">
        <v>787</v>
      </c>
      <c r="L732" s="151">
        <v>0</v>
      </c>
      <c r="M732" s="151">
        <v>0</v>
      </c>
      <c r="N732" s="24"/>
      <c r="O732" s="151">
        <v>0</v>
      </c>
      <c r="P732" s="151">
        <v>0</v>
      </c>
      <c r="Q732" s="151">
        <v>0</v>
      </c>
      <c r="R732" s="151">
        <v>0</v>
      </c>
      <c r="S732" s="154">
        <v>0</v>
      </c>
      <c r="T732" s="151">
        <v>0</v>
      </c>
      <c r="U732" s="151">
        <v>0</v>
      </c>
      <c r="V732" s="15"/>
      <c r="W732" s="22">
        <v>5</v>
      </c>
      <c r="X732" s="149">
        <v>0</v>
      </c>
      <c r="Y732" s="15" t="s">
        <v>807</v>
      </c>
      <c r="Z732" s="151">
        <v>0</v>
      </c>
      <c r="AA732" s="149">
        <f>Tabela4[[#This Row],[VALOR]]-Tabela4[[#This Row],[PNEUS]]-Tabela4[[#This Row],[BATERIA]]</f>
        <v>787</v>
      </c>
      <c r="AB732" s="19" t="s">
        <v>30</v>
      </c>
      <c r="AC732" s="30">
        <v>0</v>
      </c>
      <c r="AD732" s="162">
        <v>0</v>
      </c>
      <c r="AE732" s="162">
        <v>0</v>
      </c>
      <c r="AF732" s="162">
        <v>0</v>
      </c>
      <c r="AG732" s="162">
        <v>0</v>
      </c>
      <c r="AH732" s="162">
        <v>0</v>
      </c>
      <c r="AI732" s="162">
        <v>0</v>
      </c>
      <c r="AJ732" s="162">
        <v>0</v>
      </c>
    </row>
    <row r="733" spans="1:36" x14ac:dyDescent="0.25">
      <c r="A733" t="s">
        <v>1197</v>
      </c>
      <c r="B733" t="s">
        <v>915</v>
      </c>
      <c r="C733" s="143">
        <v>45426</v>
      </c>
      <c r="D733" s="142">
        <v>45426</v>
      </c>
      <c r="E733">
        <f>Tabela4[[#This Row],[DATA FATURAMENTO]]-Tabela4[[#This Row],[DATA ORÇAMENTO]]</f>
        <v>0</v>
      </c>
      <c r="F733">
        <v>11482</v>
      </c>
      <c r="G733" s="15" t="s">
        <v>22</v>
      </c>
      <c r="H733" s="54"/>
      <c r="I733" s="151">
        <v>79.900000000000006</v>
      </c>
      <c r="J733" s="155">
        <f>Tabela4[[#This Row],[VALOR]]-Tabela4[[#This Row],[PECAS]]</f>
        <v>0</v>
      </c>
      <c r="K733" s="150">
        <v>79.900000000000006</v>
      </c>
      <c r="L733" s="151">
        <v>0</v>
      </c>
      <c r="M733" s="151">
        <v>0</v>
      </c>
      <c r="N733" s="24"/>
      <c r="O733" s="151">
        <v>0</v>
      </c>
      <c r="P733" s="151">
        <v>69.900000000000006</v>
      </c>
      <c r="Q733" s="151"/>
      <c r="R733" s="151">
        <v>10</v>
      </c>
      <c r="S733" s="154">
        <v>0</v>
      </c>
      <c r="T733" s="151">
        <v>0</v>
      </c>
      <c r="U733" s="151">
        <v>0</v>
      </c>
      <c r="V733" s="15"/>
      <c r="W733" s="22">
        <v>0</v>
      </c>
      <c r="X733" s="149">
        <v>0</v>
      </c>
      <c r="Y733" s="15"/>
      <c r="Z733" s="151">
        <v>0</v>
      </c>
      <c r="AA733" s="149">
        <f>Tabela4[[#This Row],[VALOR]]-Tabela4[[#This Row],[PNEUS]]-Tabela4[[#This Row],[BATERIA]]</f>
        <v>79.900000000000006</v>
      </c>
      <c r="AB733" s="19" t="s">
        <v>38</v>
      </c>
      <c r="AC733" s="30">
        <v>0</v>
      </c>
      <c r="AD733" s="162">
        <v>0</v>
      </c>
      <c r="AE733" s="162">
        <v>0</v>
      </c>
      <c r="AF733" s="162">
        <v>0</v>
      </c>
      <c r="AG733" s="162">
        <v>0</v>
      </c>
      <c r="AH733" s="162">
        <v>0</v>
      </c>
      <c r="AI733" s="162">
        <v>0</v>
      </c>
      <c r="AJ733" s="162">
        <v>0</v>
      </c>
    </row>
    <row r="734" spans="1:36" x14ac:dyDescent="0.25">
      <c r="A734" t="s">
        <v>1169</v>
      </c>
      <c r="B734" t="s">
        <v>1198</v>
      </c>
      <c r="C734" s="143">
        <v>45426</v>
      </c>
      <c r="D734" s="142">
        <v>45427</v>
      </c>
      <c r="E734">
        <f>Tabela4[[#This Row],[DATA FATURAMENTO]]-Tabela4[[#This Row],[DATA ORÇAMENTO]]</f>
        <v>1</v>
      </c>
      <c r="F734" s="25">
        <v>11485</v>
      </c>
      <c r="G734" s="25" t="s">
        <v>22</v>
      </c>
      <c r="H734" s="25"/>
      <c r="I734" s="155">
        <v>2800</v>
      </c>
      <c r="J734" s="155">
        <f>Tabela4[[#This Row],[VALOR]]-Tabela4[[#This Row],[PECAS]]</f>
        <v>1000</v>
      </c>
      <c r="K734" s="150">
        <v>3800</v>
      </c>
      <c r="L734" s="155">
        <v>0</v>
      </c>
      <c r="M734" s="155">
        <v>0</v>
      </c>
      <c r="N734" s="67"/>
      <c r="O734" s="155">
        <v>0</v>
      </c>
      <c r="P734" s="155">
        <v>0</v>
      </c>
      <c r="Q734" s="155">
        <v>0</v>
      </c>
      <c r="R734" s="155">
        <v>0</v>
      </c>
      <c r="S734" s="154">
        <v>0</v>
      </c>
      <c r="T734" s="155">
        <v>0</v>
      </c>
      <c r="U734" s="155">
        <v>0</v>
      </c>
      <c r="V734" s="25"/>
      <c r="W734" s="22">
        <v>0</v>
      </c>
      <c r="X734" s="149">
        <v>0</v>
      </c>
      <c r="Y734" s="25"/>
      <c r="Z734" s="155">
        <v>0</v>
      </c>
      <c r="AA734" s="149">
        <f>Tabela4[[#This Row],[VALOR]]-Tabela4[[#This Row],[PNEUS]]-Tabela4[[#This Row],[BATERIA]]</f>
        <v>3800</v>
      </c>
      <c r="AB734" s="27" t="s">
        <v>34</v>
      </c>
      <c r="AC734" s="30">
        <v>0</v>
      </c>
      <c r="AD734" s="162">
        <v>0</v>
      </c>
      <c r="AE734" s="162">
        <v>0</v>
      </c>
      <c r="AF734" s="162">
        <v>0</v>
      </c>
      <c r="AG734" s="162">
        <v>0</v>
      </c>
      <c r="AH734" s="162">
        <v>0</v>
      </c>
      <c r="AI734" s="162">
        <v>0</v>
      </c>
      <c r="AJ734" s="162">
        <v>0</v>
      </c>
    </row>
    <row r="735" spans="1:36" x14ac:dyDescent="0.25">
      <c r="A735" t="s">
        <v>1199</v>
      </c>
      <c r="B735" t="s">
        <v>873</v>
      </c>
      <c r="C735" s="143">
        <v>45427</v>
      </c>
      <c r="D735" s="142">
        <v>45427</v>
      </c>
      <c r="E735">
        <f>Tabela4[[#This Row],[DATA FATURAMENTO]]-Tabela4[[#This Row],[DATA ORÇAMENTO]]</f>
        <v>0</v>
      </c>
      <c r="F735" s="15">
        <v>11489</v>
      </c>
      <c r="G735" s="15" t="s">
        <v>31</v>
      </c>
      <c r="H735" s="25"/>
      <c r="I735" s="151">
        <v>398.7</v>
      </c>
      <c r="J735" s="155">
        <f>Tabela4[[#This Row],[VALOR]]-Tabela4[[#This Row],[PECAS]]</f>
        <v>220.00000000000006</v>
      </c>
      <c r="K735" s="150">
        <v>618.70000000000005</v>
      </c>
      <c r="L735" s="151">
        <v>0</v>
      </c>
      <c r="M735" s="151">
        <v>0</v>
      </c>
      <c r="N735" s="24"/>
      <c r="O735" s="151">
        <v>0</v>
      </c>
      <c r="P735" s="151">
        <v>0</v>
      </c>
      <c r="Q735" s="151">
        <v>0</v>
      </c>
      <c r="R735" s="151">
        <v>0</v>
      </c>
      <c r="S735" s="154">
        <v>0</v>
      </c>
      <c r="T735" s="151">
        <v>0</v>
      </c>
      <c r="U735" s="151">
        <v>0</v>
      </c>
      <c r="V735" s="15"/>
      <c r="W735" s="22">
        <v>3</v>
      </c>
      <c r="X735" s="149">
        <v>0</v>
      </c>
      <c r="Y735" s="15" t="s">
        <v>807</v>
      </c>
      <c r="Z735" s="151">
        <v>0</v>
      </c>
      <c r="AA735" s="149">
        <f>Tabela4[[#This Row],[VALOR]]-Tabela4[[#This Row],[PNEUS]]-Tabela4[[#This Row],[BATERIA]]</f>
        <v>618.70000000000005</v>
      </c>
      <c r="AB735" s="19" t="s">
        <v>36</v>
      </c>
      <c r="AC735" s="30">
        <v>0</v>
      </c>
      <c r="AD735" s="162">
        <v>0</v>
      </c>
      <c r="AE735" s="162">
        <v>0</v>
      </c>
      <c r="AF735" s="162">
        <v>0</v>
      </c>
      <c r="AG735" s="162">
        <v>0</v>
      </c>
      <c r="AH735" s="162">
        <v>0</v>
      </c>
      <c r="AI735" s="162">
        <v>0</v>
      </c>
      <c r="AJ735" s="162">
        <v>0</v>
      </c>
    </row>
    <row r="736" spans="1:36" x14ac:dyDescent="0.25">
      <c r="A736" t="s">
        <v>1200</v>
      </c>
      <c r="B736" t="s">
        <v>1201</v>
      </c>
      <c r="C736" s="143">
        <v>45427</v>
      </c>
      <c r="D736" s="142">
        <v>45427</v>
      </c>
      <c r="E736">
        <f>Tabela4[[#This Row],[DATA FATURAMENTO]]-Tabela4[[#This Row],[DATA ORÇAMENTO]]</f>
        <v>0</v>
      </c>
      <c r="F736" s="15">
        <v>11490</v>
      </c>
      <c r="G736" s="15" t="s">
        <v>22</v>
      </c>
      <c r="H736" s="54"/>
      <c r="I736" s="151">
        <v>971.65</v>
      </c>
      <c r="J736" s="155">
        <f>Tabela4[[#This Row],[VALOR]]-Tabela4[[#This Row],[PECAS]]</f>
        <v>622.95999999999992</v>
      </c>
      <c r="K736" s="150">
        <v>1594.61</v>
      </c>
      <c r="L736" s="151">
        <v>0</v>
      </c>
      <c r="M736" s="151">
        <f>131.6+216.48</f>
        <v>348.08</v>
      </c>
      <c r="N736" s="24"/>
      <c r="O736" s="151">
        <v>0</v>
      </c>
      <c r="P736" s="151">
        <v>0</v>
      </c>
      <c r="Q736" s="151">
        <v>0</v>
      </c>
      <c r="R736" s="151">
        <v>30</v>
      </c>
      <c r="S736" s="154">
        <v>279.89999999999998</v>
      </c>
      <c r="T736" s="151">
        <v>0</v>
      </c>
      <c r="U736" s="151">
        <v>0</v>
      </c>
      <c r="V736" s="15"/>
      <c r="W736" s="22">
        <v>4</v>
      </c>
      <c r="X736" s="149">
        <v>0</v>
      </c>
      <c r="Y736" s="15" t="s">
        <v>807</v>
      </c>
      <c r="Z736" s="151">
        <v>0</v>
      </c>
      <c r="AA736" s="149">
        <f>Tabela4[[#This Row],[VALOR]]-Tabela4[[#This Row],[PNEUS]]-Tabela4[[#This Row],[BATERIA]]</f>
        <v>1594.61</v>
      </c>
      <c r="AB736" s="19" t="s">
        <v>24</v>
      </c>
      <c r="AC736" s="30">
        <v>0</v>
      </c>
      <c r="AD736" s="162">
        <v>0</v>
      </c>
      <c r="AE736" s="162">
        <v>0</v>
      </c>
      <c r="AF736" s="162">
        <v>0</v>
      </c>
      <c r="AG736" s="162">
        <v>0</v>
      </c>
      <c r="AH736" s="162">
        <v>0</v>
      </c>
      <c r="AI736" s="162">
        <v>0</v>
      </c>
      <c r="AJ736" s="162">
        <v>0</v>
      </c>
    </row>
    <row r="737" spans="1:36" x14ac:dyDescent="0.25">
      <c r="A737" t="s">
        <v>1202</v>
      </c>
      <c r="B737" t="s">
        <v>1114</v>
      </c>
      <c r="C737" s="143">
        <v>45427</v>
      </c>
      <c r="D737" s="142">
        <v>45427</v>
      </c>
      <c r="E737">
        <f>Tabela4[[#This Row],[DATA FATURAMENTO]]-Tabela4[[#This Row],[DATA ORÇAMENTO]]</f>
        <v>0</v>
      </c>
      <c r="F737" s="15">
        <v>11491</v>
      </c>
      <c r="G737" s="15" t="s">
        <v>6</v>
      </c>
      <c r="H737" s="54"/>
      <c r="I737" s="151">
        <v>511.5</v>
      </c>
      <c r="J737" s="155">
        <f>Tabela4[[#This Row],[VALOR]]-Tabela4[[#This Row],[PECAS]]</f>
        <v>0</v>
      </c>
      <c r="K737" s="150">
        <v>511.5</v>
      </c>
      <c r="L737" s="151">
        <v>0</v>
      </c>
      <c r="M737" s="151">
        <v>0</v>
      </c>
      <c r="N737" s="24"/>
      <c r="O737" s="151">
        <v>0</v>
      </c>
      <c r="P737" s="151">
        <v>0</v>
      </c>
      <c r="Q737" s="151">
        <v>0</v>
      </c>
      <c r="R737" s="151">
        <v>0</v>
      </c>
      <c r="S737" s="154">
        <v>0</v>
      </c>
      <c r="T737" s="151">
        <v>0</v>
      </c>
      <c r="U737" s="151">
        <v>511.5</v>
      </c>
      <c r="V737" s="15" t="s">
        <v>637</v>
      </c>
      <c r="W737" s="22">
        <v>0</v>
      </c>
      <c r="X737" s="149">
        <v>0</v>
      </c>
      <c r="Y737" s="15"/>
      <c r="Z737" s="151">
        <v>0</v>
      </c>
      <c r="AA737" s="149">
        <f>Tabela4[[#This Row],[VALOR]]-Tabela4[[#This Row],[PNEUS]]-Tabela4[[#This Row],[BATERIA]]</f>
        <v>0</v>
      </c>
      <c r="AB737" s="19" t="s">
        <v>6</v>
      </c>
      <c r="AC737" s="30">
        <v>0</v>
      </c>
      <c r="AD737" s="162">
        <v>0</v>
      </c>
      <c r="AE737" s="162">
        <v>0</v>
      </c>
      <c r="AF737" s="162">
        <v>0</v>
      </c>
      <c r="AG737" s="162">
        <v>0</v>
      </c>
      <c r="AH737" s="162">
        <v>0</v>
      </c>
      <c r="AI737" s="162">
        <v>0</v>
      </c>
      <c r="AJ737" s="162">
        <v>0</v>
      </c>
    </row>
    <row r="738" spans="1:36" x14ac:dyDescent="0.25">
      <c r="A738" t="s">
        <v>127</v>
      </c>
      <c r="B738" t="s">
        <v>1203</v>
      </c>
      <c r="C738" s="143">
        <v>45427</v>
      </c>
      <c r="D738" s="142">
        <v>45427</v>
      </c>
      <c r="E738">
        <f>Tabela4[[#This Row],[DATA FATURAMENTO]]-Tabela4[[#This Row],[DATA ORÇAMENTO]]</f>
        <v>0</v>
      </c>
      <c r="F738" s="15">
        <v>11492</v>
      </c>
      <c r="G738" s="15" t="s">
        <v>22</v>
      </c>
      <c r="H738" s="54"/>
      <c r="I738" s="151">
        <v>486.9</v>
      </c>
      <c r="J738" s="155">
        <f>Tabela4[[#This Row],[VALOR]]-Tabela4[[#This Row],[PECAS]]</f>
        <v>0</v>
      </c>
      <c r="K738" s="150">
        <v>486.9</v>
      </c>
      <c r="L738" s="151">
        <v>0</v>
      </c>
      <c r="M738" s="151">
        <v>0</v>
      </c>
      <c r="N738" s="24"/>
      <c r="O738" s="151">
        <v>0</v>
      </c>
      <c r="P738" s="151">
        <v>0</v>
      </c>
      <c r="Q738" s="151">
        <v>0</v>
      </c>
      <c r="R738" s="151">
        <v>0</v>
      </c>
      <c r="S738" s="154">
        <v>0</v>
      </c>
      <c r="T738" s="151">
        <v>0</v>
      </c>
      <c r="U738" s="151">
        <v>0</v>
      </c>
      <c r="V738" s="15"/>
      <c r="W738" s="22">
        <v>4</v>
      </c>
      <c r="X738" s="149">
        <v>0</v>
      </c>
      <c r="Y738" s="15" t="s">
        <v>635</v>
      </c>
      <c r="Z738" s="151">
        <v>0</v>
      </c>
      <c r="AA738" s="149">
        <f>Tabela4[[#This Row],[VALOR]]-Tabela4[[#This Row],[PNEUS]]-Tabela4[[#This Row],[BATERIA]]</f>
        <v>486.9</v>
      </c>
      <c r="AB738" s="19" t="s">
        <v>36</v>
      </c>
      <c r="AC738" s="30">
        <v>0</v>
      </c>
      <c r="AD738" s="162">
        <v>0</v>
      </c>
      <c r="AE738" s="162">
        <v>0</v>
      </c>
      <c r="AF738" s="162">
        <v>0</v>
      </c>
      <c r="AG738" s="162">
        <v>0</v>
      </c>
      <c r="AH738" s="162">
        <v>0</v>
      </c>
      <c r="AI738" s="162">
        <v>0</v>
      </c>
      <c r="AJ738" s="162">
        <v>0</v>
      </c>
    </row>
    <row r="739" spans="1:36" x14ac:dyDescent="0.25">
      <c r="A739" t="s">
        <v>1204</v>
      </c>
      <c r="B739" t="s">
        <v>1205</v>
      </c>
      <c r="C739" s="143">
        <v>45427</v>
      </c>
      <c r="D739" s="142">
        <v>45427</v>
      </c>
      <c r="E739">
        <f>Tabela4[[#This Row],[DATA FATURAMENTO]]-Tabela4[[#This Row],[DATA ORÇAMENTO]]</f>
        <v>0</v>
      </c>
      <c r="F739" s="15">
        <v>11494</v>
      </c>
      <c r="G739" s="15" t="s">
        <v>22</v>
      </c>
      <c r="H739" s="54"/>
      <c r="I739" s="151">
        <v>85</v>
      </c>
      <c r="J739" s="155">
        <f>Tabela4[[#This Row],[VALOR]]-Tabela4[[#This Row],[PECAS]]</f>
        <v>0</v>
      </c>
      <c r="K739" s="150">
        <v>85</v>
      </c>
      <c r="L739" s="151">
        <v>0</v>
      </c>
      <c r="M739" s="151">
        <v>0</v>
      </c>
      <c r="N739" s="24"/>
      <c r="O739" s="151">
        <v>0</v>
      </c>
      <c r="P739" s="151">
        <v>0</v>
      </c>
      <c r="Q739" s="151">
        <v>0</v>
      </c>
      <c r="R739" s="151">
        <v>0</v>
      </c>
      <c r="S739" s="154">
        <v>0</v>
      </c>
      <c r="T739" s="151">
        <v>0</v>
      </c>
      <c r="U739" s="151">
        <v>0</v>
      </c>
      <c r="V739" s="15"/>
      <c r="W739" s="22">
        <v>0</v>
      </c>
      <c r="X739" s="149">
        <v>0</v>
      </c>
      <c r="Y739" s="15"/>
      <c r="Z739" s="151">
        <v>0</v>
      </c>
      <c r="AA739" s="149">
        <f>Tabela4[[#This Row],[VALOR]]-Tabela4[[#This Row],[PNEUS]]-Tabela4[[#This Row],[BATERIA]]</f>
        <v>85</v>
      </c>
      <c r="AB739" s="19" t="s">
        <v>38</v>
      </c>
      <c r="AC739" s="30">
        <v>0</v>
      </c>
      <c r="AD739" s="162">
        <v>0</v>
      </c>
      <c r="AE739" s="162">
        <v>0</v>
      </c>
      <c r="AF739" s="162">
        <v>0</v>
      </c>
      <c r="AG739" s="162">
        <v>0</v>
      </c>
      <c r="AH739" s="162">
        <v>0</v>
      </c>
      <c r="AI739" s="162">
        <v>0</v>
      </c>
      <c r="AJ739" s="162">
        <v>0</v>
      </c>
    </row>
    <row r="740" spans="1:36" x14ac:dyDescent="0.25">
      <c r="A740" t="s">
        <v>1206</v>
      </c>
      <c r="B740" t="s">
        <v>1004</v>
      </c>
      <c r="C740" s="143">
        <v>45425</v>
      </c>
      <c r="D740" s="142">
        <v>45428</v>
      </c>
      <c r="E740">
        <f>Tabela4[[#This Row],[DATA FATURAMENTO]]-Tabela4[[#This Row],[DATA ORÇAMENTO]]</f>
        <v>3</v>
      </c>
      <c r="F740">
        <v>11477</v>
      </c>
      <c r="G740" s="25" t="s">
        <v>22</v>
      </c>
      <c r="H740" s="25"/>
      <c r="I740" s="155">
        <v>1527.4</v>
      </c>
      <c r="J740" s="155">
        <f>Tabela4[[#This Row],[VALOR]]-Tabela4[[#This Row],[PECAS]]</f>
        <v>2062.6</v>
      </c>
      <c r="K740" s="150">
        <v>3590</v>
      </c>
      <c r="L740" s="155">
        <v>112</v>
      </c>
      <c r="M740" s="155">
        <f>116.4+80+20.8</f>
        <v>217.20000000000002</v>
      </c>
      <c r="N740" s="67"/>
      <c r="O740" s="155">
        <v>0</v>
      </c>
      <c r="P740" s="155">
        <v>0</v>
      </c>
      <c r="Q740" s="155">
        <v>0</v>
      </c>
      <c r="R740" s="155">
        <v>0</v>
      </c>
      <c r="S740" s="154">
        <v>190</v>
      </c>
      <c r="T740" s="155">
        <v>0</v>
      </c>
      <c r="U740" s="155">
        <v>0</v>
      </c>
      <c r="V740" s="25"/>
      <c r="W740" s="28">
        <v>4</v>
      </c>
      <c r="X740" s="149">
        <v>0</v>
      </c>
      <c r="Y740" s="25" t="s">
        <v>645</v>
      </c>
      <c r="Z740" s="155">
        <v>0</v>
      </c>
      <c r="AA740" s="149">
        <f>Tabela4[[#This Row],[VALOR]]-Tabela4[[#This Row],[PNEUS]]-Tabela4[[#This Row],[BATERIA]]</f>
        <v>3590</v>
      </c>
      <c r="AB740" s="27" t="s">
        <v>34</v>
      </c>
      <c r="AC740" s="30">
        <v>0</v>
      </c>
      <c r="AD740" s="162">
        <v>0</v>
      </c>
      <c r="AE740" s="162">
        <v>0</v>
      </c>
      <c r="AF740" s="162">
        <v>0</v>
      </c>
      <c r="AG740" s="162">
        <v>0</v>
      </c>
      <c r="AH740" s="162">
        <v>0</v>
      </c>
      <c r="AI740" s="162">
        <v>0</v>
      </c>
      <c r="AJ740" s="162">
        <v>0</v>
      </c>
    </row>
    <row r="741" spans="1:36" x14ac:dyDescent="0.25">
      <c r="A741" t="s">
        <v>1207</v>
      </c>
      <c r="B741" t="s">
        <v>1070</v>
      </c>
      <c r="C741" s="143">
        <v>45425</v>
      </c>
      <c r="D741" s="141">
        <v>45428</v>
      </c>
      <c r="E741">
        <f>Tabela4[[#This Row],[DATA FATURAMENTO]]-Tabela4[[#This Row],[DATA ORÇAMENTO]]</f>
        <v>3</v>
      </c>
      <c r="F741">
        <v>11478</v>
      </c>
      <c r="G741" s="15" t="s">
        <v>22</v>
      </c>
      <c r="H741" s="25"/>
      <c r="I741" s="151">
        <v>1921.1</v>
      </c>
      <c r="J741" s="155">
        <f>Tabela4[[#This Row],[VALOR]]-Tabela4[[#This Row],[PECAS]]</f>
        <v>1396.8000000000002</v>
      </c>
      <c r="K741" s="150">
        <v>3317.9</v>
      </c>
      <c r="L741" s="151">
        <v>0</v>
      </c>
      <c r="M741" s="151">
        <f>108</f>
        <v>108</v>
      </c>
      <c r="N741" s="24"/>
      <c r="O741" s="151">
        <v>0</v>
      </c>
      <c r="P741" s="151">
        <v>0</v>
      </c>
      <c r="Q741" s="151">
        <v>0</v>
      </c>
      <c r="R741" s="151">
        <v>0</v>
      </c>
      <c r="S741" s="154">
        <v>0</v>
      </c>
      <c r="T741" s="151">
        <v>0</v>
      </c>
      <c r="U741" s="151">
        <v>0</v>
      </c>
      <c r="V741" s="15"/>
      <c r="W741" s="22">
        <v>4</v>
      </c>
      <c r="X741" s="149">
        <v>0</v>
      </c>
      <c r="Y741" s="15" t="s">
        <v>635</v>
      </c>
      <c r="Z741" s="151">
        <v>0</v>
      </c>
      <c r="AA741" s="149">
        <f>Tabela4[[#This Row],[VALOR]]-Tabela4[[#This Row],[PNEUS]]-Tabela4[[#This Row],[BATERIA]]</f>
        <v>3317.9</v>
      </c>
      <c r="AB741" s="19" t="s">
        <v>30</v>
      </c>
      <c r="AC741" s="30">
        <v>0</v>
      </c>
      <c r="AD741" s="162">
        <v>0</v>
      </c>
      <c r="AE741" s="162">
        <v>0</v>
      </c>
      <c r="AF741" s="162">
        <v>0</v>
      </c>
      <c r="AG741" s="162">
        <v>0</v>
      </c>
      <c r="AH741" s="162">
        <v>0</v>
      </c>
      <c r="AI741" s="162">
        <v>0</v>
      </c>
      <c r="AJ741" s="162">
        <v>0</v>
      </c>
    </row>
    <row r="742" spans="1:36" x14ac:dyDescent="0.25">
      <c r="A742" t="s">
        <v>1208</v>
      </c>
      <c r="B742" t="s">
        <v>1209</v>
      </c>
      <c r="C742" s="143">
        <v>45427</v>
      </c>
      <c r="D742" s="141">
        <v>45428</v>
      </c>
      <c r="E742">
        <f>Tabela4[[#This Row],[DATA FATURAMENTO]]-Tabela4[[#This Row],[DATA ORÇAMENTO]]</f>
        <v>1</v>
      </c>
      <c r="F742">
        <v>11493</v>
      </c>
      <c r="G742" s="15" t="s">
        <v>31</v>
      </c>
      <c r="H742" s="54"/>
      <c r="I742" s="151">
        <v>593.70000000000005</v>
      </c>
      <c r="J742" s="155">
        <f>Tabela4[[#This Row],[VALOR]]-Tabela4[[#This Row],[PECAS]]</f>
        <v>406.29999999999995</v>
      </c>
      <c r="K742" s="150">
        <v>1000</v>
      </c>
      <c r="L742" s="151">
        <v>0</v>
      </c>
      <c r="M742" s="151">
        <v>0</v>
      </c>
      <c r="N742" s="24"/>
      <c r="O742" s="151">
        <v>0</v>
      </c>
      <c r="P742" s="151">
        <v>160</v>
      </c>
      <c r="Q742" s="151">
        <v>0</v>
      </c>
      <c r="R742" s="151">
        <v>0</v>
      </c>
      <c r="S742" s="154">
        <v>160</v>
      </c>
      <c r="T742" s="151">
        <v>0</v>
      </c>
      <c r="U742" s="151">
        <v>0</v>
      </c>
      <c r="V742" s="15"/>
      <c r="W742" s="22">
        <v>4</v>
      </c>
      <c r="X742" s="149">
        <v>0</v>
      </c>
      <c r="Y742" s="15" t="s">
        <v>807</v>
      </c>
      <c r="Z742" s="151">
        <v>0</v>
      </c>
      <c r="AA742" s="149">
        <f>Tabela4[[#This Row],[VALOR]]-Tabela4[[#This Row],[PNEUS]]-Tabela4[[#This Row],[BATERIA]]</f>
        <v>1000</v>
      </c>
      <c r="AB742" s="19" t="s">
        <v>27</v>
      </c>
      <c r="AC742" s="30">
        <v>0</v>
      </c>
      <c r="AD742" s="162">
        <v>0</v>
      </c>
      <c r="AE742" s="162">
        <v>0</v>
      </c>
      <c r="AF742" s="162">
        <v>0</v>
      </c>
      <c r="AG742" s="162">
        <v>0</v>
      </c>
      <c r="AH742" s="162">
        <v>0</v>
      </c>
      <c r="AI742" s="162">
        <v>0</v>
      </c>
      <c r="AJ742" s="162">
        <v>0</v>
      </c>
    </row>
    <row r="743" spans="1:36" x14ac:dyDescent="0.25">
      <c r="A743" t="s">
        <v>1210</v>
      </c>
      <c r="B743" t="s">
        <v>871</v>
      </c>
      <c r="C743" s="143">
        <v>45428</v>
      </c>
      <c r="D743" s="141">
        <v>45428</v>
      </c>
      <c r="E743">
        <f>Tabela4[[#This Row],[DATA FATURAMENTO]]-Tabela4[[#This Row],[DATA ORÇAMENTO]]</f>
        <v>0</v>
      </c>
      <c r="F743">
        <v>11504</v>
      </c>
      <c r="G743" s="15" t="s">
        <v>22</v>
      </c>
      <c r="H743" s="54"/>
      <c r="I743" s="151">
        <v>706.1</v>
      </c>
      <c r="J743" s="155">
        <f>Tabela4[[#This Row],[VALOR]]-Tabela4[[#This Row],[PECAS]]</f>
        <v>190.07999999999993</v>
      </c>
      <c r="K743" s="150">
        <v>896.18</v>
      </c>
      <c r="L743" s="151">
        <v>0</v>
      </c>
      <c r="M743" s="151">
        <v>0</v>
      </c>
      <c r="N743" s="24"/>
      <c r="O743" s="151">
        <v>0</v>
      </c>
      <c r="P743" s="151">
        <v>198</v>
      </c>
      <c r="Q743" s="151">
        <v>0</v>
      </c>
      <c r="R743" s="151">
        <v>10</v>
      </c>
      <c r="S743" s="154">
        <v>190.08</v>
      </c>
      <c r="T743" s="151">
        <v>0</v>
      </c>
      <c r="U743" s="151">
        <v>0</v>
      </c>
      <c r="V743" s="15"/>
      <c r="W743" s="22">
        <v>4</v>
      </c>
      <c r="X743" s="149">
        <v>0</v>
      </c>
      <c r="Y743" s="15" t="s">
        <v>645</v>
      </c>
      <c r="Z743" s="151">
        <v>0</v>
      </c>
      <c r="AA743" s="149">
        <f>Tabela4[[#This Row],[VALOR]]-Tabela4[[#This Row],[PNEUS]]-Tabela4[[#This Row],[BATERIA]]</f>
        <v>896.18</v>
      </c>
      <c r="AB743" s="19" t="s">
        <v>24</v>
      </c>
      <c r="AC743" s="30">
        <v>0</v>
      </c>
      <c r="AD743" s="162">
        <v>0</v>
      </c>
      <c r="AE743" s="162">
        <v>0</v>
      </c>
      <c r="AF743" s="162">
        <v>0</v>
      </c>
      <c r="AG743" s="162">
        <v>0</v>
      </c>
      <c r="AH743" s="162">
        <v>0</v>
      </c>
      <c r="AI743" s="162">
        <v>0</v>
      </c>
      <c r="AJ743" s="162">
        <v>0</v>
      </c>
    </row>
    <row r="744" spans="1:36" x14ac:dyDescent="0.25">
      <c r="A744" t="s">
        <v>426</v>
      </c>
      <c r="B744" t="s">
        <v>1211</v>
      </c>
      <c r="C744" s="143">
        <v>45426</v>
      </c>
      <c r="D744" s="142">
        <v>45429</v>
      </c>
      <c r="E744">
        <f>Tabela4[[#This Row],[DATA FATURAMENTO]]-Tabela4[[#This Row],[DATA ORÇAMENTO]]</f>
        <v>3</v>
      </c>
      <c r="F744">
        <v>11479</v>
      </c>
      <c r="G744" s="25" t="s">
        <v>22</v>
      </c>
      <c r="H744" s="25"/>
      <c r="I744" s="155">
        <v>7814.5</v>
      </c>
      <c r="J744" s="155">
        <f>Tabela4[[#This Row],[VALOR]]-Tabela4[[#This Row],[PECAS]]</f>
        <v>3180.5</v>
      </c>
      <c r="K744" s="150">
        <v>10995</v>
      </c>
      <c r="L744" s="155">
        <v>0</v>
      </c>
      <c r="M744" s="155">
        <v>0</v>
      </c>
      <c r="N744" s="67"/>
      <c r="O744" s="155">
        <v>380</v>
      </c>
      <c r="P744" s="155">
        <v>0</v>
      </c>
      <c r="Q744" s="155">
        <v>0</v>
      </c>
      <c r="R744" s="155">
        <v>0</v>
      </c>
      <c r="S744" s="154">
        <v>0</v>
      </c>
      <c r="T744" s="155">
        <v>0</v>
      </c>
      <c r="U744" s="155">
        <v>0</v>
      </c>
      <c r="V744" s="25"/>
      <c r="W744" s="22">
        <v>0</v>
      </c>
      <c r="X744" s="149">
        <v>0</v>
      </c>
      <c r="Y744" s="25"/>
      <c r="Z744" s="155">
        <v>0</v>
      </c>
      <c r="AA744" s="149">
        <f>Tabela4[[#This Row],[VALOR]]-Tabela4[[#This Row],[PNEUS]]-Tabela4[[#This Row],[BATERIA]]</f>
        <v>10995</v>
      </c>
      <c r="AB744" s="27" t="s">
        <v>27</v>
      </c>
      <c r="AC744" s="30">
        <v>0</v>
      </c>
      <c r="AD744" s="162">
        <v>0</v>
      </c>
      <c r="AE744" s="162">
        <v>0</v>
      </c>
      <c r="AF744" s="162">
        <v>0</v>
      </c>
      <c r="AG744" s="162">
        <v>0</v>
      </c>
      <c r="AH744" s="162">
        <v>0</v>
      </c>
      <c r="AI744" s="162">
        <v>0</v>
      </c>
      <c r="AJ744" s="162">
        <v>0</v>
      </c>
    </row>
    <row r="745" spans="1:36" x14ac:dyDescent="0.25">
      <c r="A745" t="s">
        <v>444</v>
      </c>
      <c r="B745" t="s">
        <v>1146</v>
      </c>
      <c r="C745" s="143">
        <v>45427</v>
      </c>
      <c r="D745" s="141">
        <v>45429</v>
      </c>
      <c r="E745">
        <f>Tabela4[[#This Row],[DATA FATURAMENTO]]-Tabela4[[#This Row],[DATA ORÇAMENTO]]</f>
        <v>2</v>
      </c>
      <c r="F745">
        <v>11496</v>
      </c>
      <c r="G745" s="15" t="s">
        <v>35</v>
      </c>
      <c r="H745" s="25"/>
      <c r="I745" s="151">
        <v>1006.2</v>
      </c>
      <c r="J745" s="155">
        <f>Tabela4[[#This Row],[VALOR]]-Tabela4[[#This Row],[PECAS]]</f>
        <v>340.79999999999995</v>
      </c>
      <c r="K745" s="150">
        <v>1347</v>
      </c>
      <c r="L745" s="151">
        <v>0</v>
      </c>
      <c r="M745" s="151">
        <v>0</v>
      </c>
      <c r="N745" s="24"/>
      <c r="O745" s="151">
        <v>0</v>
      </c>
      <c r="P745" s="151">
        <v>0</v>
      </c>
      <c r="Q745" s="151">
        <v>0</v>
      </c>
      <c r="R745" s="151">
        <v>0</v>
      </c>
      <c r="S745" s="154">
        <v>0</v>
      </c>
      <c r="T745" s="151">
        <v>0</v>
      </c>
      <c r="U745" s="151">
        <v>0</v>
      </c>
      <c r="V745" s="15"/>
      <c r="W745" s="22">
        <v>0</v>
      </c>
      <c r="X745" s="149">
        <v>0</v>
      </c>
      <c r="Y745" s="15"/>
      <c r="Z745" s="151">
        <v>0</v>
      </c>
      <c r="AA745" s="149">
        <f>Tabela4[[#This Row],[VALOR]]-Tabela4[[#This Row],[PNEUS]]-Tabela4[[#This Row],[BATERIA]]</f>
        <v>1347</v>
      </c>
      <c r="AB745" s="19" t="s">
        <v>24</v>
      </c>
      <c r="AC745" s="30">
        <v>0</v>
      </c>
      <c r="AD745" s="162">
        <v>0</v>
      </c>
      <c r="AE745" s="162">
        <v>0</v>
      </c>
      <c r="AF745" s="162">
        <v>0</v>
      </c>
      <c r="AG745" s="162">
        <v>0</v>
      </c>
      <c r="AH745" s="162">
        <v>0</v>
      </c>
      <c r="AI745" s="162">
        <v>0</v>
      </c>
      <c r="AJ745" s="162">
        <v>0</v>
      </c>
    </row>
    <row r="746" spans="1:36" x14ac:dyDescent="0.25">
      <c r="A746" t="s">
        <v>1212</v>
      </c>
      <c r="B746" t="s">
        <v>1213</v>
      </c>
      <c r="C746" s="143">
        <v>45429</v>
      </c>
      <c r="D746" s="141">
        <v>45429</v>
      </c>
      <c r="E746">
        <f>Tabela4[[#This Row],[DATA FATURAMENTO]]-Tabela4[[#This Row],[DATA ORÇAMENTO]]</f>
        <v>0</v>
      </c>
      <c r="F746">
        <v>11513</v>
      </c>
      <c r="G746" s="15" t="s">
        <v>31</v>
      </c>
      <c r="H746" s="54"/>
      <c r="I746" s="151">
        <v>400</v>
      </c>
      <c r="J746" s="155">
        <f>Tabela4[[#This Row],[VALOR]]-Tabela4[[#This Row],[PECAS]]</f>
        <v>0</v>
      </c>
      <c r="K746" s="150">
        <v>400</v>
      </c>
      <c r="L746" s="151">
        <v>0</v>
      </c>
      <c r="M746" s="151">
        <v>0</v>
      </c>
      <c r="N746" s="24"/>
      <c r="O746" s="151">
        <v>0</v>
      </c>
      <c r="P746" s="151">
        <v>0</v>
      </c>
      <c r="Q746" s="151">
        <v>0</v>
      </c>
      <c r="R746" s="151">
        <v>0</v>
      </c>
      <c r="S746" s="154">
        <v>0</v>
      </c>
      <c r="T746" s="151">
        <v>0</v>
      </c>
      <c r="U746" s="151">
        <v>0</v>
      </c>
      <c r="V746" s="15"/>
      <c r="W746" s="22">
        <v>4</v>
      </c>
      <c r="X746" s="149">
        <v>0</v>
      </c>
      <c r="Y746" s="15" t="s">
        <v>638</v>
      </c>
      <c r="Z746" s="151">
        <v>0</v>
      </c>
      <c r="AA746" s="149">
        <f>Tabela4[[#This Row],[VALOR]]-Tabela4[[#This Row],[PNEUS]]-Tabela4[[#This Row],[BATERIA]]</f>
        <v>400</v>
      </c>
      <c r="AB746" s="19" t="s">
        <v>36</v>
      </c>
      <c r="AC746" s="30">
        <v>0</v>
      </c>
      <c r="AD746" s="162">
        <v>0</v>
      </c>
      <c r="AE746" s="162">
        <v>0</v>
      </c>
      <c r="AF746" s="162">
        <v>0</v>
      </c>
      <c r="AG746" s="162">
        <v>0</v>
      </c>
      <c r="AH746" s="162">
        <v>0</v>
      </c>
      <c r="AI746" s="162">
        <v>0</v>
      </c>
      <c r="AJ746" s="162">
        <v>0</v>
      </c>
    </row>
    <row r="747" spans="1:36" x14ac:dyDescent="0.25">
      <c r="A747" t="s">
        <v>1214</v>
      </c>
      <c r="B747" t="s">
        <v>1215</v>
      </c>
      <c r="C747" s="143">
        <v>45429</v>
      </c>
      <c r="D747" s="141">
        <v>45429</v>
      </c>
      <c r="E747">
        <f>Tabela4[[#This Row],[DATA FATURAMENTO]]-Tabela4[[#This Row],[DATA ORÇAMENTO]]</f>
        <v>0</v>
      </c>
      <c r="F747">
        <v>11509</v>
      </c>
      <c r="G747" s="15" t="s">
        <v>6</v>
      </c>
      <c r="H747" s="54"/>
      <c r="I747" s="151">
        <v>955.9</v>
      </c>
      <c r="J747" s="155">
        <f>Tabela4[[#This Row],[VALOR]]-Tabela4[[#This Row],[PECAS]]</f>
        <v>9.9999999999909051E-3</v>
      </c>
      <c r="K747" s="150">
        <v>955.91</v>
      </c>
      <c r="L747" s="151">
        <v>0</v>
      </c>
      <c r="M747" s="151">
        <v>0</v>
      </c>
      <c r="N747" s="24"/>
      <c r="O747" s="151">
        <v>0</v>
      </c>
      <c r="P747" s="151">
        <v>0</v>
      </c>
      <c r="Q747" s="151">
        <v>0</v>
      </c>
      <c r="R747" s="151">
        <v>0</v>
      </c>
      <c r="S747" s="154">
        <v>0</v>
      </c>
      <c r="T747" s="151">
        <v>0</v>
      </c>
      <c r="U747" s="151">
        <v>955.91</v>
      </c>
      <c r="V747" s="15" t="s">
        <v>722</v>
      </c>
      <c r="W747" s="22">
        <v>0</v>
      </c>
      <c r="X747" s="149">
        <v>0</v>
      </c>
      <c r="Y747" s="15"/>
      <c r="Z747" s="151">
        <v>0</v>
      </c>
      <c r="AA747" s="149">
        <f>Tabela4[[#This Row],[VALOR]]-Tabela4[[#This Row],[PNEUS]]-Tabela4[[#This Row],[BATERIA]]</f>
        <v>0</v>
      </c>
      <c r="AB747" s="19" t="s">
        <v>6</v>
      </c>
      <c r="AC747" s="30">
        <v>0</v>
      </c>
      <c r="AD747" s="162">
        <v>0</v>
      </c>
      <c r="AE747" s="162">
        <v>0</v>
      </c>
      <c r="AF747" s="162">
        <v>0</v>
      </c>
      <c r="AG747" s="162">
        <v>0</v>
      </c>
      <c r="AH747" s="162">
        <v>0</v>
      </c>
      <c r="AI747" s="162">
        <v>0</v>
      </c>
      <c r="AJ747" s="162">
        <v>0</v>
      </c>
    </row>
    <row r="748" spans="1:36" x14ac:dyDescent="0.25">
      <c r="A748" t="s">
        <v>1216</v>
      </c>
      <c r="B748" t="s">
        <v>849</v>
      </c>
      <c r="C748" s="143">
        <v>45429</v>
      </c>
      <c r="D748" s="141">
        <v>45429</v>
      </c>
      <c r="E748">
        <f>Tabela4[[#This Row],[DATA FATURAMENTO]]-Tabela4[[#This Row],[DATA ORÇAMENTO]]</f>
        <v>0</v>
      </c>
      <c r="F748">
        <v>11510</v>
      </c>
      <c r="G748" s="15" t="s">
        <v>22</v>
      </c>
      <c r="H748" s="54"/>
      <c r="I748" s="151">
        <v>246</v>
      </c>
      <c r="J748" s="155">
        <f>Tabela4[[#This Row],[VALOR]]-Tabela4[[#This Row],[PECAS]]</f>
        <v>0</v>
      </c>
      <c r="K748" s="150">
        <v>246</v>
      </c>
      <c r="L748" s="151">
        <v>0</v>
      </c>
      <c r="M748" s="151">
        <v>0</v>
      </c>
      <c r="N748" s="24"/>
      <c r="O748" s="151">
        <v>0</v>
      </c>
      <c r="P748" s="151">
        <v>0</v>
      </c>
      <c r="Q748" s="151">
        <v>0</v>
      </c>
      <c r="R748" s="151">
        <v>0</v>
      </c>
      <c r="S748" s="154">
        <v>0</v>
      </c>
      <c r="T748" s="151">
        <v>0</v>
      </c>
      <c r="U748" s="151">
        <v>0</v>
      </c>
      <c r="V748" s="15"/>
      <c r="W748" s="22">
        <v>4</v>
      </c>
      <c r="X748" s="149">
        <v>0</v>
      </c>
      <c r="Y748" s="15" t="s">
        <v>638</v>
      </c>
      <c r="Z748" s="151">
        <v>0</v>
      </c>
      <c r="AA748" s="149">
        <f>Tabela4[[#This Row],[VALOR]]-Tabela4[[#This Row],[PNEUS]]-Tabela4[[#This Row],[BATERIA]]</f>
        <v>246</v>
      </c>
      <c r="AB748" s="19" t="s">
        <v>24</v>
      </c>
      <c r="AC748" s="30">
        <v>0</v>
      </c>
      <c r="AD748" s="162">
        <v>0</v>
      </c>
      <c r="AE748" s="162">
        <v>0</v>
      </c>
      <c r="AF748" s="162">
        <v>0</v>
      </c>
      <c r="AG748" s="162">
        <v>0</v>
      </c>
      <c r="AH748" s="162">
        <v>0</v>
      </c>
      <c r="AI748" s="162">
        <v>0</v>
      </c>
      <c r="AJ748" s="162">
        <v>0</v>
      </c>
    </row>
    <row r="749" spans="1:36" x14ac:dyDescent="0.25">
      <c r="A749" t="s">
        <v>1217</v>
      </c>
      <c r="B749" t="s">
        <v>1218</v>
      </c>
      <c r="C749" s="143">
        <v>45429</v>
      </c>
      <c r="D749" s="141">
        <v>45429</v>
      </c>
      <c r="E749">
        <f>Tabela4[[#This Row],[DATA FATURAMENTO]]-Tabela4[[#This Row],[DATA ORÇAMENTO]]</f>
        <v>0</v>
      </c>
      <c r="F749">
        <v>11511</v>
      </c>
      <c r="G749" s="15" t="s">
        <v>33</v>
      </c>
      <c r="H749" s="54"/>
      <c r="I749" s="151">
        <v>1052</v>
      </c>
      <c r="J749" s="155">
        <f>Tabela4[[#This Row],[VALOR]]-Tabela4[[#This Row],[PECAS]]</f>
        <v>267</v>
      </c>
      <c r="K749" s="150">
        <v>1319</v>
      </c>
      <c r="L749" s="151">
        <v>0</v>
      </c>
      <c r="M749" s="151">
        <v>0</v>
      </c>
      <c r="N749" s="24"/>
      <c r="O749" s="151">
        <v>0</v>
      </c>
      <c r="P749" s="151">
        <v>0</v>
      </c>
      <c r="Q749" s="151">
        <v>0</v>
      </c>
      <c r="R749" s="151">
        <v>0</v>
      </c>
      <c r="S749" s="154">
        <v>0</v>
      </c>
      <c r="T749" s="151">
        <v>0</v>
      </c>
      <c r="U749" s="151">
        <v>535</v>
      </c>
      <c r="V749" s="15" t="s">
        <v>806</v>
      </c>
      <c r="W749" s="22">
        <v>0</v>
      </c>
      <c r="X749" s="149">
        <v>0</v>
      </c>
      <c r="Y749" s="15"/>
      <c r="Z749" s="151">
        <v>0</v>
      </c>
      <c r="AA749" s="149">
        <f>Tabela4[[#This Row],[VALOR]]-Tabela4[[#This Row],[PNEUS]]-Tabela4[[#This Row],[BATERIA]]</f>
        <v>784</v>
      </c>
      <c r="AB749" s="19" t="s">
        <v>27</v>
      </c>
      <c r="AC749" s="30">
        <v>0</v>
      </c>
      <c r="AD749" s="162">
        <v>0</v>
      </c>
      <c r="AE749" s="162">
        <v>0</v>
      </c>
      <c r="AF749" s="162">
        <v>0</v>
      </c>
      <c r="AG749" s="162">
        <v>0</v>
      </c>
      <c r="AH749" s="162">
        <v>0</v>
      </c>
      <c r="AI749" s="162">
        <v>0</v>
      </c>
      <c r="AJ749" s="162">
        <v>0</v>
      </c>
    </row>
    <row r="750" spans="1:36" x14ac:dyDescent="0.25">
      <c r="A750" s="25" t="s">
        <v>1219</v>
      </c>
      <c r="B750" s="25" t="s">
        <v>1220</v>
      </c>
      <c r="C750" s="142">
        <v>45421</v>
      </c>
      <c r="D750" s="142">
        <v>45430</v>
      </c>
      <c r="E750">
        <f>Tabela4[[#This Row],[DATA FATURAMENTO]]-Tabela4[[#This Row],[DATA ORÇAMENTO]]</f>
        <v>9</v>
      </c>
      <c r="F750" s="25">
        <v>11441</v>
      </c>
      <c r="G750" s="25" t="s">
        <v>25</v>
      </c>
      <c r="H750" s="25"/>
      <c r="I750" s="155">
        <v>310.17</v>
      </c>
      <c r="J750" s="155">
        <v>748</v>
      </c>
      <c r="K750" s="153">
        <f>Tabela4[[#This Row],[PECAS]]+Tabela4[[#This Row],[SERVICOS]]</f>
        <v>1058.17</v>
      </c>
      <c r="L750" s="155">
        <v>0</v>
      </c>
      <c r="M750" s="155">
        <v>0</v>
      </c>
      <c r="N750" s="67"/>
      <c r="O750" s="155">
        <v>0</v>
      </c>
      <c r="P750" s="155">
        <v>0</v>
      </c>
      <c r="Q750" s="155">
        <v>0</v>
      </c>
      <c r="R750" s="155">
        <v>0</v>
      </c>
      <c r="S750" s="154">
        <v>69.900000000000006</v>
      </c>
      <c r="T750" s="155">
        <v>0</v>
      </c>
      <c r="U750" s="155">
        <v>0</v>
      </c>
      <c r="V750" s="25"/>
      <c r="W750" s="28">
        <v>4</v>
      </c>
      <c r="X750" s="149">
        <v>0</v>
      </c>
      <c r="Y750" s="25" t="s">
        <v>654</v>
      </c>
      <c r="Z750" s="155">
        <v>0</v>
      </c>
      <c r="AA750" s="149">
        <f>Tabela4[[#This Row],[VALOR]]-Tabela4[[#This Row],[PNEUS]]-Tabela4[[#This Row],[BATERIA]]</f>
        <v>1058.17</v>
      </c>
      <c r="AB750" s="27" t="s">
        <v>34</v>
      </c>
      <c r="AC750" s="30">
        <v>0</v>
      </c>
      <c r="AD750" s="162">
        <v>0</v>
      </c>
      <c r="AE750" s="162">
        <v>0</v>
      </c>
      <c r="AF750" s="162">
        <v>0</v>
      </c>
      <c r="AG750" s="162">
        <v>0</v>
      </c>
      <c r="AH750" s="162">
        <v>0</v>
      </c>
      <c r="AI750" s="162">
        <v>0</v>
      </c>
      <c r="AJ750" s="162">
        <v>0</v>
      </c>
    </row>
    <row r="751" spans="1:36" x14ac:dyDescent="0.25">
      <c r="A751" s="25" t="s">
        <v>1221</v>
      </c>
      <c r="B751" s="25" t="s">
        <v>1136</v>
      </c>
      <c r="C751" s="142">
        <v>45425</v>
      </c>
      <c r="D751" s="142">
        <v>45430</v>
      </c>
      <c r="E751">
        <f>Tabela4[[#This Row],[DATA FATURAMENTO]]-Tabela4[[#This Row],[DATA ORÇAMENTO]]</f>
        <v>5</v>
      </c>
      <c r="F751" s="25">
        <v>11469</v>
      </c>
      <c r="G751" s="25" t="s">
        <v>22</v>
      </c>
      <c r="H751" s="25"/>
      <c r="I751" s="155">
        <v>1830</v>
      </c>
      <c r="J751" s="155">
        <v>970</v>
      </c>
      <c r="K751" s="153">
        <f>Tabela4[[#This Row],[PECAS]]+Tabela4[[#This Row],[SERVICOS]]</f>
        <v>2800</v>
      </c>
      <c r="L751" s="155">
        <v>0</v>
      </c>
      <c r="M751" s="155">
        <v>0</v>
      </c>
      <c r="N751" s="67"/>
      <c r="O751" s="155">
        <v>0</v>
      </c>
      <c r="P751" s="155">
        <v>0</v>
      </c>
      <c r="Q751" s="155">
        <v>0</v>
      </c>
      <c r="R751" s="155">
        <v>0</v>
      </c>
      <c r="S751" s="154">
        <v>150</v>
      </c>
      <c r="T751" s="155">
        <v>0</v>
      </c>
      <c r="U751" s="155">
        <v>0</v>
      </c>
      <c r="V751" s="25"/>
      <c r="W751" s="22">
        <v>0</v>
      </c>
      <c r="X751" s="149">
        <v>0</v>
      </c>
      <c r="Y751" s="25"/>
      <c r="Z751" s="155">
        <v>0</v>
      </c>
      <c r="AA751" s="149">
        <f>Tabela4[[#This Row],[VALOR]]-Tabela4[[#This Row],[PNEUS]]-Tabela4[[#This Row],[BATERIA]]</f>
        <v>2800</v>
      </c>
      <c r="AB751" s="27" t="s">
        <v>34</v>
      </c>
      <c r="AC751" s="30">
        <v>0</v>
      </c>
      <c r="AD751" s="162">
        <v>0</v>
      </c>
      <c r="AE751" s="162">
        <v>0</v>
      </c>
      <c r="AF751" s="162">
        <v>0</v>
      </c>
      <c r="AG751" s="162">
        <v>0</v>
      </c>
      <c r="AH751" s="162">
        <v>0</v>
      </c>
      <c r="AI751" s="162">
        <v>0</v>
      </c>
      <c r="AJ751" s="162">
        <v>0</v>
      </c>
    </row>
    <row r="752" spans="1:36" x14ac:dyDescent="0.25">
      <c r="A752" s="25" t="s">
        <v>1222</v>
      </c>
      <c r="B752" s="25" t="s">
        <v>1223</v>
      </c>
      <c r="C752" s="142">
        <v>45425</v>
      </c>
      <c r="D752" s="142">
        <v>45430</v>
      </c>
      <c r="E752">
        <f>Tabela4[[#This Row],[DATA FATURAMENTO]]-Tabela4[[#This Row],[DATA ORÇAMENTO]]</f>
        <v>5</v>
      </c>
      <c r="F752" s="25">
        <v>11471</v>
      </c>
      <c r="G752" s="25" t="s">
        <v>37</v>
      </c>
      <c r="H752" s="25"/>
      <c r="I752" s="155">
        <v>641.86</v>
      </c>
      <c r="J752" s="155">
        <v>608.80999999999995</v>
      </c>
      <c r="K752" s="153">
        <f>Tabela4[[#This Row],[PECAS]]+Tabela4[[#This Row],[SERVICOS]]</f>
        <v>1250.67</v>
      </c>
      <c r="L752" s="155">
        <v>0</v>
      </c>
      <c r="M752" s="155">
        <f>22.95</f>
        <v>22.95</v>
      </c>
      <c r="N752" s="67"/>
      <c r="O752" s="155">
        <f>150+40.8</f>
        <v>190.8</v>
      </c>
      <c r="P752" s="155">
        <f>82.59+41.64</f>
        <v>124.23</v>
      </c>
      <c r="Q752" s="155">
        <v>20</v>
      </c>
      <c r="R752" s="155">
        <v>0</v>
      </c>
      <c r="S752" s="154">
        <v>177.33</v>
      </c>
      <c r="T752" s="155">
        <v>0</v>
      </c>
      <c r="U752" s="155">
        <v>0</v>
      </c>
      <c r="V752" s="25"/>
      <c r="W752" s="28">
        <v>4</v>
      </c>
      <c r="X752" s="149">
        <v>0</v>
      </c>
      <c r="Y752" s="25" t="s">
        <v>654</v>
      </c>
      <c r="Z752" s="155">
        <v>0</v>
      </c>
      <c r="AA752" s="149">
        <f>Tabela4[[#This Row],[VALOR]]-Tabela4[[#This Row],[PNEUS]]-Tabela4[[#This Row],[BATERIA]]</f>
        <v>1250.67</v>
      </c>
      <c r="AB752" s="27" t="s">
        <v>34</v>
      </c>
      <c r="AC752" s="30">
        <v>0</v>
      </c>
      <c r="AD752" s="162">
        <v>0</v>
      </c>
      <c r="AE752" s="162">
        <v>0</v>
      </c>
      <c r="AF752" s="162">
        <v>0</v>
      </c>
      <c r="AG752" s="162">
        <v>0</v>
      </c>
      <c r="AH752" s="162">
        <v>0</v>
      </c>
      <c r="AI752" s="162">
        <v>0</v>
      </c>
      <c r="AJ752" s="162">
        <v>0</v>
      </c>
    </row>
    <row r="753" spans="1:36" x14ac:dyDescent="0.25">
      <c r="A753" s="25" t="s">
        <v>1224</v>
      </c>
      <c r="B753" s="25" t="s">
        <v>1225</v>
      </c>
      <c r="C753" s="142">
        <v>45426</v>
      </c>
      <c r="D753" s="142">
        <v>45430</v>
      </c>
      <c r="E753">
        <f>Tabela4[[#This Row],[DATA FATURAMENTO]]-Tabela4[[#This Row],[DATA ORÇAMENTO]]</f>
        <v>4</v>
      </c>
      <c r="F753" s="25">
        <v>11488</v>
      </c>
      <c r="G753" s="25" t="s">
        <v>6</v>
      </c>
      <c r="H753" s="25"/>
      <c r="I753" s="155">
        <v>535</v>
      </c>
      <c r="J753" s="155">
        <v>0.01</v>
      </c>
      <c r="K753" s="153">
        <f>Tabela4[[#This Row],[PECAS]]+Tabela4[[#This Row],[SERVICOS]]</f>
        <v>535.01</v>
      </c>
      <c r="L753" s="155">
        <v>0</v>
      </c>
      <c r="M753" s="155">
        <v>0</v>
      </c>
      <c r="N753" s="67"/>
      <c r="O753" s="155">
        <v>0</v>
      </c>
      <c r="P753" s="155">
        <v>0</v>
      </c>
      <c r="Q753" s="155">
        <v>0</v>
      </c>
      <c r="R753" s="155">
        <v>0</v>
      </c>
      <c r="S753" s="154">
        <v>0</v>
      </c>
      <c r="T753" s="155">
        <v>0</v>
      </c>
      <c r="U753" s="155">
        <v>535.01</v>
      </c>
      <c r="V753" s="25" t="s">
        <v>684</v>
      </c>
      <c r="W753" s="22">
        <v>0</v>
      </c>
      <c r="X753" s="149">
        <v>0</v>
      </c>
      <c r="Y753" s="25"/>
      <c r="Z753" s="155">
        <v>0</v>
      </c>
      <c r="AA753" s="149">
        <f>Tabela4[[#This Row],[VALOR]]-Tabela4[[#This Row],[PNEUS]]-Tabela4[[#This Row],[BATERIA]]</f>
        <v>0</v>
      </c>
      <c r="AB753" s="27" t="s">
        <v>6</v>
      </c>
      <c r="AC753" s="30">
        <v>0</v>
      </c>
      <c r="AD753" s="162">
        <v>0</v>
      </c>
      <c r="AE753" s="162">
        <v>0</v>
      </c>
      <c r="AF753" s="162">
        <v>0</v>
      </c>
      <c r="AG753" s="162">
        <v>0</v>
      </c>
      <c r="AH753" s="162">
        <v>0</v>
      </c>
      <c r="AI753" s="162">
        <v>0</v>
      </c>
      <c r="AJ753" s="162">
        <v>0</v>
      </c>
    </row>
    <row r="754" spans="1:36" x14ac:dyDescent="0.25">
      <c r="A754" s="25" t="s">
        <v>1226</v>
      </c>
      <c r="B754" s="25" t="s">
        <v>967</v>
      </c>
      <c r="C754" s="142">
        <v>45428</v>
      </c>
      <c r="D754" s="142">
        <v>45430</v>
      </c>
      <c r="E754">
        <f>Tabela4[[#This Row],[DATA FATURAMENTO]]-Tabela4[[#This Row],[DATA ORÇAMENTO]]</f>
        <v>2</v>
      </c>
      <c r="F754" s="25">
        <v>11505</v>
      </c>
      <c r="G754" s="25" t="s">
        <v>35</v>
      </c>
      <c r="H754" s="25"/>
      <c r="I754" s="155">
        <v>115.6</v>
      </c>
      <c r="J754" s="155">
        <v>302.94</v>
      </c>
      <c r="K754" s="153">
        <f>Tabela4[[#This Row],[PECAS]]+Tabela4[[#This Row],[SERVICOS]]</f>
        <v>418.53999999999996</v>
      </c>
      <c r="L754" s="155">
        <v>0</v>
      </c>
      <c r="M754" s="155">
        <v>0</v>
      </c>
      <c r="N754" s="67"/>
      <c r="O754" s="155">
        <v>0</v>
      </c>
      <c r="P754" s="155">
        <v>0</v>
      </c>
      <c r="Q754" s="155">
        <v>0</v>
      </c>
      <c r="R754" s="155">
        <v>0</v>
      </c>
      <c r="S754" s="154">
        <v>299.66000000000003</v>
      </c>
      <c r="T754" s="155">
        <v>0</v>
      </c>
      <c r="U754" s="155">
        <v>0</v>
      </c>
      <c r="V754" s="25"/>
      <c r="W754" s="22">
        <v>0</v>
      </c>
      <c r="X754" s="149">
        <v>0</v>
      </c>
      <c r="Y754" s="25"/>
      <c r="Z754" s="155">
        <v>0</v>
      </c>
      <c r="AA754" s="149">
        <f>Tabela4[[#This Row],[VALOR]]-Tabela4[[#This Row],[PNEUS]]-Tabela4[[#This Row],[BATERIA]]</f>
        <v>418.53999999999996</v>
      </c>
      <c r="AB754" s="27" t="s">
        <v>27</v>
      </c>
      <c r="AC754" s="30">
        <v>0</v>
      </c>
      <c r="AD754" s="162">
        <v>0</v>
      </c>
      <c r="AE754" s="162">
        <v>0</v>
      </c>
      <c r="AF754" s="162">
        <v>0</v>
      </c>
      <c r="AG754" s="162">
        <v>0</v>
      </c>
      <c r="AH754" s="162">
        <v>0</v>
      </c>
      <c r="AI754" s="162">
        <v>0</v>
      </c>
      <c r="AJ754" s="162">
        <v>0</v>
      </c>
    </row>
    <row r="755" spans="1:36" x14ac:dyDescent="0.25">
      <c r="A755" s="25" t="s">
        <v>264</v>
      </c>
      <c r="B755" s="25" t="s">
        <v>1227</v>
      </c>
      <c r="C755" s="142">
        <v>45430</v>
      </c>
      <c r="D755" s="142">
        <v>45430</v>
      </c>
      <c r="E755">
        <f>Tabela4[[#This Row],[DATA FATURAMENTO]]-Tabela4[[#This Row],[DATA ORÇAMENTO]]</f>
        <v>0</v>
      </c>
      <c r="F755" s="25">
        <v>11512</v>
      </c>
      <c r="G755" s="25" t="s">
        <v>35</v>
      </c>
      <c r="H755" s="25"/>
      <c r="I755" s="155">
        <v>46</v>
      </c>
      <c r="J755" s="155">
        <v>944</v>
      </c>
      <c r="K755" s="153">
        <f>Tabela4[[#This Row],[PECAS]]+Tabela4[[#This Row],[SERVICOS]]</f>
        <v>990</v>
      </c>
      <c r="L755" s="155">
        <v>0</v>
      </c>
      <c r="M755" s="155">
        <v>0</v>
      </c>
      <c r="N755" s="67"/>
      <c r="O755" s="155">
        <v>170</v>
      </c>
      <c r="P755" s="155">
        <v>0</v>
      </c>
      <c r="Q755" s="155">
        <v>0</v>
      </c>
      <c r="R755" s="155">
        <v>10</v>
      </c>
      <c r="S755" s="154">
        <v>0</v>
      </c>
      <c r="T755" s="155">
        <v>0</v>
      </c>
      <c r="U755" s="155">
        <v>0</v>
      </c>
      <c r="V755" s="25"/>
      <c r="W755" s="22">
        <v>0</v>
      </c>
      <c r="X755" s="149">
        <v>0</v>
      </c>
      <c r="Y755" s="25"/>
      <c r="Z755" s="155">
        <v>0</v>
      </c>
      <c r="AA755" s="149">
        <f>Tabela4[[#This Row],[VALOR]]-Tabela4[[#This Row],[PNEUS]]-Tabela4[[#This Row],[BATERIA]]</f>
        <v>990</v>
      </c>
      <c r="AB755" s="27" t="s">
        <v>24</v>
      </c>
      <c r="AC755" s="30">
        <v>0</v>
      </c>
      <c r="AD755" s="162">
        <v>0</v>
      </c>
      <c r="AE755" s="162">
        <v>0</v>
      </c>
      <c r="AF755" s="162">
        <v>0</v>
      </c>
      <c r="AG755" s="162">
        <v>0</v>
      </c>
      <c r="AH755" s="162">
        <v>0</v>
      </c>
      <c r="AI755" s="162">
        <v>0</v>
      </c>
      <c r="AJ755" s="162">
        <v>0</v>
      </c>
    </row>
    <row r="756" spans="1:36" x14ac:dyDescent="0.25">
      <c r="A756" s="25" t="s">
        <v>213</v>
      </c>
      <c r="B756" s="25" t="s">
        <v>843</v>
      </c>
      <c r="C756" s="142">
        <v>45429</v>
      </c>
      <c r="D756" s="142">
        <v>45430</v>
      </c>
      <c r="E756">
        <f>Tabela4[[#This Row],[DATA FATURAMENTO]]-Tabela4[[#This Row],[DATA ORÇAMENTO]]</f>
        <v>1</v>
      </c>
      <c r="F756" s="25">
        <v>11516</v>
      </c>
      <c r="G756" s="25" t="s">
        <v>22</v>
      </c>
      <c r="H756" s="25"/>
      <c r="I756" s="155">
        <v>60</v>
      </c>
      <c r="J756" s="155">
        <v>1110</v>
      </c>
      <c r="K756" s="153">
        <f>Tabela4[[#This Row],[PECAS]]+Tabela4[[#This Row],[SERVICOS]]</f>
        <v>1170</v>
      </c>
      <c r="L756" s="155">
        <v>0</v>
      </c>
      <c r="M756" s="155">
        <v>0</v>
      </c>
      <c r="N756" s="67"/>
      <c r="O756" s="155">
        <v>0</v>
      </c>
      <c r="P756" s="155">
        <v>0</v>
      </c>
      <c r="Q756" s="155">
        <v>0</v>
      </c>
      <c r="R756" s="155">
        <v>0</v>
      </c>
      <c r="S756" s="154">
        <v>0</v>
      </c>
      <c r="T756" s="155">
        <v>0</v>
      </c>
      <c r="U756" s="155">
        <v>0</v>
      </c>
      <c r="V756" s="25"/>
      <c r="W756" s="22">
        <v>0</v>
      </c>
      <c r="X756" s="149">
        <v>0</v>
      </c>
      <c r="Y756" s="25"/>
      <c r="Z756" s="155">
        <v>0</v>
      </c>
      <c r="AA756" s="149">
        <f>Tabela4[[#This Row],[VALOR]]-Tabela4[[#This Row],[PNEUS]]-Tabela4[[#This Row],[BATERIA]]</f>
        <v>1170</v>
      </c>
      <c r="AB756" s="27" t="s">
        <v>30</v>
      </c>
      <c r="AC756" s="30">
        <v>0</v>
      </c>
      <c r="AD756" s="162">
        <v>0</v>
      </c>
      <c r="AE756" s="162">
        <v>0</v>
      </c>
      <c r="AF756" s="162">
        <v>0</v>
      </c>
      <c r="AG756" s="162">
        <v>0</v>
      </c>
      <c r="AH756" s="162">
        <v>0</v>
      </c>
      <c r="AI756" s="162">
        <v>0</v>
      </c>
      <c r="AJ756" s="162">
        <v>0</v>
      </c>
    </row>
    <row r="757" spans="1:36" x14ac:dyDescent="0.25">
      <c r="A757" s="25" t="s">
        <v>1228</v>
      </c>
      <c r="B757" s="25" t="s">
        <v>1229</v>
      </c>
      <c r="C757" s="142">
        <v>45430</v>
      </c>
      <c r="D757" s="142">
        <v>45430</v>
      </c>
      <c r="E757">
        <f>Tabela4[[#This Row],[DATA FATURAMENTO]]-Tabela4[[#This Row],[DATA ORÇAMENTO]]</f>
        <v>0</v>
      </c>
      <c r="F757" s="25">
        <v>11523</v>
      </c>
      <c r="G757" s="25" t="s">
        <v>6</v>
      </c>
      <c r="H757" s="25"/>
      <c r="I757" s="155">
        <v>535</v>
      </c>
      <c r="J757" s="155">
        <v>0.01</v>
      </c>
      <c r="K757" s="153">
        <f>Tabela4[[#This Row],[PECAS]]+Tabela4[[#This Row],[SERVICOS]]</f>
        <v>535.01</v>
      </c>
      <c r="L757" s="155">
        <v>0</v>
      </c>
      <c r="M757" s="155">
        <v>0</v>
      </c>
      <c r="N757" s="67"/>
      <c r="O757" s="155">
        <v>0</v>
      </c>
      <c r="P757" s="155">
        <v>0</v>
      </c>
      <c r="Q757" s="155">
        <v>0</v>
      </c>
      <c r="R757" s="155">
        <v>0</v>
      </c>
      <c r="S757" s="154">
        <v>0</v>
      </c>
      <c r="T757" s="155">
        <v>0</v>
      </c>
      <c r="U757" s="155">
        <v>535.01</v>
      </c>
      <c r="V757" s="25" t="s">
        <v>997</v>
      </c>
      <c r="W757" s="22">
        <v>0</v>
      </c>
      <c r="X757" s="149">
        <v>0</v>
      </c>
      <c r="Y757" s="25"/>
      <c r="Z757" s="155">
        <v>0</v>
      </c>
      <c r="AA757" s="149">
        <f>Tabela4[[#This Row],[VALOR]]-Tabela4[[#This Row],[PNEUS]]-Tabela4[[#This Row],[BATERIA]]</f>
        <v>0</v>
      </c>
      <c r="AB757" s="27" t="s">
        <v>6</v>
      </c>
      <c r="AC757" s="30">
        <v>0</v>
      </c>
      <c r="AD757" s="162">
        <v>0</v>
      </c>
      <c r="AE757" s="162">
        <v>0</v>
      </c>
      <c r="AF757" s="162">
        <v>0</v>
      </c>
      <c r="AG757" s="162">
        <v>0</v>
      </c>
      <c r="AH757" s="162">
        <v>0</v>
      </c>
      <c r="AI757" s="162">
        <v>0</v>
      </c>
      <c r="AJ757" s="162">
        <v>0</v>
      </c>
    </row>
    <row r="758" spans="1:36" x14ac:dyDescent="0.25">
      <c r="A758" s="25" t="s">
        <v>1230</v>
      </c>
      <c r="B758" s="25" t="s">
        <v>964</v>
      </c>
      <c r="C758" s="142">
        <v>45430</v>
      </c>
      <c r="D758" s="142">
        <v>45430</v>
      </c>
      <c r="E758">
        <f>Tabela4[[#This Row],[DATA FATURAMENTO]]-Tabela4[[#This Row],[DATA ORÇAMENTO]]</f>
        <v>0</v>
      </c>
      <c r="F758" s="25">
        <v>11528</v>
      </c>
      <c r="G758" s="25" t="s">
        <v>31</v>
      </c>
      <c r="H758" s="25"/>
      <c r="I758" s="155">
        <v>0</v>
      </c>
      <c r="J758" s="155">
        <v>270</v>
      </c>
      <c r="K758" s="153">
        <f>Tabela4[[#This Row],[PECAS]]+Tabela4[[#This Row],[SERVICOS]]</f>
        <v>270</v>
      </c>
      <c r="L758" s="155">
        <v>0</v>
      </c>
      <c r="M758" s="155">
        <v>0</v>
      </c>
      <c r="N758" s="67"/>
      <c r="O758" s="155">
        <v>180</v>
      </c>
      <c r="P758" s="155">
        <v>0</v>
      </c>
      <c r="Q758" s="155">
        <v>0</v>
      </c>
      <c r="R758" s="155">
        <v>0</v>
      </c>
      <c r="S758" s="154">
        <v>0</v>
      </c>
      <c r="T758" s="155">
        <v>0</v>
      </c>
      <c r="U758" s="155">
        <v>0</v>
      </c>
      <c r="V758" s="25"/>
      <c r="W758" s="22">
        <v>0</v>
      </c>
      <c r="X758" s="149">
        <v>0</v>
      </c>
      <c r="Y758" s="25"/>
      <c r="Z758" s="155">
        <v>0</v>
      </c>
      <c r="AA758" s="149">
        <f>Tabela4[[#This Row],[VALOR]]-Tabela4[[#This Row],[PNEUS]]-Tabela4[[#This Row],[BATERIA]]</f>
        <v>270</v>
      </c>
      <c r="AB758" s="27" t="s">
        <v>27</v>
      </c>
      <c r="AC758" s="30">
        <v>0</v>
      </c>
      <c r="AD758" s="162">
        <v>0</v>
      </c>
      <c r="AE758" s="162">
        <v>0</v>
      </c>
      <c r="AF758" s="162">
        <v>0</v>
      </c>
      <c r="AG758" s="162">
        <v>0</v>
      </c>
      <c r="AH758" s="162">
        <v>0</v>
      </c>
      <c r="AI758" s="162">
        <v>0</v>
      </c>
      <c r="AJ758" s="162">
        <v>0</v>
      </c>
    </row>
    <row r="759" spans="1:36" x14ac:dyDescent="0.25">
      <c r="A759" s="25" t="s">
        <v>1231</v>
      </c>
      <c r="B759" s="25" t="s">
        <v>943</v>
      </c>
      <c r="C759" s="142">
        <v>45430</v>
      </c>
      <c r="D759" s="142">
        <v>45430</v>
      </c>
      <c r="E759">
        <f>Tabela4[[#This Row],[DATA FATURAMENTO]]-Tabela4[[#This Row],[DATA ORÇAMENTO]]</f>
        <v>0</v>
      </c>
      <c r="F759" s="25">
        <v>11529</v>
      </c>
      <c r="G759" s="25" t="s">
        <v>22</v>
      </c>
      <c r="H759" s="25"/>
      <c r="I759" s="155">
        <v>1208.5999999999999</v>
      </c>
      <c r="J759" s="155">
        <v>791.4</v>
      </c>
      <c r="K759" s="153">
        <f>Tabela4[[#This Row],[PECAS]]+Tabela4[[#This Row],[SERVICOS]]</f>
        <v>2000</v>
      </c>
      <c r="L759" s="155">
        <v>0</v>
      </c>
      <c r="M759" s="155">
        <v>0</v>
      </c>
      <c r="N759" s="67"/>
      <c r="O759" s="155">
        <v>182.83</v>
      </c>
      <c r="P759" s="155">
        <v>0</v>
      </c>
      <c r="Q759" s="155">
        <v>160</v>
      </c>
      <c r="R759" s="155">
        <v>10</v>
      </c>
      <c r="S759" s="154">
        <v>128</v>
      </c>
      <c r="T759" s="155">
        <v>0</v>
      </c>
      <c r="U759" s="155">
        <v>0</v>
      </c>
      <c r="V759" s="25"/>
      <c r="W759" s="28">
        <v>4</v>
      </c>
      <c r="X759" s="149">
        <v>0</v>
      </c>
      <c r="Y759" s="25" t="s">
        <v>807</v>
      </c>
      <c r="Z759" s="155">
        <v>0</v>
      </c>
      <c r="AA759" s="149">
        <f>Tabela4[[#This Row],[VALOR]]-Tabela4[[#This Row],[PNEUS]]-Tabela4[[#This Row],[BATERIA]]</f>
        <v>2000</v>
      </c>
      <c r="AB759" s="27" t="s">
        <v>24</v>
      </c>
      <c r="AC759" s="30">
        <v>0</v>
      </c>
      <c r="AD759" s="162">
        <v>0</v>
      </c>
      <c r="AE759" s="162">
        <v>0</v>
      </c>
      <c r="AF759" s="162">
        <v>0</v>
      </c>
      <c r="AG759" s="162">
        <v>0</v>
      </c>
      <c r="AH759" s="162">
        <v>0</v>
      </c>
      <c r="AI759" s="162">
        <v>0</v>
      </c>
      <c r="AJ759" s="162">
        <v>0</v>
      </c>
    </row>
    <row r="760" spans="1:36" x14ac:dyDescent="0.25">
      <c r="A760" s="25" t="s">
        <v>1232</v>
      </c>
      <c r="B760" s="25" t="s">
        <v>905</v>
      </c>
      <c r="C760" s="142">
        <v>45430</v>
      </c>
      <c r="D760" s="142">
        <v>45430</v>
      </c>
      <c r="E760">
        <f>Tabela4[[#This Row],[DATA FATURAMENTO]]-Tabela4[[#This Row],[DATA ORÇAMENTO]]</f>
        <v>0</v>
      </c>
      <c r="F760" s="25">
        <v>11332</v>
      </c>
      <c r="G760" s="25" t="s">
        <v>22</v>
      </c>
      <c r="H760" s="25"/>
      <c r="I760" s="155">
        <v>227.2</v>
      </c>
      <c r="J760" s="155">
        <v>190.08</v>
      </c>
      <c r="K760" s="153">
        <f>Tabela4[[#This Row],[PECAS]]+Tabela4[[#This Row],[SERVICOS]]</f>
        <v>417.28</v>
      </c>
      <c r="L760" s="155">
        <v>0</v>
      </c>
      <c r="M760" s="155">
        <v>0</v>
      </c>
      <c r="N760" s="67"/>
      <c r="O760" s="155">
        <v>0</v>
      </c>
      <c r="P760" s="155">
        <v>0</v>
      </c>
      <c r="Q760" s="155">
        <v>0</v>
      </c>
      <c r="R760" s="155">
        <v>0</v>
      </c>
      <c r="S760" s="154">
        <v>190.08</v>
      </c>
      <c r="T760" s="155">
        <v>0</v>
      </c>
      <c r="U760" s="155">
        <v>0</v>
      </c>
      <c r="V760" s="25"/>
      <c r="W760" s="22">
        <v>0</v>
      </c>
      <c r="X760" s="149">
        <v>0</v>
      </c>
      <c r="Y760" s="25"/>
      <c r="Z760" s="155">
        <v>190.08</v>
      </c>
      <c r="AA760" s="149">
        <f>Tabela4[[#This Row],[VALOR]]-Tabela4[[#This Row],[PNEUS]]-Tabela4[[#This Row],[BATERIA]]</f>
        <v>417.28</v>
      </c>
      <c r="AB760" s="27" t="s">
        <v>27</v>
      </c>
      <c r="AC760" s="30">
        <v>0</v>
      </c>
      <c r="AD760" s="162">
        <v>0</v>
      </c>
      <c r="AE760" s="162">
        <v>0</v>
      </c>
      <c r="AF760" s="162">
        <v>0</v>
      </c>
      <c r="AG760" s="162">
        <v>0</v>
      </c>
      <c r="AH760" s="162">
        <v>0</v>
      </c>
      <c r="AI760" s="162">
        <v>0</v>
      </c>
      <c r="AJ760" s="162">
        <v>0</v>
      </c>
    </row>
    <row r="761" spans="1:36" x14ac:dyDescent="0.25">
      <c r="A761" s="15" t="s">
        <v>1233</v>
      </c>
      <c r="B761" s="25" t="s">
        <v>849</v>
      </c>
      <c r="C761" s="141">
        <v>45429</v>
      </c>
      <c r="D761" s="141">
        <v>45432</v>
      </c>
      <c r="E761">
        <f>Tabela4[[#This Row],[DATA FATURAMENTO]]-Tabela4[[#This Row],[DATA ORÇAMENTO]]</f>
        <v>3</v>
      </c>
      <c r="F761" s="15">
        <v>11520</v>
      </c>
      <c r="G761" s="15" t="s">
        <v>6</v>
      </c>
      <c r="H761" s="25"/>
      <c r="I761" s="151">
        <v>533.5</v>
      </c>
      <c r="J761" s="151">
        <v>0.01</v>
      </c>
      <c r="K761" s="153">
        <f>Tabela4[[#This Row],[PECAS]]+Tabela4[[#This Row],[SERVICOS]]</f>
        <v>533.51</v>
      </c>
      <c r="L761" s="151">
        <v>0</v>
      </c>
      <c r="M761" s="151">
        <v>0</v>
      </c>
      <c r="N761" s="24"/>
      <c r="O761" s="151">
        <v>0</v>
      </c>
      <c r="P761" s="151">
        <v>0</v>
      </c>
      <c r="Q761" s="151">
        <v>0</v>
      </c>
      <c r="R761" s="151">
        <v>0</v>
      </c>
      <c r="S761" s="154">
        <v>0</v>
      </c>
      <c r="T761" s="151">
        <v>0</v>
      </c>
      <c r="U761" s="151">
        <v>533.51</v>
      </c>
      <c r="V761" s="15" t="s">
        <v>711</v>
      </c>
      <c r="W761" s="22">
        <v>0</v>
      </c>
      <c r="X761" s="149">
        <v>0</v>
      </c>
      <c r="Y761" s="15"/>
      <c r="Z761" s="151">
        <v>0</v>
      </c>
      <c r="AA761" s="149">
        <f>Tabela4[[#This Row],[VALOR]]-Tabela4[[#This Row],[PNEUS]]-Tabela4[[#This Row],[BATERIA]]</f>
        <v>0</v>
      </c>
      <c r="AB761" s="19" t="s">
        <v>6</v>
      </c>
      <c r="AC761" s="30">
        <v>0</v>
      </c>
      <c r="AD761" s="162">
        <v>0</v>
      </c>
      <c r="AE761" s="162">
        <v>0</v>
      </c>
      <c r="AF761" s="162">
        <v>0</v>
      </c>
      <c r="AG761" s="162">
        <v>0</v>
      </c>
      <c r="AH761" s="162">
        <v>0</v>
      </c>
      <c r="AI761" s="162">
        <v>0</v>
      </c>
      <c r="AJ761" s="162">
        <v>0</v>
      </c>
    </row>
    <row r="762" spans="1:36" x14ac:dyDescent="0.25">
      <c r="A762" s="15" t="s">
        <v>1234</v>
      </c>
      <c r="B762" s="25" t="s">
        <v>868</v>
      </c>
      <c r="C762" s="141">
        <v>45432</v>
      </c>
      <c r="D762" s="141">
        <v>45432</v>
      </c>
      <c r="E762">
        <f>Tabela4[[#This Row],[DATA FATURAMENTO]]-Tabela4[[#This Row],[DATA ORÇAMENTO]]</f>
        <v>0</v>
      </c>
      <c r="F762" s="15">
        <v>11534</v>
      </c>
      <c r="G762" s="15" t="s">
        <v>25</v>
      </c>
      <c r="H762" s="25"/>
      <c r="I762" s="151">
        <v>1191.29</v>
      </c>
      <c r="J762" s="151">
        <v>659.93</v>
      </c>
      <c r="K762" s="153">
        <f>Tabela4[[#This Row],[PECAS]]+Tabela4[[#This Row],[SERVICOS]]</f>
        <v>1851.2199999999998</v>
      </c>
      <c r="L762" s="151">
        <v>0</v>
      </c>
      <c r="M762" s="151">
        <f>21.95+20</f>
        <v>41.95</v>
      </c>
      <c r="N762" s="24"/>
      <c r="O762" s="151">
        <v>230</v>
      </c>
      <c r="P762" s="151">
        <v>0</v>
      </c>
      <c r="Q762" s="151">
        <v>0</v>
      </c>
      <c r="R762" s="151">
        <v>0</v>
      </c>
      <c r="S762" s="154">
        <v>20.49</v>
      </c>
      <c r="T762" s="151">
        <v>892</v>
      </c>
      <c r="U762" s="151">
        <v>0</v>
      </c>
      <c r="V762" s="15"/>
      <c r="W762" s="22">
        <v>3</v>
      </c>
      <c r="X762" s="149">
        <v>0</v>
      </c>
      <c r="Y762" s="15" t="s">
        <v>654</v>
      </c>
      <c r="Z762" s="151">
        <v>0</v>
      </c>
      <c r="AA762" s="149">
        <f>Tabela4[[#This Row],[VALOR]]-Tabela4[[#This Row],[PNEUS]]-Tabela4[[#This Row],[BATERIA]]</f>
        <v>959.2199999999998</v>
      </c>
      <c r="AB762" s="19" t="s">
        <v>24</v>
      </c>
      <c r="AC762" s="30">
        <v>0</v>
      </c>
      <c r="AD762" s="162">
        <v>0</v>
      </c>
      <c r="AE762" s="162">
        <v>0</v>
      </c>
      <c r="AF762" s="162">
        <v>0</v>
      </c>
      <c r="AG762" s="162">
        <v>0</v>
      </c>
      <c r="AH762" s="162">
        <v>0</v>
      </c>
      <c r="AI762" s="162">
        <v>0</v>
      </c>
      <c r="AJ762" s="162">
        <v>0</v>
      </c>
    </row>
    <row r="763" spans="1:36" x14ac:dyDescent="0.25">
      <c r="A763" s="15" t="s">
        <v>1235</v>
      </c>
      <c r="B763" s="25" t="s">
        <v>1211</v>
      </c>
      <c r="C763" s="141">
        <v>45432</v>
      </c>
      <c r="D763" s="141">
        <v>45432</v>
      </c>
      <c r="E763">
        <f>Tabela4[[#This Row],[DATA FATURAMENTO]]-Tabela4[[#This Row],[DATA ORÇAMENTO]]</f>
        <v>0</v>
      </c>
      <c r="F763" s="15">
        <v>11940</v>
      </c>
      <c r="G763" s="15" t="s">
        <v>39</v>
      </c>
      <c r="H763" s="25" t="s">
        <v>44</v>
      </c>
      <c r="I763" s="151">
        <v>0</v>
      </c>
      <c r="J763" s="151">
        <v>290.01</v>
      </c>
      <c r="K763" s="153">
        <f>Tabela4[[#This Row],[PECAS]]+Tabela4[[#This Row],[SERVICOS]]</f>
        <v>290.01</v>
      </c>
      <c r="L763" s="151">
        <v>0</v>
      </c>
      <c r="M763" s="151">
        <v>0</v>
      </c>
      <c r="N763" s="24"/>
      <c r="O763" s="151">
        <v>0</v>
      </c>
      <c r="P763" s="151">
        <v>0</v>
      </c>
      <c r="Q763" s="151">
        <v>0</v>
      </c>
      <c r="R763" s="151">
        <v>0</v>
      </c>
      <c r="S763" s="154">
        <v>0</v>
      </c>
      <c r="T763" s="151">
        <v>0</v>
      </c>
      <c r="U763" s="151">
        <v>0</v>
      </c>
      <c r="V763" s="15"/>
      <c r="W763" s="22">
        <v>0</v>
      </c>
      <c r="X763" s="149">
        <v>0</v>
      </c>
      <c r="Y763" s="15"/>
      <c r="Z763" s="151">
        <v>0</v>
      </c>
      <c r="AA763" s="149">
        <f>Tabela4[[#This Row],[VALOR]]-Tabela4[[#This Row],[PNEUS]]-Tabela4[[#This Row],[BATERIA]]</f>
        <v>290.01</v>
      </c>
      <c r="AB763" s="19" t="s">
        <v>30</v>
      </c>
      <c r="AC763" s="30">
        <v>0</v>
      </c>
      <c r="AD763" s="162">
        <v>0</v>
      </c>
      <c r="AE763" s="162">
        <v>0</v>
      </c>
      <c r="AF763" s="162">
        <v>0</v>
      </c>
      <c r="AG763" s="162">
        <v>0</v>
      </c>
      <c r="AH763" s="162">
        <v>0</v>
      </c>
      <c r="AI763" s="162">
        <v>0</v>
      </c>
      <c r="AJ763" s="162">
        <v>0</v>
      </c>
    </row>
    <row r="764" spans="1:36" x14ac:dyDescent="0.25">
      <c r="A764" s="15" t="s">
        <v>1236</v>
      </c>
      <c r="B764" s="25" t="s">
        <v>849</v>
      </c>
      <c r="C764" s="141">
        <v>45432</v>
      </c>
      <c r="D764" s="141">
        <v>45432</v>
      </c>
      <c r="E764">
        <f>Tabela4[[#This Row],[DATA FATURAMENTO]]-Tabela4[[#This Row],[DATA ORÇAMENTO]]</f>
        <v>0</v>
      </c>
      <c r="F764" s="15">
        <v>11538</v>
      </c>
      <c r="G764" s="15" t="s">
        <v>6</v>
      </c>
      <c r="H764" s="25"/>
      <c r="I764" s="151">
        <v>475</v>
      </c>
      <c r="J764" s="151">
        <v>0</v>
      </c>
      <c r="K764" s="153">
        <f>Tabela4[[#This Row],[PECAS]]+Tabela4[[#This Row],[SERVICOS]]</f>
        <v>475</v>
      </c>
      <c r="L764" s="151">
        <v>0</v>
      </c>
      <c r="M764" s="151">
        <v>0</v>
      </c>
      <c r="N764" s="24"/>
      <c r="O764" s="151">
        <v>0</v>
      </c>
      <c r="P764" s="151">
        <v>0</v>
      </c>
      <c r="Q764" s="151">
        <v>0</v>
      </c>
      <c r="R764" s="151">
        <v>0</v>
      </c>
      <c r="S764" s="154">
        <v>0</v>
      </c>
      <c r="T764" s="151">
        <v>0</v>
      </c>
      <c r="U764" s="151">
        <v>475</v>
      </c>
      <c r="V764" s="15" t="s">
        <v>1237</v>
      </c>
      <c r="W764" s="22">
        <v>0</v>
      </c>
      <c r="X764" s="149">
        <v>0</v>
      </c>
      <c r="Y764" s="15"/>
      <c r="Z764" s="151">
        <v>0</v>
      </c>
      <c r="AA764" s="149">
        <f>Tabela4[[#This Row],[VALOR]]-Tabela4[[#This Row],[PNEUS]]-Tabela4[[#This Row],[BATERIA]]</f>
        <v>0</v>
      </c>
      <c r="AB764" s="19" t="s">
        <v>6</v>
      </c>
      <c r="AC764" s="30">
        <v>0</v>
      </c>
      <c r="AD764" s="162">
        <v>0</v>
      </c>
      <c r="AE764" s="162">
        <v>0</v>
      </c>
      <c r="AF764" s="162">
        <v>0</v>
      </c>
      <c r="AG764" s="162">
        <v>0</v>
      </c>
      <c r="AH764" s="162">
        <v>0</v>
      </c>
      <c r="AI764" s="162">
        <v>0</v>
      </c>
      <c r="AJ764" s="162">
        <v>0</v>
      </c>
    </row>
    <row r="765" spans="1:36" x14ac:dyDescent="0.25">
      <c r="A765" s="15" t="s">
        <v>1238</v>
      </c>
      <c r="B765" s="25" t="s">
        <v>1022</v>
      </c>
      <c r="C765" s="141">
        <v>45433</v>
      </c>
      <c r="D765" s="141">
        <v>45433</v>
      </c>
      <c r="E765">
        <f>Tabela4[[#This Row],[DATA FATURAMENTO]]-Tabela4[[#This Row],[DATA ORÇAMENTO]]</f>
        <v>0</v>
      </c>
      <c r="F765" s="15">
        <v>11549</v>
      </c>
      <c r="G765" s="15" t="s">
        <v>35</v>
      </c>
      <c r="H765" s="25"/>
      <c r="I765" s="151">
        <v>473.8</v>
      </c>
      <c r="J765" s="151">
        <v>90.01</v>
      </c>
      <c r="K765" s="153">
        <f>Tabela4[[#This Row],[PECAS]]+Tabela4[[#This Row],[SERVICOS]]</f>
        <v>563.81000000000006</v>
      </c>
      <c r="L765" s="151">
        <v>0</v>
      </c>
      <c r="M765" s="151">
        <v>0</v>
      </c>
      <c r="N765" s="24"/>
      <c r="O765" s="151">
        <v>0</v>
      </c>
      <c r="P765" s="151">
        <v>0</v>
      </c>
      <c r="Q765" s="151">
        <v>0</v>
      </c>
      <c r="R765" s="151">
        <v>0</v>
      </c>
      <c r="S765" s="154">
        <v>170</v>
      </c>
      <c r="T765" s="151">
        <v>0</v>
      </c>
      <c r="U765" s="151">
        <v>0</v>
      </c>
      <c r="V765" s="15"/>
      <c r="W765" s="22">
        <v>4</v>
      </c>
      <c r="X765" s="149">
        <v>0</v>
      </c>
      <c r="Y765" s="15" t="s">
        <v>807</v>
      </c>
      <c r="Z765" s="151">
        <v>0</v>
      </c>
      <c r="AA765" s="149">
        <f>Tabela4[[#This Row],[VALOR]]-Tabela4[[#This Row],[PNEUS]]-Tabela4[[#This Row],[BATERIA]]</f>
        <v>563.81000000000006</v>
      </c>
      <c r="AB765" s="19" t="s">
        <v>27</v>
      </c>
      <c r="AC765" s="30">
        <v>0</v>
      </c>
      <c r="AD765" s="162">
        <v>0</v>
      </c>
      <c r="AE765" s="162">
        <v>0</v>
      </c>
      <c r="AF765" s="162">
        <v>0</v>
      </c>
      <c r="AG765" s="162">
        <v>0</v>
      </c>
      <c r="AH765" s="162">
        <v>0</v>
      </c>
      <c r="AI765" s="162">
        <v>0</v>
      </c>
      <c r="AJ765" s="162">
        <v>0</v>
      </c>
    </row>
    <row r="766" spans="1:36" x14ac:dyDescent="0.25">
      <c r="A766" s="15" t="s">
        <v>1239</v>
      </c>
      <c r="B766" s="25" t="s">
        <v>1146</v>
      </c>
      <c r="C766" s="141">
        <v>45428</v>
      </c>
      <c r="D766" s="141">
        <v>45433</v>
      </c>
      <c r="E766">
        <f>Tabela4[[#This Row],[DATA FATURAMENTO]]-Tabela4[[#This Row],[DATA ORÇAMENTO]]</f>
        <v>5</v>
      </c>
      <c r="F766" s="15">
        <v>11507</v>
      </c>
      <c r="G766" s="15" t="s">
        <v>35</v>
      </c>
      <c r="H766" s="25"/>
      <c r="I766" s="151">
        <v>405.1</v>
      </c>
      <c r="J766" s="151">
        <v>389.9</v>
      </c>
      <c r="K766" s="153">
        <f>Tabela4[[#This Row],[PECAS]]+Tabela4[[#This Row],[SERVICOS]]</f>
        <v>795</v>
      </c>
      <c r="L766" s="151">
        <v>0</v>
      </c>
      <c r="M766" s="151">
        <f>116.4+20</f>
        <v>136.4</v>
      </c>
      <c r="N766" s="24"/>
      <c r="O766" s="151">
        <v>0</v>
      </c>
      <c r="P766" s="151">
        <v>0</v>
      </c>
      <c r="Q766" s="151">
        <v>0</v>
      </c>
      <c r="R766" s="151">
        <v>0</v>
      </c>
      <c r="S766" s="154">
        <v>0</v>
      </c>
      <c r="T766" s="151">
        <v>0</v>
      </c>
      <c r="U766" s="151">
        <v>0</v>
      </c>
      <c r="V766" s="15"/>
      <c r="W766" s="22">
        <v>0</v>
      </c>
      <c r="X766" s="149">
        <v>0</v>
      </c>
      <c r="Y766" s="15"/>
      <c r="Z766" s="151">
        <v>0</v>
      </c>
      <c r="AA766" s="149">
        <f>Tabela4[[#This Row],[VALOR]]-Tabela4[[#This Row],[PNEUS]]-Tabela4[[#This Row],[BATERIA]]</f>
        <v>795</v>
      </c>
      <c r="AB766" s="19" t="s">
        <v>27</v>
      </c>
      <c r="AC766" s="30">
        <v>0</v>
      </c>
      <c r="AD766" s="162">
        <v>0</v>
      </c>
      <c r="AE766" s="162">
        <v>0</v>
      </c>
      <c r="AF766" s="162">
        <v>0</v>
      </c>
      <c r="AG766" s="162">
        <v>0</v>
      </c>
      <c r="AH766" s="162">
        <v>0</v>
      </c>
      <c r="AI766" s="162">
        <v>0</v>
      </c>
      <c r="AJ766" s="162">
        <v>0</v>
      </c>
    </row>
    <row r="767" spans="1:36" x14ac:dyDescent="0.25">
      <c r="A767" s="15" t="s">
        <v>1240</v>
      </c>
      <c r="B767" s="25" t="s">
        <v>1241</v>
      </c>
      <c r="C767" s="141">
        <v>45429</v>
      </c>
      <c r="D767" s="141">
        <v>45433</v>
      </c>
      <c r="E767">
        <f>Tabela4[[#This Row],[DATA FATURAMENTO]]-Tabela4[[#This Row],[DATA ORÇAMENTO]]</f>
        <v>4</v>
      </c>
      <c r="F767" s="15">
        <v>11517</v>
      </c>
      <c r="G767" s="15" t="s">
        <v>22</v>
      </c>
      <c r="H767" s="25"/>
      <c r="I767" s="151">
        <v>533.9</v>
      </c>
      <c r="J767" s="151">
        <v>490</v>
      </c>
      <c r="K767" s="153">
        <f>Tabela4[[#This Row],[PECAS]]+Tabela4[[#This Row],[SERVICOS]]</f>
        <v>1023.9</v>
      </c>
      <c r="L767" s="151">
        <v>0</v>
      </c>
      <c r="M767" s="151">
        <f>116.4+19.6</f>
        <v>136</v>
      </c>
      <c r="N767" s="24"/>
      <c r="O767" s="151">
        <v>0</v>
      </c>
      <c r="P767" s="151">
        <v>0</v>
      </c>
      <c r="Q767" s="151">
        <v>0</v>
      </c>
      <c r="R767" s="151">
        <v>0</v>
      </c>
      <c r="S767" s="154">
        <v>0</v>
      </c>
      <c r="T767" s="151">
        <v>0</v>
      </c>
      <c r="U767" s="151">
        <v>0</v>
      </c>
      <c r="V767" s="15"/>
      <c r="W767" s="22">
        <v>0</v>
      </c>
      <c r="X767" s="149">
        <v>0</v>
      </c>
      <c r="Y767" s="15"/>
      <c r="Z767" s="151">
        <v>0</v>
      </c>
      <c r="AA767" s="149">
        <f>Tabela4[[#This Row],[VALOR]]-Tabela4[[#This Row],[PNEUS]]-Tabela4[[#This Row],[BATERIA]]</f>
        <v>1023.9</v>
      </c>
      <c r="AB767" s="19" t="s">
        <v>36</v>
      </c>
      <c r="AC767" s="30">
        <v>0</v>
      </c>
      <c r="AD767" s="162">
        <v>0</v>
      </c>
      <c r="AE767" s="162">
        <v>0</v>
      </c>
      <c r="AF767" s="162">
        <v>0</v>
      </c>
      <c r="AG767" s="162">
        <v>0</v>
      </c>
      <c r="AH767" s="162">
        <v>0</v>
      </c>
      <c r="AI767" s="162">
        <v>0</v>
      </c>
      <c r="AJ767" s="162">
        <v>0</v>
      </c>
    </row>
    <row r="768" spans="1:36" x14ac:dyDescent="0.25">
      <c r="A768" s="15" t="s">
        <v>358</v>
      </c>
      <c r="B768" s="25" t="s">
        <v>849</v>
      </c>
      <c r="C768" s="141">
        <v>45433</v>
      </c>
      <c r="D768" s="141">
        <v>45433</v>
      </c>
      <c r="E768">
        <f>Tabela4[[#This Row],[DATA FATURAMENTO]]-Tabela4[[#This Row],[DATA ORÇAMENTO]]</f>
        <v>0</v>
      </c>
      <c r="F768" s="15">
        <v>11544</v>
      </c>
      <c r="G768" s="15" t="s">
        <v>6</v>
      </c>
      <c r="H768" s="25"/>
      <c r="I768" s="151">
        <v>533.5</v>
      </c>
      <c r="J768" s="151">
        <v>0</v>
      </c>
      <c r="K768" s="153">
        <f>Tabela4[[#This Row],[PECAS]]+Tabela4[[#This Row],[SERVICOS]]</f>
        <v>533.5</v>
      </c>
      <c r="L768" s="151">
        <v>0</v>
      </c>
      <c r="M768" s="151">
        <v>0</v>
      </c>
      <c r="N768" s="24"/>
      <c r="O768" s="151">
        <v>0</v>
      </c>
      <c r="P768" s="151">
        <v>0</v>
      </c>
      <c r="Q768" s="151">
        <v>0</v>
      </c>
      <c r="R768" s="151">
        <v>0</v>
      </c>
      <c r="S768" s="154">
        <v>0</v>
      </c>
      <c r="T768" s="151">
        <v>0</v>
      </c>
      <c r="U768" s="151">
        <v>533.5</v>
      </c>
      <c r="V768" s="15" t="s">
        <v>711</v>
      </c>
      <c r="W768" s="22">
        <v>0</v>
      </c>
      <c r="X768" s="149">
        <v>0</v>
      </c>
      <c r="Y768" s="15"/>
      <c r="Z768" s="151">
        <v>0</v>
      </c>
      <c r="AA768" s="149">
        <f>Tabela4[[#This Row],[VALOR]]-Tabela4[[#This Row],[PNEUS]]-Tabela4[[#This Row],[BATERIA]]</f>
        <v>0</v>
      </c>
      <c r="AB768" s="19" t="s">
        <v>6</v>
      </c>
      <c r="AC768" s="30">
        <v>0</v>
      </c>
      <c r="AD768" s="162">
        <v>0</v>
      </c>
      <c r="AE768" s="162">
        <v>0</v>
      </c>
      <c r="AF768" s="162">
        <v>0</v>
      </c>
      <c r="AG768" s="162">
        <v>0</v>
      </c>
      <c r="AH768" s="162">
        <v>0</v>
      </c>
      <c r="AI768" s="162">
        <v>0</v>
      </c>
      <c r="AJ768" s="162">
        <v>0</v>
      </c>
    </row>
    <row r="769" spans="1:36" x14ac:dyDescent="0.25">
      <c r="A769" s="15" t="s">
        <v>1242</v>
      </c>
      <c r="B769" s="25" t="s">
        <v>875</v>
      </c>
      <c r="C769" s="141">
        <v>45433</v>
      </c>
      <c r="D769" s="141">
        <v>45433</v>
      </c>
      <c r="E769">
        <f>Tabela4[[#This Row],[DATA FATURAMENTO]]-Tabela4[[#This Row],[DATA ORÇAMENTO]]</f>
        <v>0</v>
      </c>
      <c r="F769" s="15">
        <v>11545</v>
      </c>
      <c r="G769" s="15" t="s">
        <v>6</v>
      </c>
      <c r="H769" s="25"/>
      <c r="I769" s="151">
        <v>535</v>
      </c>
      <c r="J769" s="151">
        <v>0</v>
      </c>
      <c r="K769" s="153">
        <f>Tabela4[[#This Row],[PECAS]]+Tabela4[[#This Row],[SERVICOS]]</f>
        <v>535</v>
      </c>
      <c r="L769" s="151">
        <v>0</v>
      </c>
      <c r="M769" s="151">
        <v>0</v>
      </c>
      <c r="N769" s="24"/>
      <c r="O769" s="151">
        <v>0</v>
      </c>
      <c r="P769" s="151">
        <v>0</v>
      </c>
      <c r="Q769" s="151">
        <v>0</v>
      </c>
      <c r="R769" s="151">
        <v>0</v>
      </c>
      <c r="S769" s="154">
        <v>0</v>
      </c>
      <c r="T769" s="151">
        <v>0</v>
      </c>
      <c r="U769" s="151">
        <v>535</v>
      </c>
      <c r="V769" s="15" t="s">
        <v>997</v>
      </c>
      <c r="W769" s="22">
        <v>0</v>
      </c>
      <c r="X769" s="149">
        <v>0</v>
      </c>
      <c r="Y769" s="15"/>
      <c r="Z769" s="151">
        <v>0</v>
      </c>
      <c r="AA769" s="149">
        <f>Tabela4[[#This Row],[VALOR]]-Tabela4[[#This Row],[PNEUS]]-Tabela4[[#This Row],[BATERIA]]</f>
        <v>0</v>
      </c>
      <c r="AB769" s="19" t="s">
        <v>6</v>
      </c>
      <c r="AC769" s="30">
        <v>0</v>
      </c>
      <c r="AD769" s="162">
        <v>0</v>
      </c>
      <c r="AE769" s="162">
        <v>0</v>
      </c>
      <c r="AF769" s="162">
        <v>0</v>
      </c>
      <c r="AG769" s="162">
        <v>0</v>
      </c>
      <c r="AH769" s="162">
        <v>0</v>
      </c>
      <c r="AI769" s="162">
        <v>0</v>
      </c>
      <c r="AJ769" s="162">
        <v>0</v>
      </c>
    </row>
    <row r="770" spans="1:36" x14ac:dyDescent="0.25">
      <c r="A770" s="15" t="s">
        <v>1243</v>
      </c>
      <c r="B770" s="25" t="s">
        <v>1116</v>
      </c>
      <c r="C770" s="141">
        <v>45433</v>
      </c>
      <c r="D770" s="141">
        <v>45433</v>
      </c>
      <c r="E770">
        <f>Tabela4[[#This Row],[DATA FATURAMENTO]]-Tabela4[[#This Row],[DATA ORÇAMENTO]]</f>
        <v>0</v>
      </c>
      <c r="F770" s="15">
        <v>11555</v>
      </c>
      <c r="G770" s="15" t="s">
        <v>6</v>
      </c>
      <c r="H770" s="25"/>
      <c r="I770" s="151">
        <v>799.7</v>
      </c>
      <c r="J770" s="151">
        <v>0</v>
      </c>
      <c r="K770" s="153">
        <f>Tabela4[[#This Row],[PECAS]]+Tabela4[[#This Row],[SERVICOS]]</f>
        <v>799.7</v>
      </c>
      <c r="L770" s="151">
        <v>0</v>
      </c>
      <c r="M770" s="151">
        <v>0</v>
      </c>
      <c r="N770" s="24"/>
      <c r="O770" s="151">
        <v>0</v>
      </c>
      <c r="P770" s="151">
        <v>0</v>
      </c>
      <c r="Q770" s="151">
        <v>0</v>
      </c>
      <c r="R770" s="151">
        <v>0</v>
      </c>
      <c r="S770" s="154">
        <v>0</v>
      </c>
      <c r="T770" s="151">
        <v>0</v>
      </c>
      <c r="U770" s="151">
        <v>799.7</v>
      </c>
      <c r="V770" s="15" t="s">
        <v>808</v>
      </c>
      <c r="W770" s="22">
        <v>0</v>
      </c>
      <c r="X770" s="149">
        <v>0</v>
      </c>
      <c r="Y770" s="15"/>
      <c r="Z770" s="151">
        <v>0</v>
      </c>
      <c r="AA770" s="149">
        <f>Tabela4[[#This Row],[VALOR]]-Tabela4[[#This Row],[PNEUS]]-Tabela4[[#This Row],[BATERIA]]</f>
        <v>0</v>
      </c>
      <c r="AB770" s="19" t="s">
        <v>6</v>
      </c>
      <c r="AC770" s="30">
        <v>0</v>
      </c>
      <c r="AD770" s="162">
        <v>0</v>
      </c>
      <c r="AE770" s="162">
        <v>0</v>
      </c>
      <c r="AF770" s="162">
        <v>0</v>
      </c>
      <c r="AG770" s="162">
        <v>0</v>
      </c>
      <c r="AH770" s="162">
        <v>0</v>
      </c>
      <c r="AI770" s="162">
        <v>0</v>
      </c>
      <c r="AJ770" s="162">
        <v>0</v>
      </c>
    </row>
    <row r="771" spans="1:36" x14ac:dyDescent="0.25">
      <c r="A771" s="15" t="s">
        <v>420</v>
      </c>
      <c r="B771" s="25" t="s">
        <v>1244</v>
      </c>
      <c r="C771" s="141">
        <v>45412</v>
      </c>
      <c r="D771" s="141">
        <v>45434</v>
      </c>
      <c r="E771">
        <f>Tabela4[[#This Row],[DATA FATURAMENTO]]-Tabela4[[#This Row],[DATA ORÇAMENTO]]</f>
        <v>22</v>
      </c>
      <c r="F771" s="15">
        <v>11374</v>
      </c>
      <c r="G771" s="15" t="s">
        <v>22</v>
      </c>
      <c r="H771" s="25"/>
      <c r="I771" s="151">
        <v>2420</v>
      </c>
      <c r="J771" s="151">
        <v>1080</v>
      </c>
      <c r="K771" s="153">
        <f>Tabela4[[#This Row],[PECAS]]+Tabela4[[#This Row],[SERVICOS]]</f>
        <v>3500</v>
      </c>
      <c r="L771" s="151">
        <v>0</v>
      </c>
      <c r="M771" s="151">
        <v>0</v>
      </c>
      <c r="N771" s="24"/>
      <c r="O771" s="151">
        <v>0</v>
      </c>
      <c r="P771" s="151">
        <v>0</v>
      </c>
      <c r="Q771" s="151">
        <v>0</v>
      </c>
      <c r="R771" s="151">
        <v>0</v>
      </c>
      <c r="S771" s="154">
        <v>0</v>
      </c>
      <c r="T771" s="151">
        <v>0</v>
      </c>
      <c r="U771" s="151">
        <v>0</v>
      </c>
      <c r="V771" s="15"/>
      <c r="W771" s="22">
        <v>0</v>
      </c>
      <c r="X771" s="149">
        <v>0</v>
      </c>
      <c r="Y771" s="15"/>
      <c r="Z771" s="151">
        <v>0</v>
      </c>
      <c r="AA771" s="149">
        <f>Tabela4[[#This Row],[VALOR]]-Tabela4[[#This Row],[PNEUS]]-Tabela4[[#This Row],[BATERIA]]</f>
        <v>3500</v>
      </c>
      <c r="AB771" s="19" t="s">
        <v>34</v>
      </c>
      <c r="AC771" s="30">
        <v>0</v>
      </c>
      <c r="AD771" s="162">
        <v>0</v>
      </c>
      <c r="AE771" s="162">
        <v>0</v>
      </c>
      <c r="AF771" s="162">
        <v>0</v>
      </c>
      <c r="AG771" s="162">
        <v>0</v>
      </c>
      <c r="AH771" s="162">
        <v>0</v>
      </c>
      <c r="AI771" s="162">
        <v>0</v>
      </c>
      <c r="AJ771" s="162">
        <v>0</v>
      </c>
    </row>
    <row r="772" spans="1:36" x14ac:dyDescent="0.25">
      <c r="A772" s="15" t="s">
        <v>1245</v>
      </c>
      <c r="B772" s="25" t="s">
        <v>868</v>
      </c>
      <c r="C772" s="141">
        <v>45422</v>
      </c>
      <c r="D772" s="141">
        <v>45434</v>
      </c>
      <c r="E772">
        <f>Tabela4[[#This Row],[DATA FATURAMENTO]]-Tabela4[[#This Row],[DATA ORÇAMENTO]]</f>
        <v>12</v>
      </c>
      <c r="F772" s="15">
        <v>11453</v>
      </c>
      <c r="G772" s="15" t="s">
        <v>22</v>
      </c>
      <c r="H772" s="25"/>
      <c r="I772" s="151">
        <v>5400</v>
      </c>
      <c r="J772" s="151">
        <v>1764</v>
      </c>
      <c r="K772" s="153">
        <f>Tabela4[[#This Row],[PECAS]]+Tabela4[[#This Row],[SERVICOS]]</f>
        <v>7164</v>
      </c>
      <c r="L772" s="151">
        <v>0</v>
      </c>
      <c r="M772" s="151">
        <v>0</v>
      </c>
      <c r="N772" s="24"/>
      <c r="O772" s="151">
        <v>0</v>
      </c>
      <c r="P772" s="151">
        <v>0</v>
      </c>
      <c r="Q772" s="151">
        <v>0</v>
      </c>
      <c r="R772" s="151">
        <v>0</v>
      </c>
      <c r="S772" s="154">
        <v>0</v>
      </c>
      <c r="T772" s="151">
        <v>0</v>
      </c>
      <c r="U772" s="151">
        <v>0</v>
      </c>
      <c r="V772" s="15"/>
      <c r="W772" s="22">
        <v>3</v>
      </c>
      <c r="X772" s="149">
        <v>0</v>
      </c>
      <c r="Y772" s="15" t="s">
        <v>638</v>
      </c>
      <c r="Z772" s="151">
        <v>0</v>
      </c>
      <c r="AA772" s="149">
        <f>Tabela4[[#This Row],[VALOR]]-Tabela4[[#This Row],[PNEUS]]-Tabela4[[#This Row],[BATERIA]]</f>
        <v>7164</v>
      </c>
      <c r="AB772" s="19" t="s">
        <v>36</v>
      </c>
      <c r="AC772" s="30">
        <v>0</v>
      </c>
      <c r="AD772" s="162">
        <v>0</v>
      </c>
      <c r="AE772" s="162">
        <v>0</v>
      </c>
      <c r="AF772" s="162">
        <v>0</v>
      </c>
      <c r="AG772" s="162">
        <v>0</v>
      </c>
      <c r="AH772" s="162">
        <v>0</v>
      </c>
      <c r="AI772" s="162">
        <v>0</v>
      </c>
      <c r="AJ772" s="162">
        <v>0</v>
      </c>
    </row>
    <row r="773" spans="1:36" x14ac:dyDescent="0.25">
      <c r="A773" s="15" t="s">
        <v>1246</v>
      </c>
      <c r="B773" s="25" t="s">
        <v>868</v>
      </c>
      <c r="C773" s="141">
        <v>45434</v>
      </c>
      <c r="D773" s="141">
        <v>45434</v>
      </c>
      <c r="E773">
        <f>Tabela4[[#This Row],[DATA FATURAMENTO]]-Tabela4[[#This Row],[DATA ORÇAMENTO]]</f>
        <v>0</v>
      </c>
      <c r="F773" s="15">
        <v>11560</v>
      </c>
      <c r="G773" s="15" t="s">
        <v>28</v>
      </c>
      <c r="H773" s="25"/>
      <c r="I773" s="151">
        <v>22.44</v>
      </c>
      <c r="J773" s="151">
        <v>13.6</v>
      </c>
      <c r="K773" s="153">
        <f>Tabela4[[#This Row],[PECAS]]+Tabela4[[#This Row],[SERVICOS]]</f>
        <v>36.04</v>
      </c>
      <c r="L773" s="151">
        <v>0</v>
      </c>
      <c r="M773" s="151">
        <v>0</v>
      </c>
      <c r="N773" s="24"/>
      <c r="O773" s="151">
        <v>0</v>
      </c>
      <c r="P773" s="151">
        <v>0</v>
      </c>
      <c r="Q773" s="151">
        <v>0</v>
      </c>
      <c r="R773" s="151">
        <v>0</v>
      </c>
      <c r="S773" s="154">
        <v>0</v>
      </c>
      <c r="T773" s="151">
        <v>0</v>
      </c>
      <c r="U773" s="151">
        <v>0</v>
      </c>
      <c r="V773" s="15"/>
      <c r="W773" s="22">
        <v>0</v>
      </c>
      <c r="X773" s="149">
        <v>0</v>
      </c>
      <c r="Y773" s="15"/>
      <c r="Z773" s="151">
        <v>0</v>
      </c>
      <c r="AA773" s="149">
        <f>Tabela4[[#This Row],[VALOR]]-Tabela4[[#This Row],[PNEUS]]-Tabela4[[#This Row],[BATERIA]]</f>
        <v>36.04</v>
      </c>
      <c r="AB773" s="19" t="s">
        <v>38</v>
      </c>
      <c r="AC773" s="30">
        <v>0</v>
      </c>
      <c r="AD773" s="162">
        <v>0</v>
      </c>
      <c r="AE773" s="162">
        <v>0</v>
      </c>
      <c r="AF773" s="162">
        <v>0</v>
      </c>
      <c r="AG773" s="162">
        <v>0</v>
      </c>
      <c r="AH773" s="162">
        <v>0</v>
      </c>
      <c r="AI773" s="162">
        <v>0</v>
      </c>
      <c r="AJ773" s="162">
        <v>0</v>
      </c>
    </row>
    <row r="774" spans="1:36" x14ac:dyDescent="0.25">
      <c r="A774" s="15" t="s">
        <v>1247</v>
      </c>
      <c r="B774" s="25" t="s">
        <v>1248</v>
      </c>
      <c r="C774" s="141">
        <v>45434</v>
      </c>
      <c r="D774" s="141">
        <v>45434</v>
      </c>
      <c r="E774">
        <f>Tabela4[[#This Row],[DATA FATURAMENTO]]-Tabela4[[#This Row],[DATA ORÇAMENTO]]</f>
        <v>0</v>
      </c>
      <c r="F774" s="15">
        <v>11564</v>
      </c>
      <c r="G774" s="15" t="s">
        <v>22</v>
      </c>
      <c r="H774" s="25"/>
      <c r="I774" s="151">
        <v>0</v>
      </c>
      <c r="J774" s="151">
        <v>240</v>
      </c>
      <c r="K774" s="153">
        <f>Tabela4[[#This Row],[PECAS]]+Tabela4[[#This Row],[SERVICOS]]</f>
        <v>240</v>
      </c>
      <c r="L774" s="151">
        <v>0</v>
      </c>
      <c r="M774" s="151">
        <v>0</v>
      </c>
      <c r="N774" s="24"/>
      <c r="O774" s="151">
        <v>0</v>
      </c>
      <c r="P774" s="151">
        <v>0</v>
      </c>
      <c r="Q774" s="151">
        <v>0</v>
      </c>
      <c r="R774" s="151">
        <v>0</v>
      </c>
      <c r="S774" s="154">
        <v>0</v>
      </c>
      <c r="T774" s="151">
        <v>0</v>
      </c>
      <c r="U774" s="151">
        <v>0</v>
      </c>
      <c r="V774" s="15"/>
      <c r="W774" s="22">
        <v>0</v>
      </c>
      <c r="X774" s="149">
        <v>0</v>
      </c>
      <c r="Y774" s="15"/>
      <c r="Z774" s="151">
        <v>0</v>
      </c>
      <c r="AA774" s="149">
        <f>Tabela4[[#This Row],[VALOR]]-Tabela4[[#This Row],[PNEUS]]-Tabela4[[#This Row],[BATERIA]]</f>
        <v>240</v>
      </c>
      <c r="AB774" s="19" t="s">
        <v>27</v>
      </c>
      <c r="AC774" s="30">
        <v>0</v>
      </c>
      <c r="AD774" s="162">
        <v>0</v>
      </c>
      <c r="AE774" s="162">
        <v>0</v>
      </c>
      <c r="AF774" s="162">
        <v>0</v>
      </c>
      <c r="AG774" s="162">
        <v>0</v>
      </c>
      <c r="AH774" s="162">
        <v>0</v>
      </c>
      <c r="AI774" s="162">
        <v>0</v>
      </c>
      <c r="AJ774" s="162">
        <v>0</v>
      </c>
    </row>
    <row r="775" spans="1:36" x14ac:dyDescent="0.25">
      <c r="A775" s="15" t="s">
        <v>1249</v>
      </c>
      <c r="B775" s="25" t="s">
        <v>1121</v>
      </c>
      <c r="C775" s="141">
        <v>45428</v>
      </c>
      <c r="D775" s="141">
        <v>45435</v>
      </c>
      <c r="E775">
        <f>Tabela4[[#This Row],[DATA FATURAMENTO]]-Tabela4[[#This Row],[DATA ORÇAMENTO]]</f>
        <v>7</v>
      </c>
      <c r="F775" s="15">
        <v>11500</v>
      </c>
      <c r="G775" s="15" t="s">
        <v>25</v>
      </c>
      <c r="H775" s="25"/>
      <c r="I775" s="151">
        <v>971.73</v>
      </c>
      <c r="J775" s="151">
        <v>980</v>
      </c>
      <c r="K775" s="153">
        <f>Tabela4[[#This Row],[PECAS]]+Tabela4[[#This Row],[SERVICOS]]</f>
        <v>1951.73</v>
      </c>
      <c r="L775" s="151">
        <v>0</v>
      </c>
      <c r="M775" s="151">
        <f>87.8+190</f>
        <v>277.8</v>
      </c>
      <c r="N775" s="24"/>
      <c r="O775" s="151">
        <f>230+38.8</f>
        <v>268.8</v>
      </c>
      <c r="P775" s="151">
        <v>0</v>
      </c>
      <c r="Q775" s="151">
        <v>0</v>
      </c>
      <c r="R775" s="151">
        <v>0</v>
      </c>
      <c r="S775" s="154">
        <v>0</v>
      </c>
      <c r="T775" s="151">
        <v>0</v>
      </c>
      <c r="U775" s="151">
        <v>0</v>
      </c>
      <c r="V775" s="15"/>
      <c r="W775" s="22">
        <v>4</v>
      </c>
      <c r="X775" s="149">
        <v>0</v>
      </c>
      <c r="Y775" s="15" t="s">
        <v>654</v>
      </c>
      <c r="Z775" s="151">
        <v>0</v>
      </c>
      <c r="AA775" s="149">
        <f>Tabela4[[#This Row],[VALOR]]-Tabela4[[#This Row],[PNEUS]]-Tabela4[[#This Row],[BATERIA]]</f>
        <v>1951.73</v>
      </c>
      <c r="AB775" s="19" t="s">
        <v>24</v>
      </c>
      <c r="AC775" s="30">
        <v>0</v>
      </c>
      <c r="AD775" s="162">
        <v>0</v>
      </c>
      <c r="AE775" s="162">
        <v>0</v>
      </c>
      <c r="AF775" s="162">
        <v>0</v>
      </c>
      <c r="AG775" s="162">
        <v>0</v>
      </c>
      <c r="AH775" s="162">
        <v>0</v>
      </c>
      <c r="AI775" s="162">
        <v>0</v>
      </c>
      <c r="AJ775" s="162">
        <v>0</v>
      </c>
    </row>
    <row r="776" spans="1:36" x14ac:dyDescent="0.25">
      <c r="A776" s="15" t="s">
        <v>1250</v>
      </c>
      <c r="B776" s="25" t="s">
        <v>1244</v>
      </c>
      <c r="C776" s="141">
        <v>45435</v>
      </c>
      <c r="D776" s="141">
        <v>45435</v>
      </c>
      <c r="E776">
        <f>Tabela4[[#This Row],[DATA FATURAMENTO]]-Tabela4[[#This Row],[DATA ORÇAMENTO]]</f>
        <v>0</v>
      </c>
      <c r="F776" s="15">
        <v>11575</v>
      </c>
      <c r="G776" s="15" t="s">
        <v>22</v>
      </c>
      <c r="H776" s="25"/>
      <c r="I776" s="151">
        <v>630.6</v>
      </c>
      <c r="J776" s="151">
        <v>190</v>
      </c>
      <c r="K776" s="153">
        <f>Tabela4[[#This Row],[PECAS]]+Tabela4[[#This Row],[SERVICOS]]</f>
        <v>820.6</v>
      </c>
      <c r="L776" s="151">
        <v>0</v>
      </c>
      <c r="M776" s="151">
        <v>0</v>
      </c>
      <c r="N776" s="24"/>
      <c r="O776" s="151">
        <v>0</v>
      </c>
      <c r="P776" s="151">
        <v>0</v>
      </c>
      <c r="Q776" s="151">
        <v>0</v>
      </c>
      <c r="R776" s="151">
        <v>0</v>
      </c>
      <c r="S776" s="154">
        <v>190</v>
      </c>
      <c r="T776" s="151">
        <v>0</v>
      </c>
      <c r="U776" s="151">
        <v>0</v>
      </c>
      <c r="V776" s="15"/>
      <c r="W776" s="22">
        <v>5</v>
      </c>
      <c r="X776" s="149">
        <v>0</v>
      </c>
      <c r="Y776" s="15" t="s">
        <v>1251</v>
      </c>
      <c r="Z776" s="151">
        <v>190</v>
      </c>
      <c r="AA776" s="149">
        <f>Tabela4[[#This Row],[VALOR]]-Tabela4[[#This Row],[PNEUS]]-Tabela4[[#This Row],[BATERIA]]</f>
        <v>820.6</v>
      </c>
      <c r="AB776" s="19" t="s">
        <v>24</v>
      </c>
      <c r="AC776" s="30">
        <v>0</v>
      </c>
      <c r="AD776" s="162">
        <v>0</v>
      </c>
      <c r="AE776" s="162">
        <v>0</v>
      </c>
      <c r="AF776" s="162">
        <v>0</v>
      </c>
      <c r="AG776" s="162">
        <v>0</v>
      </c>
      <c r="AH776" s="162">
        <v>0</v>
      </c>
      <c r="AI776" s="162">
        <v>0</v>
      </c>
      <c r="AJ776" s="162">
        <v>0</v>
      </c>
    </row>
    <row r="777" spans="1:36" x14ac:dyDescent="0.25">
      <c r="A777" s="15" t="s">
        <v>1252</v>
      </c>
      <c r="B777" s="25" t="s">
        <v>1253</v>
      </c>
      <c r="C777" s="141">
        <v>45433</v>
      </c>
      <c r="D777" s="141">
        <v>45436</v>
      </c>
      <c r="E777">
        <f>Tabela4[[#This Row],[DATA FATURAMENTO]]-Tabela4[[#This Row],[DATA ORÇAMENTO]]</f>
        <v>3</v>
      </c>
      <c r="F777" s="15">
        <v>11546</v>
      </c>
      <c r="G777" s="15" t="s">
        <v>25</v>
      </c>
      <c r="H777" s="25"/>
      <c r="I777" s="151">
        <v>3777.12</v>
      </c>
      <c r="J777" s="151">
        <v>1613.63</v>
      </c>
      <c r="K777" s="153">
        <f>Tabela4[[#This Row],[PECAS]]+Tabela4[[#This Row],[SERVICOS]]</f>
        <v>5390.75</v>
      </c>
      <c r="L777" s="151">
        <v>0</v>
      </c>
      <c r="M777" s="151">
        <f>21.95+40</f>
        <v>61.95</v>
      </c>
      <c r="N777" s="24"/>
      <c r="O777" s="151">
        <f>19.4+150</f>
        <v>169.4</v>
      </c>
      <c r="P777" s="151">
        <v>96</v>
      </c>
      <c r="Q777" s="151">
        <v>150</v>
      </c>
      <c r="R777" s="151">
        <v>0</v>
      </c>
      <c r="S777" s="154">
        <v>18.3</v>
      </c>
      <c r="T777" s="151">
        <v>2209.8000000000002</v>
      </c>
      <c r="U777" s="151">
        <v>0</v>
      </c>
      <c r="V777" s="15"/>
      <c r="W777" s="22">
        <v>4</v>
      </c>
      <c r="X777" s="149">
        <v>0</v>
      </c>
      <c r="Y777" s="15" t="s">
        <v>654</v>
      </c>
      <c r="Z777" s="151">
        <v>0</v>
      </c>
      <c r="AA777" s="149">
        <f>Tabela4[[#This Row],[VALOR]]-Tabela4[[#This Row],[PNEUS]]-Tabela4[[#This Row],[BATERIA]]</f>
        <v>3180.95</v>
      </c>
      <c r="AB777" s="19" t="s">
        <v>24</v>
      </c>
      <c r="AC777" s="30">
        <v>0</v>
      </c>
      <c r="AD777" s="162">
        <v>0</v>
      </c>
      <c r="AE777" s="162">
        <v>0</v>
      </c>
      <c r="AF777" s="162">
        <v>0</v>
      </c>
      <c r="AG777" s="162">
        <v>0</v>
      </c>
      <c r="AH777" s="162">
        <v>0</v>
      </c>
      <c r="AI777" s="162">
        <v>0</v>
      </c>
      <c r="AJ777" s="162">
        <v>0</v>
      </c>
    </row>
    <row r="778" spans="1:36" x14ac:dyDescent="0.25">
      <c r="A778" s="15" t="s">
        <v>1254</v>
      </c>
      <c r="B778" s="25" t="s">
        <v>1255</v>
      </c>
      <c r="C778" s="141">
        <v>45433</v>
      </c>
      <c r="D778" s="141">
        <v>45436</v>
      </c>
      <c r="E778">
        <f>Tabela4[[#This Row],[DATA FATURAMENTO]]-Tabela4[[#This Row],[DATA ORÇAMENTO]]</f>
        <v>3</v>
      </c>
      <c r="F778" s="15">
        <v>11550</v>
      </c>
      <c r="G778" s="15" t="s">
        <v>22</v>
      </c>
      <c r="H778" s="25"/>
      <c r="I778" s="151">
        <v>4997.8</v>
      </c>
      <c r="J778" s="151">
        <v>2868.2</v>
      </c>
      <c r="K778" s="153">
        <f>Tabela4[[#This Row],[PECAS]]+Tabela4[[#This Row],[SERVICOS]]</f>
        <v>7866</v>
      </c>
      <c r="L778" s="151">
        <v>0</v>
      </c>
      <c r="M778" s="151">
        <v>0</v>
      </c>
      <c r="N778" s="24"/>
      <c r="O778" s="151">
        <f>47.7</f>
        <v>47.7</v>
      </c>
      <c r="P778" s="151">
        <v>0</v>
      </c>
      <c r="Q778" s="151">
        <v>0</v>
      </c>
      <c r="R778" s="151">
        <v>0</v>
      </c>
      <c r="S778" s="154">
        <v>0</v>
      </c>
      <c r="T778" s="151">
        <v>0</v>
      </c>
      <c r="U778" s="151">
        <v>0</v>
      </c>
      <c r="V778" s="15"/>
      <c r="W778" s="22">
        <v>0</v>
      </c>
      <c r="X778" s="149">
        <v>0</v>
      </c>
      <c r="Y778" s="15"/>
      <c r="Z778" s="151">
        <v>0</v>
      </c>
      <c r="AA778" s="149">
        <f>Tabela4[[#This Row],[VALOR]]-Tabela4[[#This Row],[PNEUS]]-Tabela4[[#This Row],[BATERIA]]</f>
        <v>7866</v>
      </c>
      <c r="AB778" s="19" t="s">
        <v>36</v>
      </c>
      <c r="AC778" s="30">
        <v>0</v>
      </c>
      <c r="AD778" s="162">
        <v>0</v>
      </c>
      <c r="AE778" s="162">
        <v>0</v>
      </c>
      <c r="AF778" s="162">
        <v>0</v>
      </c>
      <c r="AG778" s="162">
        <v>0</v>
      </c>
      <c r="AH778" s="162">
        <v>0</v>
      </c>
      <c r="AI778" s="162">
        <v>0</v>
      </c>
      <c r="AJ778" s="162">
        <v>0</v>
      </c>
    </row>
    <row r="779" spans="1:36" x14ac:dyDescent="0.25">
      <c r="A779" s="15" t="s">
        <v>1256</v>
      </c>
      <c r="B779" s="25" t="s">
        <v>1056</v>
      </c>
      <c r="C779" s="141">
        <v>45433</v>
      </c>
      <c r="D779" s="141">
        <v>45436</v>
      </c>
      <c r="E779">
        <f>Tabela4[[#This Row],[DATA FATURAMENTO]]-Tabela4[[#This Row],[DATA ORÇAMENTO]]</f>
        <v>3</v>
      </c>
      <c r="F779" s="15">
        <v>11553</v>
      </c>
      <c r="G779" s="15" t="s">
        <v>35</v>
      </c>
      <c r="H779" s="25"/>
      <c r="I779" s="151">
        <v>470</v>
      </c>
      <c r="J779" s="151">
        <v>280</v>
      </c>
      <c r="K779" s="153">
        <f>Tabela4[[#This Row],[PECAS]]+Tabela4[[#This Row],[SERVICOS]]</f>
        <v>750</v>
      </c>
      <c r="L779" s="151">
        <v>0</v>
      </c>
      <c r="M779" s="151">
        <v>0</v>
      </c>
      <c r="N779" s="24"/>
      <c r="O779" s="151">
        <v>0</v>
      </c>
      <c r="P779" s="151">
        <v>0</v>
      </c>
      <c r="Q779" s="151">
        <v>0</v>
      </c>
      <c r="R779" s="151">
        <v>0</v>
      </c>
      <c r="S779" s="154">
        <v>0</v>
      </c>
      <c r="T779" s="151">
        <v>0</v>
      </c>
      <c r="U779" s="151">
        <v>0</v>
      </c>
      <c r="V779" s="15"/>
      <c r="W779" s="22">
        <v>0</v>
      </c>
      <c r="X779" s="149">
        <v>0</v>
      </c>
      <c r="Y779" s="15"/>
      <c r="Z779" s="151">
        <v>0</v>
      </c>
      <c r="AA779" s="149">
        <f>Tabela4[[#This Row],[VALOR]]-Tabela4[[#This Row],[PNEUS]]-Tabela4[[#This Row],[BATERIA]]</f>
        <v>750</v>
      </c>
      <c r="AB779" s="19" t="s">
        <v>34</v>
      </c>
      <c r="AC779" s="30">
        <v>0</v>
      </c>
      <c r="AD779" s="162">
        <v>0</v>
      </c>
      <c r="AE779" s="162">
        <v>0</v>
      </c>
      <c r="AF779" s="162">
        <v>0</v>
      </c>
      <c r="AG779" s="162">
        <v>0</v>
      </c>
      <c r="AH779" s="162">
        <v>0</v>
      </c>
      <c r="AI779" s="162">
        <v>0</v>
      </c>
      <c r="AJ779" s="162">
        <v>0</v>
      </c>
    </row>
    <row r="780" spans="1:36" x14ac:dyDescent="0.25">
      <c r="A780" s="15" t="s">
        <v>1257</v>
      </c>
      <c r="B780" s="25" t="s">
        <v>1135</v>
      </c>
      <c r="C780" s="141">
        <v>45434</v>
      </c>
      <c r="D780" s="141">
        <v>45436</v>
      </c>
      <c r="E780">
        <f>Tabela4[[#This Row],[DATA FATURAMENTO]]-Tabela4[[#This Row],[DATA ORÇAMENTO]]</f>
        <v>2</v>
      </c>
      <c r="F780" s="15">
        <v>11563</v>
      </c>
      <c r="G780" s="15" t="s">
        <v>35</v>
      </c>
      <c r="H780" s="25"/>
      <c r="I780" s="151">
        <v>448.5</v>
      </c>
      <c r="J780" s="151">
        <v>471.24</v>
      </c>
      <c r="K780" s="153">
        <f>Tabela4[[#This Row],[PECAS]]+Tabela4[[#This Row],[SERVICOS]]</f>
        <v>919.74</v>
      </c>
      <c r="L780" s="151">
        <v>0</v>
      </c>
      <c r="M780" s="151">
        <v>0</v>
      </c>
      <c r="N780" s="24"/>
      <c r="O780" s="151">
        <v>0</v>
      </c>
      <c r="P780" s="151">
        <v>0</v>
      </c>
      <c r="Q780" s="151">
        <v>0</v>
      </c>
      <c r="R780" s="151">
        <v>0</v>
      </c>
      <c r="S780" s="154">
        <v>0</v>
      </c>
      <c r="T780" s="151">
        <v>0</v>
      </c>
      <c r="U780" s="151">
        <v>0</v>
      </c>
      <c r="V780" s="15"/>
      <c r="W780" s="22">
        <v>0</v>
      </c>
      <c r="X780" s="149">
        <v>0</v>
      </c>
      <c r="Y780" s="15"/>
      <c r="Z780" s="151">
        <v>0</v>
      </c>
      <c r="AA780" s="149">
        <f>Tabela4[[#This Row],[VALOR]]-Tabela4[[#This Row],[PNEUS]]-Tabela4[[#This Row],[BATERIA]]</f>
        <v>919.74</v>
      </c>
      <c r="AB780" s="19" t="s">
        <v>27</v>
      </c>
      <c r="AC780" s="30">
        <v>0</v>
      </c>
      <c r="AD780" s="162">
        <v>0</v>
      </c>
      <c r="AE780" s="162">
        <v>0</v>
      </c>
      <c r="AF780" s="162">
        <v>0</v>
      </c>
      <c r="AG780" s="162">
        <v>0</v>
      </c>
      <c r="AH780" s="162">
        <v>0</v>
      </c>
      <c r="AI780" s="162">
        <v>0</v>
      </c>
      <c r="AJ780" s="162">
        <v>0</v>
      </c>
    </row>
    <row r="781" spans="1:36" x14ac:dyDescent="0.25">
      <c r="A781" s="15" t="s">
        <v>387</v>
      </c>
      <c r="B781" s="25" t="s">
        <v>905</v>
      </c>
      <c r="C781" s="141">
        <v>45435</v>
      </c>
      <c r="D781" s="141">
        <v>45436</v>
      </c>
      <c r="E781">
        <f>Tabela4[[#This Row],[DATA FATURAMENTO]]-Tabela4[[#This Row],[DATA ORÇAMENTO]]</f>
        <v>1</v>
      </c>
      <c r="F781" s="15">
        <v>11571</v>
      </c>
      <c r="G781" s="15" t="s">
        <v>31</v>
      </c>
      <c r="H781" s="25"/>
      <c r="I781" s="151">
        <v>183.4</v>
      </c>
      <c r="J781" s="151">
        <v>216.6</v>
      </c>
      <c r="K781" s="153">
        <f>Tabela4[[#This Row],[PECAS]]+Tabela4[[#This Row],[SERVICOS]]</f>
        <v>400</v>
      </c>
      <c r="L781" s="151">
        <v>0</v>
      </c>
      <c r="M781" s="151">
        <f>77.4+21</f>
        <v>98.4</v>
      </c>
      <c r="N781" s="24"/>
      <c r="O781" s="151">
        <v>0</v>
      </c>
      <c r="P781" s="151">
        <v>0</v>
      </c>
      <c r="Q781" s="151">
        <v>0</v>
      </c>
      <c r="R781" s="151">
        <v>0</v>
      </c>
      <c r="S781" s="154">
        <v>0</v>
      </c>
      <c r="T781" s="151">
        <v>0</v>
      </c>
      <c r="U781" s="151">
        <v>0</v>
      </c>
      <c r="V781" s="15"/>
      <c r="W781" s="22">
        <v>0</v>
      </c>
      <c r="X781" s="149">
        <v>0</v>
      </c>
      <c r="Y781" s="15"/>
      <c r="Z781" s="151">
        <v>0</v>
      </c>
      <c r="AA781" s="149">
        <f>Tabela4[[#This Row],[VALOR]]-Tabela4[[#This Row],[PNEUS]]-Tabela4[[#This Row],[BATERIA]]</f>
        <v>400</v>
      </c>
      <c r="AB781" s="19" t="s">
        <v>24</v>
      </c>
      <c r="AC781" s="30">
        <v>0</v>
      </c>
      <c r="AD781" s="162">
        <v>0</v>
      </c>
      <c r="AE781" s="162">
        <v>0</v>
      </c>
      <c r="AF781" s="162">
        <v>0</v>
      </c>
      <c r="AG781" s="162">
        <v>0</v>
      </c>
      <c r="AH781" s="162">
        <v>0</v>
      </c>
      <c r="AI781" s="162">
        <v>0</v>
      </c>
      <c r="AJ781" s="162">
        <v>0</v>
      </c>
    </row>
    <row r="782" spans="1:36" x14ac:dyDescent="0.25">
      <c r="A782" s="15" t="s">
        <v>1258</v>
      </c>
      <c r="B782" s="25" t="s">
        <v>900</v>
      </c>
      <c r="C782" s="141">
        <v>45436</v>
      </c>
      <c r="D782" s="141">
        <v>45436</v>
      </c>
      <c r="E782">
        <f>Tabela4[[#This Row],[DATA FATURAMENTO]]-Tabela4[[#This Row],[DATA ORÇAMENTO]]</f>
        <v>0</v>
      </c>
      <c r="F782" s="15">
        <v>11578</v>
      </c>
      <c r="G782" s="15" t="s">
        <v>35</v>
      </c>
      <c r="H782" s="25"/>
      <c r="I782" s="151">
        <v>568.79999999999995</v>
      </c>
      <c r="J782" s="151">
        <v>624.20000000000005</v>
      </c>
      <c r="K782" s="153">
        <f>Tabela4[[#This Row],[PECAS]]+Tabela4[[#This Row],[SERVICOS]]</f>
        <v>1193</v>
      </c>
      <c r="L782" s="151">
        <v>109.96</v>
      </c>
      <c r="M782" s="151">
        <f>116.4+20.4</f>
        <v>136.80000000000001</v>
      </c>
      <c r="N782" s="24"/>
      <c r="O782" s="151">
        <v>0</v>
      </c>
      <c r="P782" s="151">
        <v>0</v>
      </c>
      <c r="Q782" s="151">
        <v>0</v>
      </c>
      <c r="R782" s="151">
        <v>0</v>
      </c>
      <c r="S782" s="154">
        <v>208</v>
      </c>
      <c r="T782" s="151">
        <v>0</v>
      </c>
      <c r="U782" s="151">
        <v>0</v>
      </c>
      <c r="V782" s="15"/>
      <c r="W782" s="22">
        <v>4</v>
      </c>
      <c r="X782" s="149">
        <v>0</v>
      </c>
      <c r="Y782" s="15" t="s">
        <v>807</v>
      </c>
      <c r="Z782" s="151">
        <v>0</v>
      </c>
      <c r="AA782" s="149">
        <f>Tabela4[[#This Row],[VALOR]]-Tabela4[[#This Row],[PNEUS]]-Tabela4[[#This Row],[BATERIA]]</f>
        <v>1193</v>
      </c>
      <c r="AB782" s="19" t="s">
        <v>36</v>
      </c>
      <c r="AC782" s="30">
        <v>0</v>
      </c>
      <c r="AD782" s="162">
        <v>0</v>
      </c>
      <c r="AE782" s="162">
        <v>0</v>
      </c>
      <c r="AF782" s="162">
        <v>0</v>
      </c>
      <c r="AG782" s="162">
        <v>0</v>
      </c>
      <c r="AH782" s="162">
        <v>0</v>
      </c>
      <c r="AI782" s="162">
        <v>0</v>
      </c>
      <c r="AJ782" s="162">
        <v>0</v>
      </c>
    </row>
    <row r="783" spans="1:36" x14ac:dyDescent="0.25">
      <c r="A783" s="15" t="s">
        <v>1259</v>
      </c>
      <c r="B783" s="25" t="s">
        <v>1260</v>
      </c>
      <c r="C783" s="141">
        <v>45436</v>
      </c>
      <c r="D783" s="141">
        <v>45436</v>
      </c>
      <c r="E783">
        <f>Tabela4[[#This Row],[DATA FATURAMENTO]]-Tabela4[[#This Row],[DATA ORÇAMENTO]]</f>
        <v>0</v>
      </c>
      <c r="F783" s="15">
        <v>11580</v>
      </c>
      <c r="G783" s="15" t="s">
        <v>22</v>
      </c>
      <c r="H783" s="25"/>
      <c r="I783" s="151">
        <v>2145.4</v>
      </c>
      <c r="J783" s="151">
        <v>804.6</v>
      </c>
      <c r="K783" s="153">
        <f>Tabela4[[#This Row],[PECAS]]+Tabela4[[#This Row],[SERVICOS]]</f>
        <v>2950</v>
      </c>
      <c r="L783" s="151">
        <v>0</v>
      </c>
      <c r="M783" s="151">
        <v>0</v>
      </c>
      <c r="N783" s="24"/>
      <c r="O783" s="151">
        <v>0</v>
      </c>
      <c r="P783" s="151">
        <v>0</v>
      </c>
      <c r="Q783" s="151">
        <v>0</v>
      </c>
      <c r="R783" s="151">
        <v>0</v>
      </c>
      <c r="S783" s="154">
        <v>0</v>
      </c>
      <c r="T783" s="151">
        <v>0</v>
      </c>
      <c r="U783" s="151">
        <v>0</v>
      </c>
      <c r="V783" s="15"/>
      <c r="W783" s="22">
        <v>0</v>
      </c>
      <c r="X783" s="149">
        <v>0</v>
      </c>
      <c r="Y783" s="15"/>
      <c r="Z783" s="151">
        <v>0</v>
      </c>
      <c r="AA783" s="149">
        <f>Tabela4[[#This Row],[VALOR]]-Tabela4[[#This Row],[PNEUS]]-Tabela4[[#This Row],[BATERIA]]</f>
        <v>2950</v>
      </c>
      <c r="AB783" s="19" t="s">
        <v>24</v>
      </c>
      <c r="AC783" s="30">
        <v>0</v>
      </c>
      <c r="AD783" s="162">
        <v>0</v>
      </c>
      <c r="AE783" s="162">
        <v>0</v>
      </c>
      <c r="AF783" s="162">
        <v>0</v>
      </c>
      <c r="AG783" s="162">
        <v>0</v>
      </c>
      <c r="AH783" s="162">
        <v>0</v>
      </c>
      <c r="AI783" s="162">
        <v>0</v>
      </c>
      <c r="AJ783" s="162">
        <v>0</v>
      </c>
    </row>
    <row r="784" spans="1:36" x14ac:dyDescent="0.25">
      <c r="A784" s="15" t="s">
        <v>1261</v>
      </c>
      <c r="B784" s="25" t="s">
        <v>1262</v>
      </c>
      <c r="C784" s="141">
        <v>45436</v>
      </c>
      <c r="D784" s="141">
        <v>45436</v>
      </c>
      <c r="E784">
        <f>Tabela4[[#This Row],[DATA FATURAMENTO]]-Tabela4[[#This Row],[DATA ORÇAMENTO]]</f>
        <v>0</v>
      </c>
      <c r="F784" s="15">
        <v>11582</v>
      </c>
      <c r="G784" s="15" t="s">
        <v>35</v>
      </c>
      <c r="H784" s="25"/>
      <c r="I784" s="151">
        <v>110</v>
      </c>
      <c r="J784" s="151">
        <v>56.85</v>
      </c>
      <c r="K784" s="153">
        <f>Tabela4[[#This Row],[PECAS]]+Tabela4[[#This Row],[SERVICOS]]</f>
        <v>166.85</v>
      </c>
      <c r="L784" s="151">
        <v>0</v>
      </c>
      <c r="M784" s="151">
        <f>75+35</f>
        <v>110</v>
      </c>
      <c r="N784" s="24"/>
      <c r="O784" s="151">
        <v>0</v>
      </c>
      <c r="P784" s="151">
        <v>0</v>
      </c>
      <c r="Q784" s="151">
        <v>0</v>
      </c>
      <c r="R784" s="151">
        <v>0</v>
      </c>
      <c r="S784" s="154">
        <v>0</v>
      </c>
      <c r="T784" s="151">
        <v>0</v>
      </c>
      <c r="U784" s="151">
        <v>0</v>
      </c>
      <c r="V784" s="15"/>
      <c r="W784" s="22">
        <v>0</v>
      </c>
      <c r="X784" s="149">
        <v>0</v>
      </c>
      <c r="Y784" s="15"/>
      <c r="Z784" s="151">
        <v>0</v>
      </c>
      <c r="AA784" s="149">
        <f>Tabela4[[#This Row],[VALOR]]-Tabela4[[#This Row],[PNEUS]]-Tabela4[[#This Row],[BATERIA]]</f>
        <v>166.85</v>
      </c>
      <c r="AB784" s="19" t="s">
        <v>27</v>
      </c>
      <c r="AC784" s="30">
        <v>0</v>
      </c>
      <c r="AD784" s="162">
        <v>0</v>
      </c>
      <c r="AE784" s="162">
        <v>0</v>
      </c>
      <c r="AF784" s="162">
        <v>0</v>
      </c>
      <c r="AG784" s="162">
        <v>0</v>
      </c>
      <c r="AH784" s="162">
        <v>0</v>
      </c>
      <c r="AI784" s="162">
        <v>0</v>
      </c>
      <c r="AJ784" s="162">
        <v>0</v>
      </c>
    </row>
    <row r="785" spans="1:36" x14ac:dyDescent="0.25">
      <c r="A785" s="15" t="s">
        <v>1263</v>
      </c>
      <c r="B785" s="25" t="s">
        <v>1019</v>
      </c>
      <c r="C785" s="141">
        <v>45436</v>
      </c>
      <c r="D785" s="141">
        <v>45436</v>
      </c>
      <c r="E785">
        <f>Tabela4[[#This Row],[DATA FATURAMENTO]]-Tabela4[[#This Row],[DATA ORÇAMENTO]]</f>
        <v>0</v>
      </c>
      <c r="F785" s="15">
        <v>11584</v>
      </c>
      <c r="G785" s="15" t="s">
        <v>22</v>
      </c>
      <c r="H785" s="25"/>
      <c r="I785" s="151">
        <v>500</v>
      </c>
      <c r="J785" s="151">
        <v>30</v>
      </c>
      <c r="K785" s="153">
        <f>Tabela4[[#This Row],[PECAS]]+Tabela4[[#This Row],[SERVICOS]]</f>
        <v>530</v>
      </c>
      <c r="L785" s="151">
        <v>0</v>
      </c>
      <c r="M785" s="151">
        <v>0</v>
      </c>
      <c r="N785" s="24"/>
      <c r="O785" s="151">
        <v>0</v>
      </c>
      <c r="P785" s="151">
        <v>0</v>
      </c>
      <c r="Q785" s="151">
        <v>0</v>
      </c>
      <c r="R785" s="151">
        <v>0</v>
      </c>
      <c r="S785" s="154">
        <v>0</v>
      </c>
      <c r="T785" s="151">
        <v>0</v>
      </c>
      <c r="U785" s="151">
        <v>0</v>
      </c>
      <c r="V785" s="15"/>
      <c r="W785" s="22">
        <v>4</v>
      </c>
      <c r="X785" s="149">
        <v>0</v>
      </c>
      <c r="Y785" s="15" t="s">
        <v>807</v>
      </c>
      <c r="Z785" s="151">
        <v>0</v>
      </c>
      <c r="AA785" s="149">
        <f>Tabela4[[#This Row],[VALOR]]-Tabela4[[#This Row],[PNEUS]]-Tabela4[[#This Row],[BATERIA]]</f>
        <v>530</v>
      </c>
      <c r="AB785" s="19" t="s">
        <v>27</v>
      </c>
      <c r="AC785" s="30">
        <v>0</v>
      </c>
      <c r="AD785" s="162">
        <v>0</v>
      </c>
      <c r="AE785" s="162">
        <v>0</v>
      </c>
      <c r="AF785" s="162">
        <v>0</v>
      </c>
      <c r="AG785" s="162">
        <v>0</v>
      </c>
      <c r="AH785" s="162">
        <v>0</v>
      </c>
      <c r="AI785" s="162">
        <v>0</v>
      </c>
      <c r="AJ785" s="162">
        <v>0</v>
      </c>
    </row>
    <row r="786" spans="1:36" x14ac:dyDescent="0.25">
      <c r="A786" s="15" t="s">
        <v>1264</v>
      </c>
      <c r="B786" s="25" t="s">
        <v>1265</v>
      </c>
      <c r="C786" s="141">
        <v>45436</v>
      </c>
      <c r="D786" s="141">
        <v>45436</v>
      </c>
      <c r="E786">
        <f>Tabela4[[#This Row],[DATA FATURAMENTO]]-Tabela4[[#This Row],[DATA ORÇAMENTO]]</f>
        <v>0</v>
      </c>
      <c r="F786" s="15">
        <v>11588</v>
      </c>
      <c r="G786" s="15" t="s">
        <v>35</v>
      </c>
      <c r="H786" s="25"/>
      <c r="I786" s="151">
        <v>35</v>
      </c>
      <c r="J786" s="151">
        <v>0</v>
      </c>
      <c r="K786" s="153">
        <f>Tabela4[[#This Row],[PECAS]]+Tabela4[[#This Row],[SERVICOS]]</f>
        <v>35</v>
      </c>
      <c r="L786" s="151">
        <v>0</v>
      </c>
      <c r="M786" s="151">
        <v>0</v>
      </c>
      <c r="N786" s="24"/>
      <c r="O786" s="151">
        <v>0</v>
      </c>
      <c r="P786" s="151">
        <v>0</v>
      </c>
      <c r="Q786" s="151">
        <v>0</v>
      </c>
      <c r="R786" s="151">
        <v>0</v>
      </c>
      <c r="S786" s="154">
        <v>0</v>
      </c>
      <c r="T786" s="151">
        <v>0</v>
      </c>
      <c r="U786" s="151">
        <v>0</v>
      </c>
      <c r="V786" s="15"/>
      <c r="W786" s="22">
        <v>0</v>
      </c>
      <c r="X786" s="149">
        <v>0</v>
      </c>
      <c r="Y786" s="15"/>
      <c r="Z786" s="151">
        <v>0</v>
      </c>
      <c r="AA786" s="149">
        <f>Tabela4[[#This Row],[VALOR]]-Tabela4[[#This Row],[PNEUS]]-Tabela4[[#This Row],[BATERIA]]</f>
        <v>35</v>
      </c>
      <c r="AB786" s="19" t="s">
        <v>38</v>
      </c>
      <c r="AC786" s="30">
        <v>0</v>
      </c>
      <c r="AD786" s="162">
        <v>0</v>
      </c>
      <c r="AE786" s="162">
        <v>0</v>
      </c>
      <c r="AF786" s="162">
        <v>0</v>
      </c>
      <c r="AG786" s="162">
        <v>0</v>
      </c>
      <c r="AH786" s="162">
        <v>0</v>
      </c>
      <c r="AI786" s="162">
        <v>0</v>
      </c>
      <c r="AJ786" s="162">
        <v>0</v>
      </c>
    </row>
    <row r="787" spans="1:36" x14ac:dyDescent="0.25">
      <c r="A787" s="15" t="s">
        <v>189</v>
      </c>
      <c r="B787" s="25" t="s">
        <v>854</v>
      </c>
      <c r="C787" s="141">
        <v>45398</v>
      </c>
      <c r="D787" s="141">
        <v>45437</v>
      </c>
      <c r="E787">
        <f>Tabela4[[#This Row],[DATA FATURAMENTO]]-Tabela4[[#This Row],[DATA ORÇAMENTO]]</f>
        <v>39</v>
      </c>
      <c r="F787" s="15">
        <v>11240</v>
      </c>
      <c r="G787" s="15" t="s">
        <v>28</v>
      </c>
      <c r="H787" s="25"/>
      <c r="I787" s="151">
        <v>5495.84</v>
      </c>
      <c r="J787" s="151">
        <v>1160</v>
      </c>
      <c r="K787" s="153">
        <f>Tabela4[[#This Row],[PECAS]]+Tabela4[[#This Row],[SERVICOS]]</f>
        <v>6655.84</v>
      </c>
      <c r="L787" s="151">
        <v>0</v>
      </c>
      <c r="M787" s="151">
        <v>0</v>
      </c>
      <c r="N787" s="24"/>
      <c r="O787" s="151">
        <v>0</v>
      </c>
      <c r="P787" s="151">
        <v>0</v>
      </c>
      <c r="Q787" s="151">
        <v>0</v>
      </c>
      <c r="R787" s="151">
        <v>0</v>
      </c>
      <c r="S787" s="154">
        <v>0</v>
      </c>
      <c r="T787" s="151">
        <v>0</v>
      </c>
      <c r="U787" s="151">
        <v>0</v>
      </c>
      <c r="V787" s="15"/>
      <c r="W787" s="22">
        <v>0</v>
      </c>
      <c r="X787" s="149">
        <v>0</v>
      </c>
      <c r="Y787" s="15"/>
      <c r="Z787" s="151">
        <v>0</v>
      </c>
      <c r="AA787" s="149">
        <f>Tabela4[[#This Row],[VALOR]]-Tabela4[[#This Row],[PNEUS]]-Tabela4[[#This Row],[BATERIA]]</f>
        <v>6655.84</v>
      </c>
      <c r="AB787" s="19" t="s">
        <v>34</v>
      </c>
      <c r="AC787" s="30">
        <v>0</v>
      </c>
      <c r="AD787" s="162">
        <v>0</v>
      </c>
      <c r="AE787" s="162">
        <v>0</v>
      </c>
      <c r="AF787" s="162">
        <v>0</v>
      </c>
      <c r="AG787" s="162">
        <v>0</v>
      </c>
      <c r="AH787" s="162">
        <v>0</v>
      </c>
      <c r="AI787" s="162">
        <v>0</v>
      </c>
      <c r="AJ787" s="162">
        <v>0</v>
      </c>
    </row>
    <row r="788" spans="1:36" x14ac:dyDescent="0.25">
      <c r="A788" s="15" t="s">
        <v>1266</v>
      </c>
      <c r="B788" s="25" t="s">
        <v>1267</v>
      </c>
      <c r="C788" s="141">
        <v>45427</v>
      </c>
      <c r="D788" s="141">
        <v>45437</v>
      </c>
      <c r="E788">
        <f>Tabela4[[#This Row],[DATA FATURAMENTO]]-Tabela4[[#This Row],[DATA ORÇAMENTO]]</f>
        <v>10</v>
      </c>
      <c r="F788" s="15">
        <v>11495</v>
      </c>
      <c r="G788" s="15" t="s">
        <v>37</v>
      </c>
      <c r="H788" s="25"/>
      <c r="I788" s="151">
        <v>466.04</v>
      </c>
      <c r="J788" s="151">
        <v>169</v>
      </c>
      <c r="K788" s="153">
        <f>Tabela4[[#This Row],[PECAS]]+Tabela4[[#This Row],[SERVICOS]]</f>
        <v>635.04</v>
      </c>
      <c r="L788" s="151">
        <v>0</v>
      </c>
      <c r="M788" s="151">
        <v>0</v>
      </c>
      <c r="N788" s="24"/>
      <c r="O788" s="151">
        <v>0</v>
      </c>
      <c r="P788" s="151">
        <v>0</v>
      </c>
      <c r="Q788" s="151">
        <v>0</v>
      </c>
      <c r="R788" s="151">
        <v>0</v>
      </c>
      <c r="S788" s="154">
        <v>0</v>
      </c>
      <c r="T788" s="151">
        <v>0</v>
      </c>
      <c r="U788" s="151">
        <v>0</v>
      </c>
      <c r="V788" s="15"/>
      <c r="W788" s="22">
        <v>0</v>
      </c>
      <c r="X788" s="149">
        <v>0</v>
      </c>
      <c r="Y788" s="15"/>
      <c r="Z788" s="151">
        <v>0</v>
      </c>
      <c r="AA788" s="149">
        <f>Tabela4[[#This Row],[VALOR]]-Tabela4[[#This Row],[PNEUS]]-Tabela4[[#This Row],[BATERIA]]</f>
        <v>635.04</v>
      </c>
      <c r="AB788" s="19" t="s">
        <v>36</v>
      </c>
      <c r="AC788" s="30">
        <v>0</v>
      </c>
      <c r="AD788" s="162">
        <v>0</v>
      </c>
      <c r="AE788" s="162">
        <v>0</v>
      </c>
      <c r="AF788" s="162">
        <v>0</v>
      </c>
      <c r="AG788" s="162">
        <v>0</v>
      </c>
      <c r="AH788" s="162">
        <v>0</v>
      </c>
      <c r="AI788" s="162">
        <v>0</v>
      </c>
      <c r="AJ788" s="162">
        <v>0</v>
      </c>
    </row>
    <row r="789" spans="1:36" x14ac:dyDescent="0.25">
      <c r="A789" s="15" t="s">
        <v>1268</v>
      </c>
      <c r="B789" s="25" t="s">
        <v>1269</v>
      </c>
      <c r="C789" s="141">
        <v>45432</v>
      </c>
      <c r="D789" s="141">
        <v>45437</v>
      </c>
      <c r="E789">
        <f>Tabela4[[#This Row],[DATA FATURAMENTO]]-Tabela4[[#This Row],[DATA ORÇAMENTO]]</f>
        <v>5</v>
      </c>
      <c r="F789" s="15">
        <v>11541</v>
      </c>
      <c r="G789" s="15" t="s">
        <v>6</v>
      </c>
      <c r="H789" s="25"/>
      <c r="I789" s="151">
        <v>799.7</v>
      </c>
      <c r="J789" s="151">
        <v>0.01</v>
      </c>
      <c r="K789" s="153">
        <f>Tabela4[[#This Row],[PECAS]]+Tabela4[[#This Row],[SERVICOS]]</f>
        <v>799.71</v>
      </c>
      <c r="L789" s="151">
        <v>0</v>
      </c>
      <c r="M789" s="151">
        <v>0</v>
      </c>
      <c r="N789" s="24"/>
      <c r="O789" s="151">
        <v>0</v>
      </c>
      <c r="P789" s="151">
        <v>0</v>
      </c>
      <c r="Q789" s="151">
        <v>0</v>
      </c>
      <c r="R789" s="151">
        <v>0</v>
      </c>
      <c r="S789" s="154">
        <v>0</v>
      </c>
      <c r="T789" s="151">
        <v>0</v>
      </c>
      <c r="U789" s="151">
        <v>799.71</v>
      </c>
      <c r="V789" s="15" t="s">
        <v>808</v>
      </c>
      <c r="W789" s="22">
        <v>0</v>
      </c>
      <c r="X789" s="149">
        <v>0</v>
      </c>
      <c r="Y789" s="15"/>
      <c r="Z789" s="151">
        <v>0</v>
      </c>
      <c r="AA789" s="149">
        <f>Tabela4[[#This Row],[VALOR]]-Tabela4[[#This Row],[PNEUS]]-Tabela4[[#This Row],[BATERIA]]</f>
        <v>0</v>
      </c>
      <c r="AB789" s="19" t="s">
        <v>6</v>
      </c>
      <c r="AC789" s="30">
        <v>0</v>
      </c>
      <c r="AD789" s="162">
        <v>0</v>
      </c>
      <c r="AE789" s="162">
        <v>0</v>
      </c>
      <c r="AF789" s="162">
        <v>0</v>
      </c>
      <c r="AG789" s="162">
        <v>0</v>
      </c>
      <c r="AH789" s="162">
        <v>0</v>
      </c>
      <c r="AI789" s="162">
        <v>0</v>
      </c>
      <c r="AJ789" s="162">
        <v>0</v>
      </c>
    </row>
    <row r="790" spans="1:36" x14ac:dyDescent="0.25">
      <c r="A790" s="15" t="s">
        <v>1270</v>
      </c>
      <c r="B790" s="25" t="s">
        <v>960</v>
      </c>
      <c r="C790" s="141">
        <v>45433</v>
      </c>
      <c r="D790" s="141">
        <v>45437</v>
      </c>
      <c r="E790">
        <f>Tabela4[[#This Row],[DATA FATURAMENTO]]-Tabela4[[#This Row],[DATA ORÇAMENTO]]</f>
        <v>4</v>
      </c>
      <c r="F790" s="15">
        <v>11552</v>
      </c>
      <c r="G790" s="15" t="s">
        <v>25</v>
      </c>
      <c r="H790" s="25"/>
      <c r="I790" s="151">
        <v>45.01</v>
      </c>
      <c r="J790" s="151">
        <v>79.989999999999995</v>
      </c>
      <c r="K790" s="153">
        <f>Tabela4[[#This Row],[PECAS]]+Tabela4[[#This Row],[SERVICOS]]</f>
        <v>125</v>
      </c>
      <c r="L790" s="151">
        <v>0</v>
      </c>
      <c r="M790" s="151">
        <v>0</v>
      </c>
      <c r="N790" s="24"/>
      <c r="O790" s="151">
        <v>0</v>
      </c>
      <c r="P790" s="151">
        <v>0</v>
      </c>
      <c r="Q790" s="151">
        <v>0</v>
      </c>
      <c r="R790" s="151">
        <v>0</v>
      </c>
      <c r="S790" s="154">
        <v>0</v>
      </c>
      <c r="T790" s="151">
        <v>0</v>
      </c>
      <c r="U790" s="151">
        <v>0</v>
      </c>
      <c r="V790" s="15"/>
      <c r="W790" s="22">
        <v>0</v>
      </c>
      <c r="X790" s="149">
        <v>0</v>
      </c>
      <c r="Y790" s="15"/>
      <c r="Z790" s="151">
        <v>0</v>
      </c>
      <c r="AA790" s="149">
        <f>Tabela4[[#This Row],[VALOR]]-Tabela4[[#This Row],[PNEUS]]-Tabela4[[#This Row],[BATERIA]]</f>
        <v>125</v>
      </c>
      <c r="AB790" s="19" t="s">
        <v>38</v>
      </c>
      <c r="AC790" s="30">
        <v>0</v>
      </c>
      <c r="AD790" s="162">
        <v>0</v>
      </c>
      <c r="AE790" s="162">
        <v>0</v>
      </c>
      <c r="AF790" s="162">
        <v>0</v>
      </c>
      <c r="AG790" s="162">
        <v>0</v>
      </c>
      <c r="AH790" s="162">
        <v>0</v>
      </c>
      <c r="AI790" s="162">
        <v>0</v>
      </c>
      <c r="AJ790" s="162">
        <v>0</v>
      </c>
    </row>
    <row r="791" spans="1:36" x14ac:dyDescent="0.25">
      <c r="A791" s="15" t="s">
        <v>1164</v>
      </c>
      <c r="B791" s="25" t="s">
        <v>1271</v>
      </c>
      <c r="C791" s="141">
        <v>45437</v>
      </c>
      <c r="D791" s="141">
        <v>45437</v>
      </c>
      <c r="E791">
        <f>Tabela4[[#This Row],[DATA FATURAMENTO]]-Tabela4[[#This Row],[DATA ORÇAMENTO]]</f>
        <v>0</v>
      </c>
      <c r="F791" s="15">
        <v>11594</v>
      </c>
      <c r="G791" s="15" t="s">
        <v>22</v>
      </c>
      <c r="H791" s="25"/>
      <c r="I791" s="151">
        <v>20</v>
      </c>
      <c r="J791" s="151">
        <v>200.01</v>
      </c>
      <c r="K791" s="153">
        <f>Tabela4[[#This Row],[PECAS]]+Tabela4[[#This Row],[SERVICOS]]</f>
        <v>220.01</v>
      </c>
      <c r="L791" s="151">
        <v>0</v>
      </c>
      <c r="M791" s="151">
        <v>0</v>
      </c>
      <c r="N791" s="24"/>
      <c r="O791" s="151">
        <v>0</v>
      </c>
      <c r="P791" s="151">
        <v>0</v>
      </c>
      <c r="Q791" s="151">
        <v>0</v>
      </c>
      <c r="R791" s="151">
        <v>0</v>
      </c>
      <c r="S791" s="154">
        <v>0</v>
      </c>
      <c r="T791" s="151">
        <v>0</v>
      </c>
      <c r="U791" s="151">
        <v>0</v>
      </c>
      <c r="V791" s="15"/>
      <c r="W791" s="22">
        <v>0</v>
      </c>
      <c r="X791" s="149">
        <v>0</v>
      </c>
      <c r="Y791" s="15"/>
      <c r="Z791" s="151">
        <v>0</v>
      </c>
      <c r="AA791" s="149">
        <f>Tabela4[[#This Row],[VALOR]]-Tabela4[[#This Row],[PNEUS]]-Tabela4[[#This Row],[BATERIA]]</f>
        <v>220.01</v>
      </c>
      <c r="AB791" s="19" t="s">
        <v>36</v>
      </c>
      <c r="AC791" s="30">
        <v>0</v>
      </c>
      <c r="AD791" s="162">
        <v>0</v>
      </c>
      <c r="AE791" s="162">
        <v>0</v>
      </c>
      <c r="AF791" s="162">
        <v>0</v>
      </c>
      <c r="AG791" s="162">
        <v>0</v>
      </c>
      <c r="AH791" s="162">
        <v>0</v>
      </c>
      <c r="AI791" s="162">
        <v>0</v>
      </c>
      <c r="AJ791" s="162">
        <v>0</v>
      </c>
    </row>
    <row r="792" spans="1:36" x14ac:dyDescent="0.25">
      <c r="A792" s="15" t="s">
        <v>1272</v>
      </c>
      <c r="B792" s="25" t="s">
        <v>1273</v>
      </c>
      <c r="C792" s="141">
        <v>45437</v>
      </c>
      <c r="D792" s="141">
        <v>45437</v>
      </c>
      <c r="E792">
        <f>Tabela4[[#This Row],[DATA FATURAMENTO]]-Tabela4[[#This Row],[DATA ORÇAMENTO]]</f>
        <v>0</v>
      </c>
      <c r="F792" s="15">
        <v>11595</v>
      </c>
      <c r="G792" s="15" t="s">
        <v>35</v>
      </c>
      <c r="H792" s="25"/>
      <c r="I792" s="151">
        <v>0</v>
      </c>
      <c r="J792" s="151">
        <v>165</v>
      </c>
      <c r="K792" s="153">
        <f>Tabela4[[#This Row],[PECAS]]+Tabela4[[#This Row],[SERVICOS]]</f>
        <v>165</v>
      </c>
      <c r="L792" s="151">
        <v>0</v>
      </c>
      <c r="M792" s="151">
        <v>0</v>
      </c>
      <c r="N792" s="24"/>
      <c r="O792" s="151">
        <v>0</v>
      </c>
      <c r="P792" s="151">
        <v>0</v>
      </c>
      <c r="Q792" s="151">
        <v>0</v>
      </c>
      <c r="R792" s="151">
        <v>0</v>
      </c>
      <c r="S792" s="154">
        <v>0</v>
      </c>
      <c r="T792" s="151">
        <v>0</v>
      </c>
      <c r="U792" s="151">
        <v>0</v>
      </c>
      <c r="V792" s="15"/>
      <c r="W792" s="22">
        <v>0</v>
      </c>
      <c r="X792" s="149">
        <v>0</v>
      </c>
      <c r="Y792" s="15"/>
      <c r="Z792" s="151">
        <v>0</v>
      </c>
      <c r="AA792" s="149">
        <f>Tabela4[[#This Row],[VALOR]]-Tabela4[[#This Row],[PNEUS]]-Tabela4[[#This Row],[BATERIA]]</f>
        <v>165</v>
      </c>
      <c r="AB792" s="19" t="s">
        <v>27</v>
      </c>
      <c r="AC792" s="30">
        <v>0</v>
      </c>
      <c r="AD792" s="162">
        <v>0</v>
      </c>
      <c r="AE792" s="162">
        <v>0</v>
      </c>
      <c r="AF792" s="162">
        <v>0</v>
      </c>
      <c r="AG792" s="162">
        <v>0</v>
      </c>
      <c r="AH792" s="162">
        <v>0</v>
      </c>
      <c r="AI792" s="162">
        <v>0</v>
      </c>
      <c r="AJ792" s="162">
        <v>0</v>
      </c>
    </row>
    <row r="793" spans="1:36" x14ac:dyDescent="0.25">
      <c r="A793" s="15" t="s">
        <v>1274</v>
      </c>
      <c r="B793" s="25" t="s">
        <v>1275</v>
      </c>
      <c r="C793" s="141">
        <v>45437</v>
      </c>
      <c r="D793" s="141">
        <v>45437</v>
      </c>
      <c r="E793">
        <f>Tabela4[[#This Row],[DATA FATURAMENTO]]-Tabela4[[#This Row],[DATA ORÇAMENTO]]</f>
        <v>0</v>
      </c>
      <c r="F793" s="15">
        <v>11598</v>
      </c>
      <c r="G793" s="15" t="s">
        <v>31</v>
      </c>
      <c r="H793" s="25"/>
      <c r="I793" s="151">
        <v>45</v>
      </c>
      <c r="J793" s="151">
        <v>0</v>
      </c>
      <c r="K793" s="153">
        <f>Tabela4[[#This Row],[PECAS]]+Tabela4[[#This Row],[SERVICOS]]</f>
        <v>45</v>
      </c>
      <c r="L793" s="151">
        <v>0</v>
      </c>
      <c r="M793" s="151">
        <v>0</v>
      </c>
      <c r="N793" s="24"/>
      <c r="O793" s="151">
        <v>0</v>
      </c>
      <c r="P793" s="151">
        <v>0</v>
      </c>
      <c r="Q793" s="151">
        <v>0</v>
      </c>
      <c r="R793" s="151">
        <v>0</v>
      </c>
      <c r="S793" s="154">
        <v>0</v>
      </c>
      <c r="T793" s="151">
        <v>0</v>
      </c>
      <c r="U793" s="151">
        <v>0</v>
      </c>
      <c r="V793" s="15"/>
      <c r="W793" s="22">
        <v>0</v>
      </c>
      <c r="X793" s="149">
        <v>0</v>
      </c>
      <c r="Y793" s="15"/>
      <c r="Z793" s="151">
        <v>0</v>
      </c>
      <c r="AA793" s="149">
        <f>Tabela4[[#This Row],[VALOR]]-Tabela4[[#This Row],[PNEUS]]-Tabela4[[#This Row],[BATERIA]]</f>
        <v>45</v>
      </c>
      <c r="AB793" s="19" t="s">
        <v>27</v>
      </c>
      <c r="AC793" s="30">
        <v>0</v>
      </c>
      <c r="AD793" s="162">
        <v>0</v>
      </c>
      <c r="AE793" s="162">
        <v>0</v>
      </c>
      <c r="AF793" s="162">
        <v>0</v>
      </c>
      <c r="AG793" s="162">
        <v>0</v>
      </c>
      <c r="AH793" s="162">
        <v>0</v>
      </c>
      <c r="AI793" s="162">
        <v>0</v>
      </c>
      <c r="AJ793" s="162">
        <v>0</v>
      </c>
    </row>
    <row r="794" spans="1:36" x14ac:dyDescent="0.25">
      <c r="A794" s="15" t="s">
        <v>1206</v>
      </c>
      <c r="B794" s="25" t="s">
        <v>1276</v>
      </c>
      <c r="C794" s="141">
        <v>45435</v>
      </c>
      <c r="D794" s="141">
        <v>45439</v>
      </c>
      <c r="E794">
        <f>Tabela4[[#This Row],[DATA FATURAMENTO]]-Tabela4[[#This Row],[DATA ORÇAMENTO]]</f>
        <v>4</v>
      </c>
      <c r="F794" s="15">
        <v>11573</v>
      </c>
      <c r="G794" s="15" t="s">
        <v>22</v>
      </c>
      <c r="H794" s="25"/>
      <c r="I794" s="151">
        <v>1050</v>
      </c>
      <c r="J794" s="151">
        <v>150</v>
      </c>
      <c r="K794" s="153">
        <f>Tabela4[[#This Row],[PECAS]]+Tabela4[[#This Row],[SERVICOS]]</f>
        <v>1200</v>
      </c>
      <c r="L794" s="151">
        <v>0</v>
      </c>
      <c r="M794" s="151">
        <v>0</v>
      </c>
      <c r="N794" s="24"/>
      <c r="O794" s="151">
        <v>0</v>
      </c>
      <c r="P794" s="151">
        <v>0</v>
      </c>
      <c r="Q794" s="151">
        <v>0</v>
      </c>
      <c r="R794" s="151">
        <v>0</v>
      </c>
      <c r="S794" s="154">
        <v>0</v>
      </c>
      <c r="T794" s="151">
        <v>0</v>
      </c>
      <c r="U794" s="151">
        <v>0</v>
      </c>
      <c r="V794" s="15"/>
      <c r="W794" s="22">
        <v>0</v>
      </c>
      <c r="X794" s="149">
        <v>0</v>
      </c>
      <c r="Y794" s="15"/>
      <c r="Z794" s="151">
        <v>0</v>
      </c>
      <c r="AA794" s="149">
        <f>Tabela4[[#This Row],[VALOR]]-Tabela4[[#This Row],[PNEUS]]-Tabela4[[#This Row],[BATERIA]]</f>
        <v>1200</v>
      </c>
      <c r="AB794" s="19" t="s">
        <v>34</v>
      </c>
      <c r="AC794" s="30">
        <v>0</v>
      </c>
      <c r="AD794" s="162">
        <v>0</v>
      </c>
      <c r="AE794" s="162">
        <v>0</v>
      </c>
      <c r="AF794" s="162">
        <v>0</v>
      </c>
      <c r="AG794" s="162">
        <v>0</v>
      </c>
      <c r="AH794" s="162">
        <v>0</v>
      </c>
      <c r="AI794" s="162">
        <v>0</v>
      </c>
      <c r="AJ794" s="162">
        <v>0</v>
      </c>
    </row>
    <row r="795" spans="1:36" x14ac:dyDescent="0.25">
      <c r="A795" s="15" t="s">
        <v>1277</v>
      </c>
      <c r="B795" s="25" t="s">
        <v>1019</v>
      </c>
      <c r="C795" s="141">
        <v>45439</v>
      </c>
      <c r="D795" s="141">
        <v>45439</v>
      </c>
      <c r="E795">
        <f>Tabela4[[#This Row],[DATA FATURAMENTO]]-Tabela4[[#This Row],[DATA ORÇAMENTO]]</f>
        <v>0</v>
      </c>
      <c r="F795" s="15">
        <v>11599</v>
      </c>
      <c r="G795" s="15" t="s">
        <v>22</v>
      </c>
      <c r="H795" s="25"/>
      <c r="I795" s="151">
        <v>440</v>
      </c>
      <c r="J795" s="151">
        <v>170</v>
      </c>
      <c r="K795" s="153">
        <f>Tabela4[[#This Row],[PECAS]]+Tabela4[[#This Row],[SERVICOS]]</f>
        <v>610</v>
      </c>
      <c r="L795" s="151">
        <v>0</v>
      </c>
      <c r="M795" s="151">
        <v>0</v>
      </c>
      <c r="N795" s="24"/>
      <c r="O795" s="151">
        <v>0</v>
      </c>
      <c r="P795" s="151">
        <v>0</v>
      </c>
      <c r="Q795" s="151">
        <v>0</v>
      </c>
      <c r="R795" s="151">
        <v>0</v>
      </c>
      <c r="S795" s="154">
        <v>48</v>
      </c>
      <c r="T795" s="151">
        <v>0</v>
      </c>
      <c r="U795" s="151">
        <v>0</v>
      </c>
      <c r="V795" s="15"/>
      <c r="W795" s="22">
        <v>0</v>
      </c>
      <c r="X795" s="149">
        <v>0</v>
      </c>
      <c r="Y795" s="15"/>
      <c r="Z795" s="151">
        <v>218</v>
      </c>
      <c r="AA795" s="149">
        <f>Tabela4[[#This Row],[VALOR]]-Tabela4[[#This Row],[PNEUS]]-Tabela4[[#This Row],[BATERIA]]</f>
        <v>610</v>
      </c>
      <c r="AB795" s="19" t="s">
        <v>27</v>
      </c>
      <c r="AC795" s="30">
        <v>0</v>
      </c>
      <c r="AD795" s="162">
        <v>0</v>
      </c>
      <c r="AE795" s="162">
        <v>0</v>
      </c>
      <c r="AF795" s="162">
        <v>0</v>
      </c>
      <c r="AG795" s="162">
        <v>0</v>
      </c>
      <c r="AH795" s="162">
        <v>0</v>
      </c>
      <c r="AI795" s="162">
        <v>0</v>
      </c>
      <c r="AJ795" s="162">
        <v>0</v>
      </c>
    </row>
    <row r="796" spans="1:36" x14ac:dyDescent="0.25">
      <c r="A796" s="15" t="s">
        <v>1278</v>
      </c>
      <c r="B796" s="25" t="s">
        <v>1279</v>
      </c>
      <c r="C796" s="141">
        <v>45439</v>
      </c>
      <c r="D796" s="141">
        <v>45439</v>
      </c>
      <c r="E796">
        <f>Tabela4[[#This Row],[DATA FATURAMENTO]]-Tabela4[[#This Row],[DATA ORÇAMENTO]]</f>
        <v>0</v>
      </c>
      <c r="F796" s="15">
        <v>11600</v>
      </c>
      <c r="G796" s="15" t="s">
        <v>22</v>
      </c>
      <c r="H796" s="25"/>
      <c r="I796" s="151">
        <v>0</v>
      </c>
      <c r="J796" s="151">
        <v>324.72000000000003</v>
      </c>
      <c r="K796" s="153">
        <f>Tabela4[[#This Row],[PECAS]]+Tabela4[[#This Row],[SERVICOS]]</f>
        <v>324.72000000000003</v>
      </c>
      <c r="L796" s="151">
        <v>0</v>
      </c>
      <c r="M796" s="151">
        <v>0</v>
      </c>
      <c r="N796" s="24"/>
      <c r="O796" s="151">
        <v>0</v>
      </c>
      <c r="P796" s="151">
        <v>0</v>
      </c>
      <c r="Q796" s="151">
        <v>0</v>
      </c>
      <c r="R796" s="151">
        <v>0</v>
      </c>
      <c r="S796" s="154">
        <v>0</v>
      </c>
      <c r="T796" s="151">
        <v>0</v>
      </c>
      <c r="U796" s="151">
        <v>0</v>
      </c>
      <c r="V796" s="15"/>
      <c r="W796" s="22">
        <v>0</v>
      </c>
      <c r="X796" s="149">
        <v>0</v>
      </c>
      <c r="Y796" s="15"/>
      <c r="Z796" s="151">
        <v>0</v>
      </c>
      <c r="AA796" s="149">
        <f>Tabela4[[#This Row],[VALOR]]-Tabela4[[#This Row],[PNEUS]]-Tabela4[[#This Row],[BATERIA]]</f>
        <v>324.72000000000003</v>
      </c>
      <c r="AB796" s="19" t="s">
        <v>27</v>
      </c>
      <c r="AC796" s="30">
        <v>0</v>
      </c>
      <c r="AD796" s="162">
        <v>0</v>
      </c>
      <c r="AE796" s="162">
        <v>0</v>
      </c>
      <c r="AF796" s="162">
        <v>0</v>
      </c>
      <c r="AG796" s="162">
        <v>0</v>
      </c>
      <c r="AH796" s="162">
        <v>0</v>
      </c>
      <c r="AI796" s="162">
        <v>0</v>
      </c>
      <c r="AJ796" s="162">
        <v>0</v>
      </c>
    </row>
    <row r="797" spans="1:36" x14ac:dyDescent="0.25">
      <c r="A797" s="15" t="s">
        <v>1280</v>
      </c>
      <c r="B797" s="25" t="s">
        <v>1281</v>
      </c>
      <c r="C797" s="141">
        <v>45439</v>
      </c>
      <c r="D797" s="141">
        <v>45439</v>
      </c>
      <c r="E797">
        <f>Tabela4[[#This Row],[DATA FATURAMENTO]]-Tabela4[[#This Row],[DATA ORÇAMENTO]]</f>
        <v>0</v>
      </c>
      <c r="F797" s="15">
        <v>11605</v>
      </c>
      <c r="G797" s="15" t="s">
        <v>6</v>
      </c>
      <c r="H797" s="25"/>
      <c r="I797" s="151">
        <v>530</v>
      </c>
      <c r="J797" s="151">
        <v>0</v>
      </c>
      <c r="K797" s="153">
        <f>Tabela4[[#This Row],[PECAS]]+Tabela4[[#This Row],[SERVICOS]]</f>
        <v>530</v>
      </c>
      <c r="L797" s="151">
        <v>0</v>
      </c>
      <c r="M797" s="151">
        <v>0</v>
      </c>
      <c r="N797" s="24"/>
      <c r="O797" s="151"/>
      <c r="P797" s="151">
        <v>0</v>
      </c>
      <c r="Q797" s="151">
        <v>0</v>
      </c>
      <c r="R797" s="151">
        <v>0</v>
      </c>
      <c r="S797" s="154">
        <v>0</v>
      </c>
      <c r="T797" s="151">
        <v>0</v>
      </c>
      <c r="U797" s="151">
        <v>530</v>
      </c>
      <c r="V797" s="15" t="s">
        <v>684</v>
      </c>
      <c r="W797" s="22">
        <v>0</v>
      </c>
      <c r="X797" s="149">
        <v>0</v>
      </c>
      <c r="Y797" s="15"/>
      <c r="Z797" s="151">
        <v>0</v>
      </c>
      <c r="AA797" s="149">
        <f>Tabela4[[#This Row],[VALOR]]-Tabela4[[#This Row],[PNEUS]]-Tabela4[[#This Row],[BATERIA]]</f>
        <v>0</v>
      </c>
      <c r="AB797" s="19" t="s">
        <v>6</v>
      </c>
      <c r="AC797" s="30">
        <v>0</v>
      </c>
      <c r="AD797" s="162">
        <v>0</v>
      </c>
      <c r="AE797" s="162">
        <v>0</v>
      </c>
      <c r="AF797" s="162">
        <v>0</v>
      </c>
      <c r="AG797" s="162">
        <v>0</v>
      </c>
      <c r="AH797" s="162">
        <v>0</v>
      </c>
      <c r="AI797" s="162">
        <v>0</v>
      </c>
      <c r="AJ797" s="162">
        <v>0</v>
      </c>
    </row>
    <row r="798" spans="1:36" x14ac:dyDescent="0.25">
      <c r="A798" s="15" t="s">
        <v>1282</v>
      </c>
      <c r="B798" s="25" t="s">
        <v>989</v>
      </c>
      <c r="C798" s="141">
        <v>45439</v>
      </c>
      <c r="D798" s="141">
        <v>45439</v>
      </c>
      <c r="E798">
        <f>Tabela4[[#This Row],[DATA FATURAMENTO]]-Tabela4[[#This Row],[DATA ORÇAMENTO]]</f>
        <v>0</v>
      </c>
      <c r="F798" s="15">
        <v>11611</v>
      </c>
      <c r="G798" s="15" t="s">
        <v>25</v>
      </c>
      <c r="H798" s="25"/>
      <c r="I798" s="151">
        <v>455.61</v>
      </c>
      <c r="J798" s="151">
        <v>426.99</v>
      </c>
      <c r="K798" s="153">
        <f>Tabela4[[#This Row],[PECAS]]+Tabela4[[#This Row],[SERVICOS]]</f>
        <v>882.6</v>
      </c>
      <c r="L798" s="151">
        <v>0</v>
      </c>
      <c r="M798" s="151">
        <v>21.95</v>
      </c>
      <c r="N798" s="24"/>
      <c r="O798" s="151">
        <v>0</v>
      </c>
      <c r="P798" s="151">
        <f>105+6.4</f>
        <v>111.4</v>
      </c>
      <c r="Q798" s="151">
        <v>0</v>
      </c>
      <c r="R798" s="151">
        <v>0</v>
      </c>
      <c r="S798" s="154">
        <v>69.900000000000006</v>
      </c>
      <c r="T798" s="151">
        <v>0</v>
      </c>
      <c r="U798" s="151">
        <v>0</v>
      </c>
      <c r="V798" s="15"/>
      <c r="W798" s="22">
        <v>4</v>
      </c>
      <c r="X798" s="149">
        <v>0</v>
      </c>
      <c r="Y798" s="15" t="s">
        <v>654</v>
      </c>
      <c r="Z798" s="151">
        <v>0</v>
      </c>
      <c r="AA798" s="149">
        <f>Tabela4[[#This Row],[VALOR]]-Tabela4[[#This Row],[PNEUS]]-Tabela4[[#This Row],[BATERIA]]</f>
        <v>882.6</v>
      </c>
      <c r="AB798" s="19" t="s">
        <v>36</v>
      </c>
      <c r="AC798" s="30">
        <v>0</v>
      </c>
      <c r="AD798" s="162">
        <v>0</v>
      </c>
      <c r="AE798" s="162">
        <v>0</v>
      </c>
      <c r="AF798" s="162">
        <v>0</v>
      </c>
      <c r="AG798" s="162">
        <v>0</v>
      </c>
      <c r="AH798" s="162">
        <v>0</v>
      </c>
      <c r="AI798" s="162">
        <v>0</v>
      </c>
      <c r="AJ798" s="162">
        <v>0</v>
      </c>
    </row>
    <row r="799" spans="1:36" x14ac:dyDescent="0.25">
      <c r="A799" s="15" t="s">
        <v>405</v>
      </c>
      <c r="B799" s="25" t="s">
        <v>1283</v>
      </c>
      <c r="C799" s="141">
        <v>45436</v>
      </c>
      <c r="D799" s="141">
        <v>45440</v>
      </c>
      <c r="E799">
        <f>Tabela4[[#This Row],[DATA FATURAMENTO]]-Tabela4[[#This Row],[DATA ORÇAMENTO]]</f>
        <v>4</v>
      </c>
      <c r="F799" s="15">
        <v>11583</v>
      </c>
      <c r="G799" s="15" t="s">
        <v>25</v>
      </c>
      <c r="H799" s="25"/>
      <c r="I799" s="151">
        <v>560</v>
      </c>
      <c r="J799" s="151">
        <v>800</v>
      </c>
      <c r="K799" s="153">
        <f>Tabela4[[#This Row],[PECAS]]+Tabela4[[#This Row],[SERVICOS]]</f>
        <v>1360</v>
      </c>
      <c r="L799" s="151">
        <v>0</v>
      </c>
      <c r="M799" s="151">
        <v>0</v>
      </c>
      <c r="N799" s="24"/>
      <c r="O799" s="151">
        <v>0</v>
      </c>
      <c r="P799" s="151">
        <v>0</v>
      </c>
      <c r="Q799" s="151">
        <v>0</v>
      </c>
      <c r="R799" s="151">
        <v>0</v>
      </c>
      <c r="S799" s="154">
        <v>0</v>
      </c>
      <c r="T799" s="151">
        <v>0</v>
      </c>
      <c r="U799" s="151">
        <v>560</v>
      </c>
      <c r="V799" s="15" t="s">
        <v>1284</v>
      </c>
      <c r="W799" s="22">
        <v>0</v>
      </c>
      <c r="X799" s="149">
        <v>0</v>
      </c>
      <c r="Y799" s="15"/>
      <c r="Z799" s="151">
        <v>0</v>
      </c>
      <c r="AA799" s="149">
        <f>Tabela4[[#This Row],[VALOR]]-Tabela4[[#This Row],[PNEUS]]-Tabela4[[#This Row],[BATERIA]]</f>
        <v>800</v>
      </c>
      <c r="AB799" s="19" t="s">
        <v>34</v>
      </c>
      <c r="AC799" s="30">
        <v>0</v>
      </c>
      <c r="AD799" s="162">
        <v>0</v>
      </c>
      <c r="AE799" s="162">
        <v>0</v>
      </c>
      <c r="AF799" s="162">
        <v>0</v>
      </c>
      <c r="AG799" s="162">
        <v>0</v>
      </c>
      <c r="AH799" s="162">
        <v>0</v>
      </c>
      <c r="AI799" s="162">
        <v>0</v>
      </c>
      <c r="AJ799" s="162">
        <v>0</v>
      </c>
    </row>
    <row r="800" spans="1:36" x14ac:dyDescent="0.25">
      <c r="A800" s="15" t="s">
        <v>1285</v>
      </c>
      <c r="B800" s="25" t="s">
        <v>1260</v>
      </c>
      <c r="C800" s="141">
        <v>45437</v>
      </c>
      <c r="D800" s="141">
        <v>45440</v>
      </c>
      <c r="E800">
        <f>Tabela4[[#This Row],[DATA FATURAMENTO]]-Tabela4[[#This Row],[DATA ORÇAMENTO]]</f>
        <v>3</v>
      </c>
      <c r="F800" s="15">
        <v>11592</v>
      </c>
      <c r="G800" s="15" t="s">
        <v>22</v>
      </c>
      <c r="H800" s="25"/>
      <c r="I800" s="151">
        <v>1720</v>
      </c>
      <c r="J800" s="151">
        <v>480</v>
      </c>
      <c r="K800" s="153">
        <f>Tabela4[[#This Row],[PECAS]]+Tabela4[[#This Row],[SERVICOS]]</f>
        <v>2200</v>
      </c>
      <c r="L800" s="151">
        <v>0</v>
      </c>
      <c r="M800" s="151">
        <v>0</v>
      </c>
      <c r="N800" s="24"/>
      <c r="O800" s="151">
        <v>0</v>
      </c>
      <c r="P800" s="151">
        <v>0</v>
      </c>
      <c r="Q800" s="151">
        <v>0</v>
      </c>
      <c r="R800" s="151">
        <v>0</v>
      </c>
      <c r="S800" s="154">
        <v>0</v>
      </c>
      <c r="T800" s="151">
        <v>0</v>
      </c>
      <c r="U800" s="151">
        <v>0</v>
      </c>
      <c r="V800" s="15"/>
      <c r="W800" s="22">
        <v>0</v>
      </c>
      <c r="X800" s="149">
        <v>0</v>
      </c>
      <c r="Y800" s="15"/>
      <c r="Z800" s="151">
        <v>0</v>
      </c>
      <c r="AA800" s="149">
        <f>Tabela4[[#This Row],[VALOR]]-Tabela4[[#This Row],[PNEUS]]-Tabela4[[#This Row],[BATERIA]]</f>
        <v>2200</v>
      </c>
      <c r="AB800" s="19" t="s">
        <v>36</v>
      </c>
      <c r="AC800" s="30">
        <v>0</v>
      </c>
      <c r="AD800" s="162">
        <v>0</v>
      </c>
      <c r="AE800" s="162">
        <v>0</v>
      </c>
      <c r="AF800" s="162">
        <v>0</v>
      </c>
      <c r="AG800" s="162">
        <v>0</v>
      </c>
      <c r="AH800" s="162">
        <v>0</v>
      </c>
      <c r="AI800" s="162">
        <v>0</v>
      </c>
      <c r="AJ800" s="162">
        <v>0</v>
      </c>
    </row>
    <row r="801" spans="1:36" x14ac:dyDescent="0.25">
      <c r="A801" s="15" t="s">
        <v>1286</v>
      </c>
      <c r="B801" s="25" t="s">
        <v>868</v>
      </c>
      <c r="C801" s="141">
        <v>45439</v>
      </c>
      <c r="D801" s="141">
        <v>45440</v>
      </c>
      <c r="E801">
        <f>Tabela4[[#This Row],[DATA FATURAMENTO]]-Tabela4[[#This Row],[DATA ORÇAMENTO]]</f>
        <v>1</v>
      </c>
      <c r="F801" s="15">
        <v>11607</v>
      </c>
      <c r="G801" s="15" t="s">
        <v>6</v>
      </c>
      <c r="H801" s="25"/>
      <c r="I801" s="151">
        <v>535</v>
      </c>
      <c r="J801" s="151">
        <v>0.01</v>
      </c>
      <c r="K801" s="153">
        <f>Tabela4[[#This Row],[PECAS]]+Tabela4[[#This Row],[SERVICOS]]</f>
        <v>535.01</v>
      </c>
      <c r="L801" s="151">
        <v>0</v>
      </c>
      <c r="M801" s="151">
        <v>0</v>
      </c>
      <c r="N801" s="24"/>
      <c r="O801" s="151">
        <v>0</v>
      </c>
      <c r="P801" s="151">
        <v>0</v>
      </c>
      <c r="Q801" s="151">
        <v>0</v>
      </c>
      <c r="R801" s="151">
        <v>0</v>
      </c>
      <c r="S801" s="154">
        <v>0</v>
      </c>
      <c r="T801" s="151">
        <v>0</v>
      </c>
      <c r="U801" s="151">
        <v>535.01</v>
      </c>
      <c r="V801" s="15" t="s">
        <v>1287</v>
      </c>
      <c r="W801" s="22">
        <v>0</v>
      </c>
      <c r="X801" s="149">
        <v>0</v>
      </c>
      <c r="Y801" s="15"/>
      <c r="Z801" s="151">
        <v>0</v>
      </c>
      <c r="AA801" s="149">
        <f>Tabela4[[#This Row],[VALOR]]-Tabela4[[#This Row],[PNEUS]]-Tabela4[[#This Row],[BATERIA]]</f>
        <v>0</v>
      </c>
      <c r="AB801" s="19" t="s">
        <v>6</v>
      </c>
      <c r="AC801" s="30">
        <v>0</v>
      </c>
      <c r="AD801" s="162">
        <v>0</v>
      </c>
      <c r="AE801" s="162">
        <v>0</v>
      </c>
      <c r="AF801" s="162">
        <v>0</v>
      </c>
      <c r="AG801" s="162">
        <v>0</v>
      </c>
      <c r="AH801" s="162">
        <v>0</v>
      </c>
      <c r="AI801" s="162">
        <v>0</v>
      </c>
      <c r="AJ801" s="162">
        <v>0</v>
      </c>
    </row>
    <row r="802" spans="1:36" x14ac:dyDescent="0.25">
      <c r="A802" s="15" t="s">
        <v>1288</v>
      </c>
      <c r="B802" s="25" t="s">
        <v>984</v>
      </c>
      <c r="C802" s="141">
        <v>45440</v>
      </c>
      <c r="D802" s="141">
        <v>45440</v>
      </c>
      <c r="E802">
        <f>Tabela4[[#This Row],[DATA FATURAMENTO]]-Tabela4[[#This Row],[DATA ORÇAMENTO]]</f>
        <v>0</v>
      </c>
      <c r="F802" s="15">
        <v>11617</v>
      </c>
      <c r="G802" s="15" t="s">
        <v>22</v>
      </c>
      <c r="H802" s="25"/>
      <c r="I802" s="151">
        <v>420</v>
      </c>
      <c r="J802" s="151">
        <v>0</v>
      </c>
      <c r="K802" s="153">
        <f>Tabela4[[#This Row],[PECAS]]+Tabela4[[#This Row],[SERVICOS]]</f>
        <v>420</v>
      </c>
      <c r="L802" s="151">
        <v>0</v>
      </c>
      <c r="M802" s="151">
        <v>0</v>
      </c>
      <c r="N802" s="24"/>
      <c r="O802" s="151">
        <v>0</v>
      </c>
      <c r="P802" s="151">
        <v>0</v>
      </c>
      <c r="Q802" s="151">
        <v>0</v>
      </c>
      <c r="R802" s="151">
        <v>0</v>
      </c>
      <c r="S802" s="154">
        <v>0</v>
      </c>
      <c r="T802" s="151">
        <v>0</v>
      </c>
      <c r="U802" s="151">
        <v>0</v>
      </c>
      <c r="V802" s="15"/>
      <c r="W802" s="22">
        <v>0</v>
      </c>
      <c r="X802" s="149">
        <v>0</v>
      </c>
      <c r="Y802" s="15"/>
      <c r="Z802" s="151">
        <v>0</v>
      </c>
      <c r="AA802" s="149">
        <f>Tabela4[[#This Row],[VALOR]]-Tabela4[[#This Row],[PNEUS]]-Tabela4[[#This Row],[BATERIA]]</f>
        <v>420</v>
      </c>
      <c r="AB802" s="19" t="s">
        <v>24</v>
      </c>
      <c r="AC802" s="30">
        <v>0</v>
      </c>
      <c r="AD802" s="162">
        <v>0</v>
      </c>
      <c r="AE802" s="162">
        <v>0</v>
      </c>
      <c r="AF802" s="162">
        <v>0</v>
      </c>
      <c r="AG802" s="162">
        <v>0</v>
      </c>
      <c r="AH802" s="162">
        <v>0</v>
      </c>
      <c r="AI802" s="162">
        <v>0</v>
      </c>
      <c r="AJ802" s="162">
        <v>0</v>
      </c>
    </row>
    <row r="803" spans="1:36" x14ac:dyDescent="0.25">
      <c r="A803" s="15" t="s">
        <v>1289</v>
      </c>
      <c r="B803" s="25" t="s">
        <v>875</v>
      </c>
      <c r="C803" s="141">
        <v>45439</v>
      </c>
      <c r="D803" s="141">
        <v>45440</v>
      </c>
      <c r="E803">
        <f>Tabela4[[#This Row],[DATA FATURAMENTO]]-Tabela4[[#This Row],[DATA ORÇAMENTO]]</f>
        <v>1</v>
      </c>
      <c r="F803" s="15">
        <v>11614</v>
      </c>
      <c r="G803" s="15" t="s">
        <v>25</v>
      </c>
      <c r="H803" s="25"/>
      <c r="I803" s="151">
        <v>759.77</v>
      </c>
      <c r="J803" s="151">
        <v>337.16</v>
      </c>
      <c r="K803" s="153">
        <f>Tabela4[[#This Row],[PECAS]]+Tabela4[[#This Row],[SERVICOS]]</f>
        <v>1096.93</v>
      </c>
      <c r="L803" s="151">
        <v>0</v>
      </c>
      <c r="M803" s="151">
        <v>0</v>
      </c>
      <c r="N803" s="24"/>
      <c r="O803" s="151">
        <v>0</v>
      </c>
      <c r="P803" s="151">
        <v>0</v>
      </c>
      <c r="Q803" s="151">
        <v>0</v>
      </c>
      <c r="R803" s="151">
        <v>0</v>
      </c>
      <c r="S803" s="154">
        <v>0</v>
      </c>
      <c r="T803" s="151">
        <v>41.87</v>
      </c>
      <c r="U803" s="151">
        <v>0</v>
      </c>
      <c r="V803" s="15"/>
      <c r="W803" s="22">
        <v>0</v>
      </c>
      <c r="X803" s="149">
        <v>0</v>
      </c>
      <c r="Y803" s="15"/>
      <c r="Z803" s="151">
        <v>0</v>
      </c>
      <c r="AA803" s="149">
        <f>Tabela4[[#This Row],[VALOR]]-Tabela4[[#This Row],[PNEUS]]-Tabela4[[#This Row],[BATERIA]]</f>
        <v>1055.0600000000002</v>
      </c>
      <c r="AB803" s="19" t="s">
        <v>27</v>
      </c>
      <c r="AC803" s="30">
        <v>0</v>
      </c>
      <c r="AD803" s="162">
        <v>0</v>
      </c>
      <c r="AE803" s="162">
        <v>0</v>
      </c>
      <c r="AF803" s="162">
        <v>0</v>
      </c>
      <c r="AG803" s="162">
        <v>0</v>
      </c>
      <c r="AH803" s="162">
        <v>0</v>
      </c>
      <c r="AI803" s="162">
        <v>0</v>
      </c>
      <c r="AJ803" s="162">
        <v>0</v>
      </c>
    </row>
    <row r="804" spans="1:36" x14ac:dyDescent="0.25">
      <c r="A804" s="15" t="s">
        <v>140</v>
      </c>
      <c r="B804" s="25" t="s">
        <v>1070</v>
      </c>
      <c r="C804" s="141">
        <v>45440</v>
      </c>
      <c r="D804" s="141">
        <v>45440</v>
      </c>
      <c r="E804">
        <f>Tabela4[[#This Row],[DATA FATURAMENTO]]-Tabela4[[#This Row],[DATA ORÇAMENTO]]</f>
        <v>0</v>
      </c>
      <c r="F804" s="15">
        <v>11615</v>
      </c>
      <c r="G804" s="15" t="s">
        <v>22</v>
      </c>
      <c r="H804" s="25"/>
      <c r="I804" s="151">
        <v>776.9</v>
      </c>
      <c r="J804" s="151">
        <v>591.36</v>
      </c>
      <c r="K804" s="153">
        <f>Tabela4[[#This Row],[PECAS]]+Tabela4[[#This Row],[SERVICOS]]</f>
        <v>1368.26</v>
      </c>
      <c r="L804" s="151">
        <v>0</v>
      </c>
      <c r="M804" s="151">
        <v>0</v>
      </c>
      <c r="N804" s="24"/>
      <c r="O804" s="151">
        <v>0</v>
      </c>
      <c r="P804" s="151">
        <v>0</v>
      </c>
      <c r="Q804" s="151">
        <v>0</v>
      </c>
      <c r="R804" s="151">
        <v>0</v>
      </c>
      <c r="S804" s="154">
        <v>0</v>
      </c>
      <c r="T804" s="151">
        <v>0</v>
      </c>
      <c r="U804" s="151">
        <v>0</v>
      </c>
      <c r="V804" s="15"/>
      <c r="W804" s="22">
        <v>0</v>
      </c>
      <c r="X804" s="149">
        <v>0</v>
      </c>
      <c r="Y804" s="15"/>
      <c r="Z804" s="151">
        <v>0</v>
      </c>
      <c r="AA804" s="149">
        <f>Tabela4[[#This Row],[VALOR]]-Tabela4[[#This Row],[PNEUS]]-Tabela4[[#This Row],[BATERIA]]</f>
        <v>1368.26</v>
      </c>
      <c r="AB804" s="19" t="s">
        <v>27</v>
      </c>
      <c r="AC804" s="30">
        <v>0</v>
      </c>
      <c r="AD804" s="162">
        <v>0</v>
      </c>
      <c r="AE804" s="162">
        <v>0</v>
      </c>
      <c r="AF804" s="162">
        <v>0</v>
      </c>
      <c r="AG804" s="162">
        <v>0</v>
      </c>
      <c r="AH804" s="162">
        <v>0</v>
      </c>
      <c r="AI804" s="162">
        <v>0</v>
      </c>
      <c r="AJ804" s="162">
        <v>0</v>
      </c>
    </row>
    <row r="805" spans="1:36" x14ac:dyDescent="0.25">
      <c r="A805" s="15" t="s">
        <v>1290</v>
      </c>
      <c r="B805" s="25" t="s">
        <v>1291</v>
      </c>
      <c r="C805" s="141">
        <v>45440</v>
      </c>
      <c r="D805" s="141">
        <v>45440</v>
      </c>
      <c r="E805">
        <f>Tabela4[[#This Row],[DATA FATURAMENTO]]-Tabela4[[#This Row],[DATA ORÇAMENTO]]</f>
        <v>0</v>
      </c>
      <c r="F805" s="15">
        <v>11619</v>
      </c>
      <c r="G805" s="15" t="s">
        <v>31</v>
      </c>
      <c r="H805" s="25"/>
      <c r="I805" s="151">
        <v>260</v>
      </c>
      <c r="J805" s="151">
        <v>0</v>
      </c>
      <c r="K805" s="153">
        <f>Tabela4[[#This Row],[PECAS]]+Tabela4[[#This Row],[SERVICOS]]</f>
        <v>260</v>
      </c>
      <c r="L805" s="151">
        <v>0</v>
      </c>
      <c r="M805" s="151">
        <v>0</v>
      </c>
      <c r="N805" s="24"/>
      <c r="O805" s="151">
        <v>0</v>
      </c>
      <c r="P805" s="151">
        <v>0</v>
      </c>
      <c r="Q805" s="151">
        <v>0</v>
      </c>
      <c r="R805" s="151">
        <v>0</v>
      </c>
      <c r="S805" s="154">
        <v>0</v>
      </c>
      <c r="T805" s="151">
        <v>0</v>
      </c>
      <c r="U805" s="151">
        <v>0</v>
      </c>
      <c r="V805" s="15"/>
      <c r="W805" s="22">
        <v>4</v>
      </c>
      <c r="X805" s="149">
        <v>0</v>
      </c>
      <c r="Y805" s="15" t="s">
        <v>1292</v>
      </c>
      <c r="Z805" s="151">
        <v>0</v>
      </c>
      <c r="AA805" s="149">
        <f>Tabela4[[#This Row],[VALOR]]-Tabela4[[#This Row],[PNEUS]]-Tabela4[[#This Row],[BATERIA]]</f>
        <v>260</v>
      </c>
      <c r="AB805" s="19" t="s">
        <v>34</v>
      </c>
      <c r="AC805" s="30">
        <v>0</v>
      </c>
      <c r="AD805" s="162">
        <v>0</v>
      </c>
      <c r="AE805" s="162">
        <v>0</v>
      </c>
      <c r="AF805" s="162">
        <v>0</v>
      </c>
      <c r="AG805" s="162">
        <v>0</v>
      </c>
      <c r="AH805" s="162">
        <v>0</v>
      </c>
      <c r="AI805" s="162">
        <v>0</v>
      </c>
      <c r="AJ805" s="162">
        <v>0</v>
      </c>
    </row>
    <row r="806" spans="1:36" x14ac:dyDescent="0.25">
      <c r="A806" s="15" t="s">
        <v>1293</v>
      </c>
      <c r="B806" s="25" t="s">
        <v>1291</v>
      </c>
      <c r="C806" s="141">
        <v>45440</v>
      </c>
      <c r="D806" s="141">
        <v>45440</v>
      </c>
      <c r="E806">
        <f>Tabela4[[#This Row],[DATA FATURAMENTO]]-Tabela4[[#This Row],[DATA ORÇAMENTO]]</f>
        <v>0</v>
      </c>
      <c r="F806" s="15">
        <v>11621</v>
      </c>
      <c r="G806" s="15" t="s">
        <v>31</v>
      </c>
      <c r="H806" s="25"/>
      <c r="I806" s="151">
        <v>0</v>
      </c>
      <c r="J806" s="151">
        <v>90</v>
      </c>
      <c r="K806" s="153">
        <f>Tabela4[[#This Row],[PECAS]]+Tabela4[[#This Row],[SERVICOS]]</f>
        <v>90</v>
      </c>
      <c r="L806" s="151">
        <v>0</v>
      </c>
      <c r="M806" s="151">
        <v>0</v>
      </c>
      <c r="N806" s="24"/>
      <c r="O806" s="151">
        <v>0</v>
      </c>
      <c r="P806" s="151">
        <v>0</v>
      </c>
      <c r="Q806" s="151">
        <v>0</v>
      </c>
      <c r="R806" s="151">
        <v>0</v>
      </c>
      <c r="S806" s="154">
        <v>0</v>
      </c>
      <c r="T806" s="151">
        <v>0</v>
      </c>
      <c r="U806" s="151">
        <v>0</v>
      </c>
      <c r="V806" s="15"/>
      <c r="W806" s="22">
        <v>0</v>
      </c>
      <c r="X806" s="149">
        <v>0</v>
      </c>
      <c r="Y806" s="15"/>
      <c r="Z806" s="151">
        <v>0</v>
      </c>
      <c r="AA806" s="149">
        <f>Tabela4[[#This Row],[VALOR]]-Tabela4[[#This Row],[PNEUS]]-Tabela4[[#This Row],[BATERIA]]</f>
        <v>90</v>
      </c>
      <c r="AB806" s="19" t="s">
        <v>27</v>
      </c>
      <c r="AC806" s="30">
        <v>0</v>
      </c>
      <c r="AD806" s="162">
        <v>0</v>
      </c>
      <c r="AE806" s="162">
        <v>0</v>
      </c>
      <c r="AF806" s="162">
        <v>0</v>
      </c>
      <c r="AG806" s="162">
        <v>0</v>
      </c>
      <c r="AH806" s="162">
        <v>0</v>
      </c>
      <c r="AI806" s="162">
        <v>0</v>
      </c>
      <c r="AJ806" s="162">
        <v>0</v>
      </c>
    </row>
    <row r="807" spans="1:36" x14ac:dyDescent="0.25">
      <c r="A807" s="15" t="s">
        <v>1294</v>
      </c>
      <c r="B807" s="25" t="s">
        <v>1295</v>
      </c>
      <c r="C807" s="141">
        <v>45440</v>
      </c>
      <c r="D807" s="141">
        <v>45440</v>
      </c>
      <c r="E807">
        <f>Tabela4[[#This Row],[DATA FATURAMENTO]]-Tabela4[[#This Row],[DATA ORÇAMENTO]]</f>
        <v>0</v>
      </c>
      <c r="F807" s="15">
        <v>11625</v>
      </c>
      <c r="G807" s="15" t="s">
        <v>22</v>
      </c>
      <c r="H807" s="25"/>
      <c r="I807" s="151">
        <v>25</v>
      </c>
      <c r="J807" s="151">
        <v>0</v>
      </c>
      <c r="K807" s="153">
        <f>Tabela4[[#This Row],[PECAS]]+Tabela4[[#This Row],[SERVICOS]]</f>
        <v>25</v>
      </c>
      <c r="L807" s="151">
        <v>0</v>
      </c>
      <c r="M807" s="151">
        <v>0</v>
      </c>
      <c r="N807" s="24"/>
      <c r="O807" s="151">
        <v>0</v>
      </c>
      <c r="P807" s="151">
        <v>0</v>
      </c>
      <c r="Q807" s="151">
        <v>0</v>
      </c>
      <c r="R807" s="151">
        <v>0</v>
      </c>
      <c r="S807" s="154">
        <v>0</v>
      </c>
      <c r="T807" s="151">
        <v>0</v>
      </c>
      <c r="U807" s="151">
        <v>0</v>
      </c>
      <c r="V807" s="15"/>
      <c r="W807" s="22">
        <v>0</v>
      </c>
      <c r="X807" s="149">
        <v>0</v>
      </c>
      <c r="Y807" s="15"/>
      <c r="Z807" s="151">
        <v>0</v>
      </c>
      <c r="AA807" s="149">
        <f>Tabela4[[#This Row],[VALOR]]-Tabela4[[#This Row],[PNEUS]]-Tabela4[[#This Row],[BATERIA]]</f>
        <v>25</v>
      </c>
      <c r="AB807" s="19" t="s">
        <v>38</v>
      </c>
      <c r="AC807" s="30">
        <v>0</v>
      </c>
      <c r="AD807" s="162">
        <v>0</v>
      </c>
      <c r="AE807" s="162">
        <v>0</v>
      </c>
      <c r="AF807" s="162">
        <v>0</v>
      </c>
      <c r="AG807" s="162">
        <v>0</v>
      </c>
      <c r="AH807" s="162">
        <v>0</v>
      </c>
      <c r="AI807" s="162">
        <v>0</v>
      </c>
      <c r="AJ807" s="162">
        <v>0</v>
      </c>
    </row>
    <row r="808" spans="1:36" x14ac:dyDescent="0.25">
      <c r="A808" s="15" t="s">
        <v>1296</v>
      </c>
      <c r="B808" s="25" t="s">
        <v>1297</v>
      </c>
      <c r="C808" s="141">
        <v>45441</v>
      </c>
      <c r="D808" s="141">
        <v>45441</v>
      </c>
      <c r="E808">
        <f>Tabela4[[#This Row],[DATA FATURAMENTO]]-Tabela4[[#This Row],[DATA ORÇAMENTO]]</f>
        <v>0</v>
      </c>
      <c r="F808" s="15">
        <v>11626</v>
      </c>
      <c r="G808" s="15" t="s">
        <v>22</v>
      </c>
      <c r="H808" s="25"/>
      <c r="I808" s="151">
        <v>0</v>
      </c>
      <c r="J808" s="151">
        <v>130</v>
      </c>
      <c r="K808" s="153">
        <f>Tabela4[[#This Row],[PECAS]]+Tabela4[[#This Row],[SERVICOS]]</f>
        <v>130</v>
      </c>
      <c r="L808" s="151">
        <v>0</v>
      </c>
      <c r="M808" s="151">
        <v>0</v>
      </c>
      <c r="N808" s="24"/>
      <c r="O808" s="151">
        <v>0</v>
      </c>
      <c r="P808" s="151">
        <v>0</v>
      </c>
      <c r="Q808" s="151">
        <v>0</v>
      </c>
      <c r="R808" s="151">
        <v>0</v>
      </c>
      <c r="S808" s="154">
        <v>0</v>
      </c>
      <c r="T808" s="154">
        <v>0</v>
      </c>
      <c r="U808" s="151">
        <v>0</v>
      </c>
      <c r="V808" s="15"/>
      <c r="W808" s="22">
        <v>0</v>
      </c>
      <c r="X808" s="149">
        <v>0</v>
      </c>
      <c r="Y808" s="15"/>
      <c r="Z808" s="151">
        <v>0</v>
      </c>
      <c r="AA808" s="149">
        <f>Tabela4[[#This Row],[VALOR]]-Tabela4[[#This Row],[PNEUS]]-Tabela4[[#This Row],[BATERIA]]</f>
        <v>130</v>
      </c>
      <c r="AB808" s="19" t="s">
        <v>27</v>
      </c>
      <c r="AC808" s="30">
        <v>0</v>
      </c>
      <c r="AD808" s="162">
        <v>0</v>
      </c>
      <c r="AE808" s="162">
        <v>0</v>
      </c>
      <c r="AF808" s="162">
        <v>0</v>
      </c>
      <c r="AG808" s="162">
        <v>0</v>
      </c>
      <c r="AH808" s="162">
        <v>0</v>
      </c>
      <c r="AI808" s="162">
        <v>0</v>
      </c>
      <c r="AJ808" s="162">
        <v>0</v>
      </c>
    </row>
    <row r="809" spans="1:36" x14ac:dyDescent="0.25">
      <c r="A809" s="15" t="s">
        <v>1298</v>
      </c>
      <c r="B809" s="25" t="s">
        <v>1269</v>
      </c>
      <c r="C809" s="141">
        <v>45441</v>
      </c>
      <c r="D809" s="141">
        <v>45441</v>
      </c>
      <c r="E809">
        <f>Tabela4[[#This Row],[DATA FATURAMENTO]]-Tabela4[[#This Row],[DATA ORÇAMENTO]]</f>
        <v>0</v>
      </c>
      <c r="F809" s="15">
        <v>11628</v>
      </c>
      <c r="G809" s="15" t="s">
        <v>6</v>
      </c>
      <c r="H809" s="25"/>
      <c r="I809" s="151">
        <v>799.7</v>
      </c>
      <c r="J809" s="151">
        <v>0</v>
      </c>
      <c r="K809" s="153">
        <f>Tabela4[[#This Row],[PECAS]]+Tabela4[[#This Row],[SERVICOS]]</f>
        <v>799.7</v>
      </c>
      <c r="L809" s="151">
        <v>0</v>
      </c>
      <c r="M809" s="151">
        <v>0</v>
      </c>
      <c r="N809" s="24"/>
      <c r="O809" s="151">
        <v>0</v>
      </c>
      <c r="P809" s="151">
        <v>0</v>
      </c>
      <c r="Q809" s="151">
        <v>0</v>
      </c>
      <c r="R809" s="151">
        <v>0</v>
      </c>
      <c r="S809" s="154">
        <v>0</v>
      </c>
      <c r="T809" s="151">
        <v>0</v>
      </c>
      <c r="U809" s="151">
        <v>799.7</v>
      </c>
      <c r="V809" s="15" t="s">
        <v>808</v>
      </c>
      <c r="W809" s="22">
        <v>0</v>
      </c>
      <c r="X809" s="149">
        <v>0</v>
      </c>
      <c r="Y809" s="15"/>
      <c r="Z809" s="151">
        <v>0</v>
      </c>
      <c r="AA809" s="149">
        <f>Tabela4[[#This Row],[VALOR]]-Tabela4[[#This Row],[PNEUS]]-Tabela4[[#This Row],[BATERIA]]</f>
        <v>0</v>
      </c>
      <c r="AB809" s="19" t="s">
        <v>6</v>
      </c>
      <c r="AC809" s="30">
        <v>0</v>
      </c>
      <c r="AD809" s="162">
        <v>0</v>
      </c>
      <c r="AE809" s="162">
        <v>0</v>
      </c>
      <c r="AF809" s="162">
        <v>0</v>
      </c>
      <c r="AG809" s="162">
        <v>0</v>
      </c>
      <c r="AH809" s="162">
        <v>0</v>
      </c>
      <c r="AI809" s="162">
        <v>0</v>
      </c>
      <c r="AJ809" s="162">
        <v>0</v>
      </c>
    </row>
    <row r="810" spans="1:36" x14ac:dyDescent="0.25">
      <c r="A810" s="15" t="s">
        <v>1299</v>
      </c>
      <c r="B810" s="25" t="s">
        <v>996</v>
      </c>
      <c r="C810" s="141">
        <v>45441</v>
      </c>
      <c r="D810" s="141">
        <v>45441</v>
      </c>
      <c r="E810">
        <f>Tabela4[[#This Row],[DATA FATURAMENTO]]-Tabela4[[#This Row],[DATA ORÇAMENTO]]</f>
        <v>0</v>
      </c>
      <c r="F810" s="15">
        <v>11629</v>
      </c>
      <c r="G810" s="15" t="s">
        <v>22</v>
      </c>
      <c r="H810" s="25"/>
      <c r="I810" s="151">
        <v>1100</v>
      </c>
      <c r="J810" s="151">
        <v>0</v>
      </c>
      <c r="K810" s="153">
        <f>Tabela4[[#This Row],[PECAS]]+Tabela4[[#This Row],[SERVICOS]]</f>
        <v>1100</v>
      </c>
      <c r="L810" s="151">
        <v>0</v>
      </c>
      <c r="M810" s="151">
        <v>0</v>
      </c>
      <c r="N810" s="24"/>
      <c r="O810" s="151">
        <v>0</v>
      </c>
      <c r="P810" s="151">
        <v>0</v>
      </c>
      <c r="Q810" s="151">
        <v>0</v>
      </c>
      <c r="R810" s="151">
        <v>0</v>
      </c>
      <c r="S810" s="154">
        <v>0</v>
      </c>
      <c r="T810" s="151">
        <v>0</v>
      </c>
      <c r="U810" s="151">
        <v>0</v>
      </c>
      <c r="V810" s="15"/>
      <c r="W810" s="22">
        <v>0</v>
      </c>
      <c r="X810" s="149">
        <v>0</v>
      </c>
      <c r="Y810" s="15"/>
      <c r="Z810" s="151">
        <v>0</v>
      </c>
      <c r="AA810" s="149">
        <f>Tabela4[[#This Row],[VALOR]]-Tabela4[[#This Row],[PNEUS]]-Tabela4[[#This Row],[BATERIA]]</f>
        <v>1100</v>
      </c>
      <c r="AB810" s="19" t="s">
        <v>24</v>
      </c>
      <c r="AC810" s="30">
        <v>0</v>
      </c>
      <c r="AD810" s="162">
        <v>0</v>
      </c>
      <c r="AE810" s="162">
        <v>0</v>
      </c>
      <c r="AF810" s="162">
        <v>0</v>
      </c>
      <c r="AG810" s="162">
        <v>0</v>
      </c>
      <c r="AH810" s="162">
        <v>0</v>
      </c>
      <c r="AI810" s="162">
        <v>0</v>
      </c>
      <c r="AJ810" s="162">
        <v>0</v>
      </c>
    </row>
    <row r="811" spans="1:36" x14ac:dyDescent="0.25">
      <c r="A811" s="15" t="s">
        <v>1300</v>
      </c>
      <c r="B811" s="25" t="s">
        <v>1260</v>
      </c>
      <c r="C811" s="141">
        <v>45441</v>
      </c>
      <c r="D811" s="141">
        <v>45441</v>
      </c>
      <c r="E811">
        <f>Tabela4[[#This Row],[DATA FATURAMENTO]]-Tabela4[[#This Row],[DATA ORÇAMENTO]]</f>
        <v>0</v>
      </c>
      <c r="F811" s="15">
        <v>11633</v>
      </c>
      <c r="G811" s="15" t="s">
        <v>31</v>
      </c>
      <c r="H811" s="25"/>
      <c r="I811" s="151">
        <v>0</v>
      </c>
      <c r="J811" s="151">
        <v>35</v>
      </c>
      <c r="K811" s="153">
        <f>Tabela4[[#This Row],[PECAS]]+Tabela4[[#This Row],[SERVICOS]]</f>
        <v>35</v>
      </c>
      <c r="L811" s="151">
        <v>0</v>
      </c>
      <c r="M811" s="151">
        <v>0</v>
      </c>
      <c r="N811" s="24"/>
      <c r="O811" s="151">
        <v>0</v>
      </c>
      <c r="P811" s="151">
        <v>0</v>
      </c>
      <c r="Q811" s="151">
        <v>0</v>
      </c>
      <c r="R811" s="151">
        <v>0</v>
      </c>
      <c r="S811" s="154">
        <v>0</v>
      </c>
      <c r="T811" s="151">
        <v>0</v>
      </c>
      <c r="U811" s="151">
        <v>0</v>
      </c>
      <c r="V811" s="15"/>
      <c r="W811" s="22">
        <v>0</v>
      </c>
      <c r="X811" s="149">
        <v>0</v>
      </c>
      <c r="Y811" s="15"/>
      <c r="Z811" s="151">
        <v>0</v>
      </c>
      <c r="AA811" s="149">
        <f>Tabela4[[#This Row],[VALOR]]-Tabela4[[#This Row],[PNEUS]]-Tabela4[[#This Row],[BATERIA]]</f>
        <v>35</v>
      </c>
      <c r="AB811" s="19" t="s">
        <v>38</v>
      </c>
      <c r="AC811" s="30">
        <v>0</v>
      </c>
      <c r="AD811" s="162">
        <v>0</v>
      </c>
      <c r="AE811" s="162">
        <v>0</v>
      </c>
      <c r="AF811" s="162">
        <v>0</v>
      </c>
      <c r="AG811" s="162">
        <v>0</v>
      </c>
      <c r="AH811" s="162">
        <v>0</v>
      </c>
      <c r="AI811" s="162">
        <v>0</v>
      </c>
      <c r="AJ811" s="162">
        <v>0</v>
      </c>
    </row>
    <row r="812" spans="1:36" x14ac:dyDescent="0.25">
      <c r="A812" s="15" t="s">
        <v>1301</v>
      </c>
      <c r="B812" s="25" t="s">
        <v>1302</v>
      </c>
      <c r="C812" s="141">
        <v>45441</v>
      </c>
      <c r="D812" s="141">
        <v>45441</v>
      </c>
      <c r="E812">
        <f>Tabela4[[#This Row],[DATA FATURAMENTO]]-Tabela4[[#This Row],[DATA ORÇAMENTO]]</f>
        <v>0</v>
      </c>
      <c r="F812" s="15">
        <v>11634</v>
      </c>
      <c r="G812" s="15" t="s">
        <v>35</v>
      </c>
      <c r="H812" s="25"/>
      <c r="I812" s="151">
        <v>15</v>
      </c>
      <c r="J812" s="151">
        <v>0</v>
      </c>
      <c r="K812" s="153">
        <f>Tabela4[[#This Row],[PECAS]]+Tabela4[[#This Row],[SERVICOS]]</f>
        <v>15</v>
      </c>
      <c r="L812" s="151">
        <v>0</v>
      </c>
      <c r="M812" s="151">
        <v>0</v>
      </c>
      <c r="N812" s="24"/>
      <c r="O812" s="151">
        <v>0</v>
      </c>
      <c r="P812" s="151">
        <v>0</v>
      </c>
      <c r="Q812" s="151">
        <v>0</v>
      </c>
      <c r="R812" s="151">
        <v>0</v>
      </c>
      <c r="S812" s="154">
        <v>0</v>
      </c>
      <c r="T812" s="151">
        <v>0</v>
      </c>
      <c r="U812" s="151">
        <v>0</v>
      </c>
      <c r="V812" s="15"/>
      <c r="W812" s="22">
        <v>0</v>
      </c>
      <c r="X812" s="149">
        <v>0</v>
      </c>
      <c r="Y812" s="15"/>
      <c r="Z812" s="151">
        <v>0</v>
      </c>
      <c r="AA812" s="149">
        <f>Tabela4[[#This Row],[VALOR]]-Tabela4[[#This Row],[PNEUS]]-Tabela4[[#This Row],[BATERIA]]</f>
        <v>15</v>
      </c>
      <c r="AB812" s="19" t="s">
        <v>38</v>
      </c>
      <c r="AC812" s="30">
        <v>0</v>
      </c>
      <c r="AD812" s="162">
        <v>0</v>
      </c>
      <c r="AE812" s="162">
        <v>0</v>
      </c>
      <c r="AF812" s="162">
        <v>0</v>
      </c>
      <c r="AG812" s="162">
        <v>0</v>
      </c>
      <c r="AH812" s="162">
        <v>0</v>
      </c>
      <c r="AI812" s="162">
        <v>0</v>
      </c>
      <c r="AJ812" s="162">
        <v>0</v>
      </c>
    </row>
    <row r="813" spans="1:36" x14ac:dyDescent="0.25">
      <c r="A813" s="15" t="s">
        <v>1303</v>
      </c>
      <c r="B813" s="25" t="s">
        <v>1260</v>
      </c>
      <c r="C813" s="141">
        <v>45441</v>
      </c>
      <c r="D813" s="141">
        <v>45441</v>
      </c>
      <c r="E813">
        <f>Tabela4[[#This Row],[DATA FATURAMENTO]]-Tabela4[[#This Row],[DATA ORÇAMENTO]]</f>
        <v>0</v>
      </c>
      <c r="F813" s="15">
        <v>11635</v>
      </c>
      <c r="G813" s="15" t="s">
        <v>22</v>
      </c>
      <c r="H813" s="25"/>
      <c r="I813" s="151">
        <v>954.4</v>
      </c>
      <c r="J813" s="151">
        <v>634.22</v>
      </c>
      <c r="K813" s="153">
        <f>Tabela4[[#This Row],[PECAS]]+Tabela4[[#This Row],[SERVICOS]]</f>
        <v>1588.62</v>
      </c>
      <c r="L813" s="151">
        <v>0</v>
      </c>
      <c r="M813" s="151">
        <v>0</v>
      </c>
      <c r="N813" s="24"/>
      <c r="O813" s="151">
        <v>220</v>
      </c>
      <c r="P813" s="151">
        <v>0</v>
      </c>
      <c r="Q813" s="151">
        <v>160</v>
      </c>
      <c r="R813" s="151">
        <v>0</v>
      </c>
      <c r="S813" s="154">
        <v>133.11000000000001</v>
      </c>
      <c r="T813" s="151">
        <v>0</v>
      </c>
      <c r="U813" s="151">
        <v>0</v>
      </c>
      <c r="V813" s="15"/>
      <c r="W813" s="22">
        <v>4</v>
      </c>
      <c r="X813" s="149">
        <v>0</v>
      </c>
      <c r="Y813" s="15" t="s">
        <v>1304</v>
      </c>
      <c r="Z813" s="151">
        <v>0</v>
      </c>
      <c r="AA813" s="149">
        <f>Tabela4[[#This Row],[VALOR]]-Tabela4[[#This Row],[PNEUS]]-Tabela4[[#This Row],[BATERIA]]</f>
        <v>1588.62</v>
      </c>
      <c r="AB813" s="19" t="s">
        <v>27</v>
      </c>
      <c r="AC813" s="30">
        <v>0</v>
      </c>
      <c r="AD813" s="162">
        <v>0</v>
      </c>
      <c r="AE813" s="162">
        <v>0</v>
      </c>
      <c r="AF813" s="162">
        <v>0</v>
      </c>
      <c r="AG813" s="162">
        <v>0</v>
      </c>
      <c r="AH813" s="162">
        <v>0</v>
      </c>
      <c r="AI813" s="162">
        <v>0</v>
      </c>
      <c r="AJ813" s="162">
        <v>0</v>
      </c>
    </row>
    <row r="814" spans="1:36" x14ac:dyDescent="0.25">
      <c r="A814" s="15" t="s">
        <v>1305</v>
      </c>
      <c r="B814" s="25" t="s">
        <v>1306</v>
      </c>
      <c r="C814" s="141">
        <v>45415</v>
      </c>
      <c r="D814" s="141">
        <v>45443</v>
      </c>
      <c r="E814">
        <f>Tabela4[[#This Row],[DATA FATURAMENTO]]-Tabela4[[#This Row],[DATA ORÇAMENTO]]</f>
        <v>28</v>
      </c>
      <c r="F814" s="15">
        <v>11401</v>
      </c>
      <c r="G814" s="15" t="s">
        <v>316</v>
      </c>
      <c r="H814" s="25"/>
      <c r="I814" s="151">
        <v>0</v>
      </c>
      <c r="J814" s="151">
        <v>80</v>
      </c>
      <c r="K814" s="153">
        <f>Tabela4[[#This Row],[PECAS]]+Tabela4[[#This Row],[SERVICOS]]</f>
        <v>80</v>
      </c>
      <c r="L814" s="151">
        <v>0</v>
      </c>
      <c r="M814" s="151">
        <v>0</v>
      </c>
      <c r="N814" s="24"/>
      <c r="O814" s="151">
        <v>0</v>
      </c>
      <c r="P814" s="151">
        <v>0</v>
      </c>
      <c r="Q814" s="151">
        <v>0</v>
      </c>
      <c r="R814" s="151">
        <v>0</v>
      </c>
      <c r="S814" s="154">
        <v>0</v>
      </c>
      <c r="T814" s="151">
        <v>0</v>
      </c>
      <c r="U814" s="151">
        <v>0</v>
      </c>
      <c r="V814" s="15"/>
      <c r="W814" s="22">
        <v>0</v>
      </c>
      <c r="X814" s="149">
        <v>0</v>
      </c>
      <c r="Y814" s="15"/>
      <c r="Z814" s="151">
        <v>0</v>
      </c>
      <c r="AA814" s="149">
        <f>Tabela4[[#This Row],[VALOR]]-Tabela4[[#This Row],[PNEUS]]-Tabela4[[#This Row],[BATERIA]]</f>
        <v>80</v>
      </c>
      <c r="AB814" s="19" t="s">
        <v>34</v>
      </c>
      <c r="AC814" s="30">
        <v>0</v>
      </c>
      <c r="AD814" s="162">
        <v>0</v>
      </c>
      <c r="AE814" s="162">
        <v>0</v>
      </c>
      <c r="AF814" s="162">
        <v>0</v>
      </c>
      <c r="AG814" s="162">
        <v>0</v>
      </c>
      <c r="AH814" s="162">
        <v>0</v>
      </c>
      <c r="AI814" s="162">
        <v>0</v>
      </c>
      <c r="AJ814" s="162">
        <v>0</v>
      </c>
    </row>
    <row r="815" spans="1:36" x14ac:dyDescent="0.25">
      <c r="A815" s="15" t="s">
        <v>1307</v>
      </c>
      <c r="B815" s="25" t="s">
        <v>1308</v>
      </c>
      <c r="C815" s="141">
        <v>45418</v>
      </c>
      <c r="D815" s="141">
        <v>45443</v>
      </c>
      <c r="E815">
        <f>Tabela4[[#This Row],[DATA FATURAMENTO]]-Tabela4[[#This Row],[DATA ORÇAMENTO]]</f>
        <v>25</v>
      </c>
      <c r="F815" s="15">
        <v>11416</v>
      </c>
      <c r="G815" s="15" t="s">
        <v>316</v>
      </c>
      <c r="H815" s="25"/>
      <c r="I815" s="151">
        <v>0</v>
      </c>
      <c r="J815" s="151">
        <v>70</v>
      </c>
      <c r="K815" s="153">
        <f>Tabela4[[#This Row],[PECAS]]+Tabela4[[#This Row],[SERVICOS]]</f>
        <v>70</v>
      </c>
      <c r="L815" s="151">
        <v>0</v>
      </c>
      <c r="M815" s="151">
        <v>0</v>
      </c>
      <c r="N815" s="24"/>
      <c r="O815" s="151">
        <v>0</v>
      </c>
      <c r="P815" s="151">
        <v>0</v>
      </c>
      <c r="Q815" s="151">
        <v>0</v>
      </c>
      <c r="R815" s="151">
        <v>0</v>
      </c>
      <c r="S815" s="154">
        <v>0</v>
      </c>
      <c r="T815" s="151">
        <v>0</v>
      </c>
      <c r="U815" s="151">
        <v>0</v>
      </c>
      <c r="V815" s="15"/>
      <c r="W815" s="22">
        <v>0</v>
      </c>
      <c r="X815" s="149">
        <v>0</v>
      </c>
      <c r="Y815" s="15"/>
      <c r="Z815" s="151">
        <v>0</v>
      </c>
      <c r="AA815" s="149">
        <f>Tabela4[[#This Row],[VALOR]]-Tabela4[[#This Row],[PNEUS]]-Tabela4[[#This Row],[BATERIA]]</f>
        <v>70</v>
      </c>
      <c r="AB815" s="19" t="s">
        <v>34</v>
      </c>
      <c r="AC815" s="30">
        <v>0</v>
      </c>
      <c r="AD815" s="162">
        <v>0</v>
      </c>
      <c r="AE815" s="162">
        <v>0</v>
      </c>
      <c r="AF815" s="162">
        <v>0</v>
      </c>
      <c r="AG815" s="162">
        <v>0</v>
      </c>
      <c r="AH815" s="162">
        <v>0</v>
      </c>
      <c r="AI815" s="162">
        <v>0</v>
      </c>
      <c r="AJ815" s="162">
        <v>0</v>
      </c>
    </row>
    <row r="816" spans="1:36" x14ac:dyDescent="0.25">
      <c r="A816" s="15" t="s">
        <v>1239</v>
      </c>
      <c r="B816" s="25" t="s">
        <v>986</v>
      </c>
      <c r="C816" s="141">
        <v>45443</v>
      </c>
      <c r="D816" s="141">
        <v>45443</v>
      </c>
      <c r="E816">
        <f>Tabela4[[#This Row],[DATA FATURAMENTO]]-Tabela4[[#This Row],[DATA ORÇAMENTO]]</f>
        <v>0</v>
      </c>
      <c r="F816" s="15">
        <v>11656</v>
      </c>
      <c r="G816" s="15" t="s">
        <v>35</v>
      </c>
      <c r="H816" s="25"/>
      <c r="I816" s="151">
        <v>580</v>
      </c>
      <c r="J816" s="151">
        <v>220</v>
      </c>
      <c r="K816" s="153">
        <f>Tabela4[[#This Row],[PECAS]]+Tabela4[[#This Row],[SERVICOS]]</f>
        <v>800</v>
      </c>
      <c r="L816" s="151">
        <v>0</v>
      </c>
      <c r="M816" s="151">
        <v>0</v>
      </c>
      <c r="N816" s="24"/>
      <c r="O816" s="151">
        <v>0</v>
      </c>
      <c r="P816" s="151">
        <f>117.5+87</f>
        <v>204.5</v>
      </c>
      <c r="Q816" s="151">
        <v>0</v>
      </c>
      <c r="R816" s="151">
        <v>10</v>
      </c>
      <c r="S816" s="154">
        <v>0</v>
      </c>
      <c r="T816" s="151">
        <v>0</v>
      </c>
      <c r="U816" s="151">
        <v>0</v>
      </c>
      <c r="V816" s="15"/>
      <c r="W816" s="22">
        <v>0</v>
      </c>
      <c r="X816" s="149">
        <v>0</v>
      </c>
      <c r="Y816" s="15"/>
      <c r="Z816" s="151">
        <v>0</v>
      </c>
      <c r="AA816" s="149">
        <f>Tabela4[[#This Row],[VALOR]]-Tabela4[[#This Row],[PNEUS]]-Tabela4[[#This Row],[BATERIA]]</f>
        <v>800</v>
      </c>
      <c r="AB816" s="19" t="s">
        <v>27</v>
      </c>
      <c r="AC816" s="30">
        <v>0</v>
      </c>
      <c r="AD816" s="162">
        <v>0</v>
      </c>
      <c r="AE816" s="162">
        <v>0</v>
      </c>
      <c r="AF816" s="162">
        <v>0</v>
      </c>
      <c r="AG816" s="162">
        <v>0</v>
      </c>
      <c r="AH816" s="162">
        <v>0</v>
      </c>
      <c r="AI816" s="162">
        <v>0</v>
      </c>
      <c r="AJ816" s="162">
        <v>0</v>
      </c>
    </row>
    <row r="817" spans="1:36" x14ac:dyDescent="0.25">
      <c r="A817" s="15" t="s">
        <v>1309</v>
      </c>
      <c r="B817" s="25" t="s">
        <v>1310</v>
      </c>
      <c r="C817" s="141">
        <v>45435</v>
      </c>
      <c r="D817" s="141">
        <v>45443</v>
      </c>
      <c r="E817">
        <f>Tabela4[[#This Row],[DATA FATURAMENTO]]-Tabela4[[#This Row],[DATA ORÇAMENTO]]</f>
        <v>8</v>
      </c>
      <c r="F817" s="15">
        <v>11577</v>
      </c>
      <c r="G817" s="15" t="s">
        <v>6</v>
      </c>
      <c r="H817" s="25"/>
      <c r="I817" s="151">
        <v>511.5</v>
      </c>
      <c r="J817" s="151">
        <v>0.01</v>
      </c>
      <c r="K817" s="153">
        <f>Tabela4[[#This Row],[PECAS]]+Tabela4[[#This Row],[SERVICOS]]</f>
        <v>511.51</v>
      </c>
      <c r="L817" s="151">
        <v>0</v>
      </c>
      <c r="M817" s="151">
        <v>0</v>
      </c>
      <c r="N817" s="24"/>
      <c r="O817" s="151">
        <v>0</v>
      </c>
      <c r="P817" s="151">
        <v>0</v>
      </c>
      <c r="Q817" s="151">
        <v>0</v>
      </c>
      <c r="R817" s="151">
        <v>0</v>
      </c>
      <c r="S817" s="154">
        <v>0</v>
      </c>
      <c r="T817" s="151">
        <v>0</v>
      </c>
      <c r="U817" s="151">
        <v>511.51</v>
      </c>
      <c r="V817" s="15" t="s">
        <v>637</v>
      </c>
      <c r="W817" s="22">
        <v>0</v>
      </c>
      <c r="X817" s="149">
        <v>0</v>
      </c>
      <c r="Y817" s="15"/>
      <c r="Z817" s="151">
        <v>0</v>
      </c>
      <c r="AA817" s="149">
        <f>Tabela4[[#This Row],[VALOR]]-Tabela4[[#This Row],[PNEUS]]-Tabela4[[#This Row],[BATERIA]]</f>
        <v>0</v>
      </c>
      <c r="AB817" s="19" t="s">
        <v>6</v>
      </c>
      <c r="AC817" s="30">
        <v>0</v>
      </c>
      <c r="AD817" s="162">
        <v>0</v>
      </c>
      <c r="AE817" s="162">
        <v>0</v>
      </c>
      <c r="AF817" s="162">
        <v>0</v>
      </c>
      <c r="AG817" s="162">
        <v>0</v>
      </c>
      <c r="AH817" s="162">
        <v>0</v>
      </c>
      <c r="AI817" s="162">
        <v>0</v>
      </c>
      <c r="AJ817" s="162">
        <v>0</v>
      </c>
    </row>
    <row r="818" spans="1:36" x14ac:dyDescent="0.25">
      <c r="A818" s="15" t="s">
        <v>1311</v>
      </c>
      <c r="B818" s="25" t="s">
        <v>1312</v>
      </c>
      <c r="C818" s="141">
        <v>45436</v>
      </c>
      <c r="D818" s="141">
        <v>45443</v>
      </c>
      <c r="E818">
        <f>Tabela4[[#This Row],[DATA FATURAMENTO]]-Tabela4[[#This Row],[DATA ORÇAMENTO]]</f>
        <v>7</v>
      </c>
      <c r="F818" s="15">
        <v>11587</v>
      </c>
      <c r="G818" s="15" t="s">
        <v>6</v>
      </c>
      <c r="H818" s="25"/>
      <c r="I818" s="151">
        <v>535</v>
      </c>
      <c r="J818" s="151">
        <v>0.01</v>
      </c>
      <c r="K818" s="153">
        <f>Tabela4[[#This Row],[PECAS]]+Tabela4[[#This Row],[SERVICOS]]</f>
        <v>535.01</v>
      </c>
      <c r="L818" s="151">
        <v>0</v>
      </c>
      <c r="M818" s="151">
        <v>0</v>
      </c>
      <c r="N818" s="24"/>
      <c r="O818" s="151">
        <v>0</v>
      </c>
      <c r="P818" s="151">
        <v>0</v>
      </c>
      <c r="Q818" s="151">
        <v>0</v>
      </c>
      <c r="R818" s="151">
        <v>0</v>
      </c>
      <c r="S818" s="154">
        <v>0</v>
      </c>
      <c r="T818" s="151">
        <v>0</v>
      </c>
      <c r="U818" s="151">
        <v>535.01</v>
      </c>
      <c r="V818" s="15" t="s">
        <v>684</v>
      </c>
      <c r="W818" s="22">
        <v>0</v>
      </c>
      <c r="X818" s="149">
        <v>0</v>
      </c>
      <c r="Y818" s="15"/>
      <c r="Z818" s="151">
        <v>0</v>
      </c>
      <c r="AA818" s="149">
        <f>Tabela4[[#This Row],[VALOR]]-Tabela4[[#This Row],[PNEUS]]-Tabela4[[#This Row],[BATERIA]]</f>
        <v>0</v>
      </c>
      <c r="AB818" s="19" t="s">
        <v>6</v>
      </c>
      <c r="AC818" s="30">
        <v>0</v>
      </c>
      <c r="AD818" s="162">
        <v>0</v>
      </c>
      <c r="AE818" s="162">
        <v>0</v>
      </c>
      <c r="AF818" s="162">
        <v>0</v>
      </c>
      <c r="AG818" s="162">
        <v>0</v>
      </c>
      <c r="AH818" s="162">
        <v>0</v>
      </c>
      <c r="AI818" s="162">
        <v>0</v>
      </c>
      <c r="AJ818" s="162">
        <v>0</v>
      </c>
    </row>
    <row r="819" spans="1:36" x14ac:dyDescent="0.25">
      <c r="A819" s="15" t="s">
        <v>210</v>
      </c>
      <c r="B819" s="25" t="s">
        <v>891</v>
      </c>
      <c r="C819" s="141">
        <v>45439</v>
      </c>
      <c r="D819" s="141">
        <v>45439</v>
      </c>
      <c r="E819">
        <f>Tabela4[[#This Row],[DATA FATURAMENTO]]-Tabela4[[#This Row],[DATA ORÇAMENTO]]</f>
        <v>0</v>
      </c>
      <c r="F819" s="15">
        <v>11601</v>
      </c>
      <c r="G819" s="15" t="s">
        <v>39</v>
      </c>
      <c r="H819" s="25" t="s">
        <v>44</v>
      </c>
      <c r="I819" s="151">
        <v>30</v>
      </c>
      <c r="J819" s="151">
        <v>220</v>
      </c>
      <c r="K819" s="153">
        <f>Tabela4[[#This Row],[PECAS]]+Tabela4[[#This Row],[SERVICOS]]</f>
        <v>250</v>
      </c>
      <c r="L819" s="151">
        <v>0</v>
      </c>
      <c r="M819" s="151">
        <v>0</v>
      </c>
      <c r="N819" s="24"/>
      <c r="O819" s="151">
        <v>0</v>
      </c>
      <c r="P819" s="151">
        <v>0</v>
      </c>
      <c r="Q819" s="151">
        <v>0</v>
      </c>
      <c r="R819" s="151">
        <v>0</v>
      </c>
      <c r="S819" s="154">
        <v>0</v>
      </c>
      <c r="T819" s="151">
        <v>0</v>
      </c>
      <c r="U819" s="151">
        <v>0</v>
      </c>
      <c r="V819" s="15"/>
      <c r="W819" s="22">
        <v>0</v>
      </c>
      <c r="X819" s="149">
        <v>0</v>
      </c>
      <c r="Y819" s="15"/>
      <c r="Z819" s="151">
        <v>0</v>
      </c>
      <c r="AA819" s="149">
        <f>Tabela4[[#This Row],[VALOR]]-Tabela4[[#This Row],[PNEUS]]-Tabela4[[#This Row],[BATERIA]]</f>
        <v>250</v>
      </c>
      <c r="AB819" s="19" t="s">
        <v>24</v>
      </c>
      <c r="AC819" s="30">
        <v>0</v>
      </c>
      <c r="AD819" s="162">
        <v>0</v>
      </c>
      <c r="AE819" s="151">
        <v>220</v>
      </c>
      <c r="AF819" s="151">
        <v>0</v>
      </c>
      <c r="AG819" s="151">
        <v>0</v>
      </c>
      <c r="AH819" s="151">
        <v>0</v>
      </c>
      <c r="AI819" s="151">
        <v>0</v>
      </c>
      <c r="AJ819" s="151">
        <v>0</v>
      </c>
    </row>
    <row r="820" spans="1:36" x14ac:dyDescent="0.25">
      <c r="A820" s="15" t="s">
        <v>1313</v>
      </c>
      <c r="B820" s="25" t="s">
        <v>1314</v>
      </c>
      <c r="C820" s="141">
        <v>45439</v>
      </c>
      <c r="D820" s="141">
        <v>45443</v>
      </c>
      <c r="E820">
        <f>Tabela4[[#This Row],[DATA FATURAMENTO]]-Tabela4[[#This Row],[DATA ORÇAMENTO]]</f>
        <v>4</v>
      </c>
      <c r="F820" s="15">
        <v>11606</v>
      </c>
      <c r="G820" s="15" t="s">
        <v>25</v>
      </c>
      <c r="H820" s="25"/>
      <c r="I820" s="151">
        <v>3046.75</v>
      </c>
      <c r="J820" s="151">
        <v>1469.58</v>
      </c>
      <c r="K820" s="153">
        <f>Tabela4[[#This Row],[PECAS]]+Tabela4[[#This Row],[SERVICOS]]</f>
        <v>4516.33</v>
      </c>
      <c r="L820" s="151">
        <v>0</v>
      </c>
      <c r="M820" s="151">
        <v>0</v>
      </c>
      <c r="N820" s="24"/>
      <c r="O820" s="151">
        <f>150+19.4</f>
        <v>169.4</v>
      </c>
      <c r="P820" s="151">
        <v>0</v>
      </c>
      <c r="Q820" s="151">
        <v>0</v>
      </c>
      <c r="R820" s="151">
        <v>0</v>
      </c>
      <c r="S820" s="154">
        <v>0</v>
      </c>
      <c r="T820" s="151">
        <v>0</v>
      </c>
      <c r="U820" s="151">
        <v>0</v>
      </c>
      <c r="V820" s="15"/>
      <c r="W820" s="22">
        <v>0</v>
      </c>
      <c r="X820" s="149">
        <v>0</v>
      </c>
      <c r="Y820" s="15"/>
      <c r="Z820" s="151">
        <v>0</v>
      </c>
      <c r="AA820" s="149">
        <f>Tabela4[[#This Row],[VALOR]]-Tabela4[[#This Row],[PNEUS]]-Tabela4[[#This Row],[BATERIA]]</f>
        <v>4516.33</v>
      </c>
      <c r="AB820" s="19" t="s">
        <v>24</v>
      </c>
      <c r="AC820" s="30">
        <v>0</v>
      </c>
      <c r="AD820" s="151">
        <f>19.4+150</f>
        <v>169.4</v>
      </c>
      <c r="AE820" s="151">
        <f>190.4+461.15+736+131.4+85.56+80+98+88</f>
        <v>1870.51</v>
      </c>
      <c r="AF820" s="151">
        <v>0</v>
      </c>
      <c r="AG820" s="151">
        <v>0</v>
      </c>
      <c r="AH820" s="151">
        <v>0</v>
      </c>
      <c r="AI820" s="151">
        <v>0</v>
      </c>
      <c r="AJ820" s="151">
        <v>0</v>
      </c>
    </row>
    <row r="821" spans="1:36" x14ac:dyDescent="0.25">
      <c r="A821" s="15" t="s">
        <v>1315</v>
      </c>
      <c r="B821" s="25" t="s">
        <v>1316</v>
      </c>
      <c r="C821" s="141">
        <v>45443</v>
      </c>
      <c r="D821" s="141">
        <v>45443</v>
      </c>
      <c r="E821">
        <f>Tabela4[[#This Row],[DATA FATURAMENTO]]-Tabela4[[#This Row],[DATA ORÇAMENTO]]</f>
        <v>0</v>
      </c>
      <c r="F821" s="15">
        <v>11638</v>
      </c>
      <c r="G821" s="15" t="s">
        <v>35</v>
      </c>
      <c r="H821" s="25"/>
      <c r="I821" s="151">
        <v>70</v>
      </c>
      <c r="J821" s="151">
        <f>160+270</f>
        <v>430</v>
      </c>
      <c r="K821" s="153">
        <f>Tabela4[[#This Row],[PECAS]]+Tabela4[[#This Row],[SERVICOS]]</f>
        <v>500</v>
      </c>
      <c r="L821" s="151">
        <v>0</v>
      </c>
      <c r="M821" s="151">
        <v>0</v>
      </c>
      <c r="N821" s="24"/>
      <c r="O821" s="151">
        <v>0</v>
      </c>
      <c r="P821" s="151">
        <v>70</v>
      </c>
      <c r="Q821" s="151">
        <v>0</v>
      </c>
      <c r="R821" s="151">
        <v>0</v>
      </c>
      <c r="S821" s="154">
        <v>0</v>
      </c>
      <c r="T821" s="151">
        <v>0</v>
      </c>
      <c r="U821" s="151">
        <v>0</v>
      </c>
      <c r="V821" s="15"/>
      <c r="W821" s="22">
        <v>0</v>
      </c>
      <c r="X821" s="149">
        <v>0</v>
      </c>
      <c r="Y821" s="15"/>
      <c r="Z821" s="151">
        <v>0</v>
      </c>
      <c r="AA821" s="149">
        <f>Tabela4[[#This Row],[VALOR]]-Tabela4[[#This Row],[PNEUS]]-Tabela4[[#This Row],[BATERIA]]</f>
        <v>500</v>
      </c>
      <c r="AB821" s="19" t="s">
        <v>30</v>
      </c>
      <c r="AC821" s="19">
        <v>500</v>
      </c>
      <c r="AD821" s="162">
        <v>0</v>
      </c>
      <c r="AE821" s="151">
        <v>0</v>
      </c>
      <c r="AF821" s="151">
        <v>430</v>
      </c>
      <c r="AG821" s="162">
        <v>0</v>
      </c>
      <c r="AH821" s="162">
        <v>0</v>
      </c>
      <c r="AI821" s="162">
        <v>0</v>
      </c>
      <c r="AJ821" s="162">
        <v>0</v>
      </c>
    </row>
    <row r="822" spans="1:36" x14ac:dyDescent="0.25">
      <c r="A822" s="15" t="s">
        <v>1317</v>
      </c>
      <c r="B822" s="25" t="s">
        <v>948</v>
      </c>
      <c r="C822" s="141">
        <v>45443</v>
      </c>
      <c r="D822" s="141">
        <v>45443</v>
      </c>
      <c r="E822">
        <f>Tabela4[[#This Row],[DATA FATURAMENTO]]-Tabela4[[#This Row],[DATA ORÇAMENTO]]</f>
        <v>0</v>
      </c>
      <c r="F822" s="55" t="s">
        <v>1318</v>
      </c>
      <c r="G822" s="15" t="s">
        <v>39</v>
      </c>
      <c r="H822" s="25" t="s">
        <v>45</v>
      </c>
      <c r="I822" s="151">
        <v>510</v>
      </c>
      <c r="J822" s="151">
        <f>70+120.01</f>
        <v>190.01</v>
      </c>
      <c r="K822" s="153">
        <f>Tabela4[[#This Row],[PECAS]]+Tabela4[[#This Row],[SERVICOS]]</f>
        <v>700.01</v>
      </c>
      <c r="L822" s="151">
        <v>0</v>
      </c>
      <c r="M822" s="151">
        <v>0</v>
      </c>
      <c r="N822" s="24"/>
      <c r="O822" s="151">
        <v>0</v>
      </c>
      <c r="P822" s="151">
        <v>0</v>
      </c>
      <c r="Q822" s="151">
        <v>0</v>
      </c>
      <c r="R822" s="151">
        <v>0</v>
      </c>
      <c r="S822" s="154">
        <v>0</v>
      </c>
      <c r="T822" s="151">
        <v>0</v>
      </c>
      <c r="U822" s="151">
        <v>0</v>
      </c>
      <c r="V822" s="15"/>
      <c r="W822" s="22">
        <v>4</v>
      </c>
      <c r="X822" s="149">
        <v>235.2</v>
      </c>
      <c r="Y822" s="22" t="s">
        <v>635</v>
      </c>
      <c r="Z822" s="151">
        <v>0</v>
      </c>
      <c r="AA822" s="149">
        <f>Tabela4[[#This Row],[VALOR]]-Tabela4[[#This Row],[PNEUS]]-Tabela4[[#This Row],[BATERIA]]</f>
        <v>700.01</v>
      </c>
      <c r="AB822" s="19" t="s">
        <v>27</v>
      </c>
      <c r="AC822" s="30">
        <v>0</v>
      </c>
      <c r="AD822" s="162">
        <v>0</v>
      </c>
      <c r="AE822" s="151">
        <f>125+70</f>
        <v>195</v>
      </c>
      <c r="AF822" s="151">
        <v>0</v>
      </c>
      <c r="AG822" s="151">
        <v>0</v>
      </c>
      <c r="AH822" s="151">
        <v>0</v>
      </c>
      <c r="AI822" s="151">
        <v>0</v>
      </c>
      <c r="AJ822" s="151">
        <v>0</v>
      </c>
    </row>
    <row r="823" spans="1:36" x14ac:dyDescent="0.25">
      <c r="A823" s="15" t="s">
        <v>111</v>
      </c>
      <c r="B823" s="25" t="s">
        <v>876</v>
      </c>
      <c r="C823" s="141">
        <v>45443</v>
      </c>
      <c r="D823" s="141">
        <v>45443</v>
      </c>
      <c r="E823">
        <f>Tabela4[[#This Row],[DATA FATURAMENTO]]-Tabela4[[#This Row],[DATA ORÇAMENTO]]</f>
        <v>0</v>
      </c>
      <c r="F823" s="15">
        <v>11646</v>
      </c>
      <c r="G823" s="15" t="s">
        <v>22</v>
      </c>
      <c r="H823" s="25"/>
      <c r="I823" s="151">
        <v>111</v>
      </c>
      <c r="J823" s="151">
        <v>88</v>
      </c>
      <c r="K823" s="153">
        <f>Tabela4[[#This Row],[PECAS]]+Tabela4[[#This Row],[SERVICOS]]</f>
        <v>199</v>
      </c>
      <c r="L823" s="151">
        <v>0</v>
      </c>
      <c r="M823" s="151">
        <v>0</v>
      </c>
      <c r="N823" s="24"/>
      <c r="O823" s="151">
        <v>0</v>
      </c>
      <c r="P823" s="151">
        <v>0</v>
      </c>
      <c r="Q823" s="151">
        <v>0</v>
      </c>
      <c r="R823" s="151">
        <v>0</v>
      </c>
      <c r="S823" s="154">
        <v>0</v>
      </c>
      <c r="T823" s="151">
        <v>0</v>
      </c>
      <c r="U823" s="151">
        <v>0</v>
      </c>
      <c r="V823" s="15"/>
      <c r="W823" s="22">
        <v>0</v>
      </c>
      <c r="X823" s="149">
        <v>0</v>
      </c>
      <c r="Y823" s="15"/>
      <c r="Z823" s="151">
        <v>0</v>
      </c>
      <c r="AA823" s="149">
        <f>Tabela4[[#This Row],[VALOR]]-Tabela4[[#This Row],[PNEUS]]-Tabela4[[#This Row],[BATERIA]]</f>
        <v>199</v>
      </c>
      <c r="AB823" s="19" t="s">
        <v>36</v>
      </c>
      <c r="AC823" s="30">
        <v>0</v>
      </c>
      <c r="AD823" s="151">
        <v>199</v>
      </c>
      <c r="AE823" s="151">
        <v>0</v>
      </c>
      <c r="AF823" s="151">
        <v>0</v>
      </c>
      <c r="AG823" s="162">
        <v>0</v>
      </c>
      <c r="AH823" s="162">
        <v>0</v>
      </c>
      <c r="AI823" s="162">
        <v>0</v>
      </c>
      <c r="AJ823" s="162">
        <v>0</v>
      </c>
    </row>
    <row r="824" spans="1:36" x14ac:dyDescent="0.25">
      <c r="A824" s="15" t="s">
        <v>1319</v>
      </c>
      <c r="B824" s="25" t="s">
        <v>1320</v>
      </c>
      <c r="C824" s="141">
        <v>45443</v>
      </c>
      <c r="D824" s="141">
        <v>45443</v>
      </c>
      <c r="E824">
        <f>Tabela4[[#This Row],[DATA FATURAMENTO]]-Tabela4[[#This Row],[DATA ORÇAMENTO]]</f>
        <v>0</v>
      </c>
      <c r="F824" s="15">
        <v>11647</v>
      </c>
      <c r="G824" s="15" t="s">
        <v>6</v>
      </c>
      <c r="H824" s="25"/>
      <c r="I824" s="151">
        <v>530</v>
      </c>
      <c r="J824" s="151">
        <v>0</v>
      </c>
      <c r="K824" s="153">
        <f>Tabela4[[#This Row],[PECAS]]+Tabela4[[#This Row],[SERVICOS]]</f>
        <v>530</v>
      </c>
      <c r="L824" s="151">
        <v>0</v>
      </c>
      <c r="M824" s="151">
        <v>0</v>
      </c>
      <c r="N824" s="24"/>
      <c r="O824" s="151">
        <v>0</v>
      </c>
      <c r="P824" s="151">
        <v>0</v>
      </c>
      <c r="Q824" s="151">
        <v>0</v>
      </c>
      <c r="R824" s="151">
        <v>0</v>
      </c>
      <c r="S824" s="154">
        <v>0</v>
      </c>
      <c r="T824" s="151">
        <v>0</v>
      </c>
      <c r="U824" s="151">
        <v>530</v>
      </c>
      <c r="V824" s="15" t="s">
        <v>684</v>
      </c>
      <c r="W824" s="22">
        <v>0</v>
      </c>
      <c r="X824" s="149">
        <v>0</v>
      </c>
      <c r="Y824" s="15"/>
      <c r="Z824" s="151">
        <v>0</v>
      </c>
      <c r="AA824" s="149">
        <v>0</v>
      </c>
      <c r="AB824" s="19" t="s">
        <v>6</v>
      </c>
      <c r="AC824" s="30">
        <v>0</v>
      </c>
      <c r="AD824" s="162">
        <v>0</v>
      </c>
      <c r="AE824" s="151">
        <v>0</v>
      </c>
      <c r="AF824" s="151">
        <v>0</v>
      </c>
      <c r="AG824" s="162">
        <v>0</v>
      </c>
      <c r="AH824" s="162">
        <v>0</v>
      </c>
      <c r="AI824" s="162">
        <v>0</v>
      </c>
      <c r="AJ824" s="162">
        <v>0</v>
      </c>
    </row>
    <row r="825" spans="1:36" x14ac:dyDescent="0.25">
      <c r="A825" s="15" t="s">
        <v>62</v>
      </c>
      <c r="B825" s="25" t="s">
        <v>887</v>
      </c>
      <c r="C825" s="141">
        <v>45443</v>
      </c>
      <c r="D825" s="141">
        <v>45443</v>
      </c>
      <c r="E825">
        <f>Tabela4[[#This Row],[DATA FATURAMENTO]]-Tabela4[[#This Row],[DATA ORÇAMENTO]]</f>
        <v>0</v>
      </c>
      <c r="F825" s="15">
        <v>11649</v>
      </c>
      <c r="G825" s="15" t="s">
        <v>35</v>
      </c>
      <c r="H825" s="25"/>
      <c r="I825" s="151">
        <v>1990</v>
      </c>
      <c r="J825" s="151">
        <v>498.02</v>
      </c>
      <c r="K825" s="153">
        <f>Tabela4[[#This Row],[PECAS]]+Tabela4[[#This Row],[SERVICOS]]</f>
        <v>2488.02</v>
      </c>
      <c r="L825" s="151">
        <v>0</v>
      </c>
      <c r="M825" s="151">
        <v>0</v>
      </c>
      <c r="N825" s="24"/>
      <c r="O825" s="151">
        <v>0</v>
      </c>
      <c r="P825" s="151">
        <v>0</v>
      </c>
      <c r="Q825" s="151">
        <v>0</v>
      </c>
      <c r="R825" s="151">
        <v>0</v>
      </c>
      <c r="S825" s="154">
        <v>0</v>
      </c>
      <c r="T825" s="151">
        <v>0</v>
      </c>
      <c r="U825" s="151">
        <v>0</v>
      </c>
      <c r="V825" s="15"/>
      <c r="W825" s="22">
        <v>0</v>
      </c>
      <c r="X825" s="149">
        <v>0</v>
      </c>
      <c r="Y825" s="15"/>
      <c r="Z825" s="151">
        <v>0</v>
      </c>
      <c r="AA825" s="149">
        <f>Tabela4[[#This Row],[VALOR]]-Tabela4[[#This Row],[PNEUS]]-Tabela4[[#This Row],[BATERIA]]</f>
        <v>2488.02</v>
      </c>
      <c r="AB825" s="19" t="s">
        <v>27</v>
      </c>
      <c r="AC825" s="30">
        <v>0</v>
      </c>
      <c r="AD825" s="162">
        <v>0</v>
      </c>
      <c r="AE825" s="151">
        <v>2488.02</v>
      </c>
      <c r="AF825" s="151">
        <v>0</v>
      </c>
      <c r="AG825" s="151">
        <v>0</v>
      </c>
      <c r="AH825" s="151">
        <v>0</v>
      </c>
      <c r="AI825" s="151">
        <v>0</v>
      </c>
      <c r="AJ825" s="151">
        <v>0</v>
      </c>
    </row>
    <row r="826" spans="1:36" x14ac:dyDescent="0.25">
      <c r="A826" s="15" t="s">
        <v>1321</v>
      </c>
      <c r="B826" s="25" t="s">
        <v>1322</v>
      </c>
      <c r="C826" s="141">
        <v>45443</v>
      </c>
      <c r="D826" s="141">
        <v>45443</v>
      </c>
      <c r="E826">
        <f>Tabela4[[#This Row],[DATA FATURAMENTO]]-Tabela4[[#This Row],[DATA ORÇAMENTO]]</f>
        <v>0</v>
      </c>
      <c r="F826" s="15">
        <v>11654</v>
      </c>
      <c r="G826" s="15" t="s">
        <v>39</v>
      </c>
      <c r="H826" s="25" t="s">
        <v>44</v>
      </c>
      <c r="I826" s="151">
        <v>0</v>
      </c>
      <c r="J826" s="151">
        <v>120.01</v>
      </c>
      <c r="K826" s="153">
        <f>Tabela4[[#This Row],[PECAS]]+Tabela4[[#This Row],[SERVICOS]]</f>
        <v>120.01</v>
      </c>
      <c r="L826" s="151">
        <v>0</v>
      </c>
      <c r="M826" s="151">
        <v>0</v>
      </c>
      <c r="N826" s="24"/>
      <c r="O826" s="151">
        <v>0</v>
      </c>
      <c r="P826" s="151">
        <v>0</v>
      </c>
      <c r="Q826" s="151">
        <v>0</v>
      </c>
      <c r="R826" s="151">
        <v>0</v>
      </c>
      <c r="S826" s="154">
        <v>0</v>
      </c>
      <c r="T826" s="151">
        <v>0</v>
      </c>
      <c r="U826" s="151">
        <v>0</v>
      </c>
      <c r="V826" s="15"/>
      <c r="W826" s="22">
        <v>0</v>
      </c>
      <c r="X826" s="149">
        <v>0</v>
      </c>
      <c r="Y826" s="15"/>
      <c r="Z826" s="151">
        <v>0</v>
      </c>
      <c r="AA826" s="149">
        <f>Tabela4[[#This Row],[VALOR]]-Tabela4[[#This Row],[PNEUS]]-Tabela4[[#This Row],[BATERIA]]</f>
        <v>120.01</v>
      </c>
      <c r="AB826" s="19" t="s">
        <v>27</v>
      </c>
      <c r="AC826" s="30">
        <v>0</v>
      </c>
      <c r="AD826" s="162">
        <v>0</v>
      </c>
      <c r="AE826" s="151">
        <v>120</v>
      </c>
      <c r="AF826" s="151">
        <v>0</v>
      </c>
      <c r="AG826" s="151">
        <v>0</v>
      </c>
      <c r="AH826" s="151">
        <v>0</v>
      </c>
      <c r="AI826" s="151">
        <v>0</v>
      </c>
      <c r="AJ826" s="151">
        <v>0</v>
      </c>
    </row>
    <row r="827" spans="1:36" x14ac:dyDescent="0.25">
      <c r="A827" s="15" t="s">
        <v>1323</v>
      </c>
      <c r="B827" s="25" t="s">
        <v>1324</v>
      </c>
      <c r="C827" s="141">
        <v>45443</v>
      </c>
      <c r="D827" s="141">
        <v>45443</v>
      </c>
      <c r="E827">
        <f>Tabela4[[#This Row],[DATA FATURAMENTO]]-Tabela4[[#This Row],[DATA ORÇAMENTO]]</f>
        <v>0</v>
      </c>
      <c r="F827" s="15">
        <v>11655</v>
      </c>
      <c r="G827" s="15" t="s">
        <v>22</v>
      </c>
      <c r="H827" s="25"/>
      <c r="I827" s="151">
        <v>10</v>
      </c>
      <c r="J827" s="151">
        <v>0</v>
      </c>
      <c r="K827" s="153">
        <f>Tabela4[[#This Row],[PECAS]]+Tabela4[[#This Row],[SERVICOS]]</f>
        <v>10</v>
      </c>
      <c r="L827" s="151">
        <v>0</v>
      </c>
      <c r="M827" s="151">
        <v>0</v>
      </c>
      <c r="N827" s="24"/>
      <c r="O827" s="151">
        <v>0</v>
      </c>
      <c r="P827" s="151">
        <v>0</v>
      </c>
      <c r="Q827" s="151">
        <v>0</v>
      </c>
      <c r="R827" s="151">
        <v>10</v>
      </c>
      <c r="S827" s="154">
        <v>0</v>
      </c>
      <c r="T827" s="151">
        <v>0</v>
      </c>
      <c r="U827" s="151">
        <v>0</v>
      </c>
      <c r="V827" s="15"/>
      <c r="W827" s="22">
        <v>0</v>
      </c>
      <c r="X827" s="149">
        <v>0</v>
      </c>
      <c r="Y827" s="15"/>
      <c r="Z827" s="151">
        <v>0</v>
      </c>
      <c r="AA827" s="149">
        <f>Tabela4[[#This Row],[VALOR]]-Tabela4[[#This Row],[PNEUS]]-Tabela4[[#This Row],[BATERIA]]</f>
        <v>10</v>
      </c>
      <c r="AB827" s="19" t="s">
        <v>38</v>
      </c>
      <c r="AC827" s="30">
        <v>0</v>
      </c>
      <c r="AD827" s="162">
        <v>0</v>
      </c>
      <c r="AE827" s="151">
        <v>0</v>
      </c>
      <c r="AF827" s="151">
        <v>0</v>
      </c>
      <c r="AG827" s="162">
        <v>0</v>
      </c>
      <c r="AH827" s="162">
        <v>0</v>
      </c>
      <c r="AI827" s="162">
        <v>0</v>
      </c>
      <c r="AJ827" s="162">
        <v>0</v>
      </c>
    </row>
    <row r="828" spans="1:36" x14ac:dyDescent="0.25">
      <c r="A828" s="15" t="s">
        <v>1325</v>
      </c>
      <c r="B828" s="25" t="s">
        <v>1326</v>
      </c>
      <c r="C828" s="141">
        <v>45443</v>
      </c>
      <c r="D828" s="141">
        <v>45443</v>
      </c>
      <c r="E828">
        <f>Tabela4[[#This Row],[DATA FATURAMENTO]]-Tabela4[[#This Row],[DATA ORÇAMENTO]]</f>
        <v>0</v>
      </c>
      <c r="F828" s="15">
        <v>11658</v>
      </c>
      <c r="G828" s="15" t="s">
        <v>22</v>
      </c>
      <c r="H828" s="25"/>
      <c r="I828" s="151">
        <v>10</v>
      </c>
      <c r="J828" s="151">
        <v>0</v>
      </c>
      <c r="K828" s="153">
        <f>Tabela4[[#This Row],[PECAS]]+Tabela4[[#This Row],[SERVICOS]]</f>
        <v>10</v>
      </c>
      <c r="L828" s="151">
        <v>0</v>
      </c>
      <c r="M828" s="151">
        <v>0</v>
      </c>
      <c r="N828" s="24"/>
      <c r="O828" s="151">
        <v>0</v>
      </c>
      <c r="P828" s="151">
        <v>0</v>
      </c>
      <c r="Q828" s="151">
        <v>0</v>
      </c>
      <c r="R828" s="151">
        <v>10</v>
      </c>
      <c r="S828" s="154">
        <v>0</v>
      </c>
      <c r="T828" s="151">
        <v>0</v>
      </c>
      <c r="U828" s="151">
        <v>0</v>
      </c>
      <c r="V828" s="15"/>
      <c r="W828" s="22">
        <v>0</v>
      </c>
      <c r="X828" s="149">
        <v>0</v>
      </c>
      <c r="Y828" s="15"/>
      <c r="Z828" s="151">
        <v>0</v>
      </c>
      <c r="AA828" s="149">
        <f>Tabela4[[#This Row],[VALOR]]-Tabela4[[#This Row],[PNEUS]]-Tabela4[[#This Row],[BATERIA]]</f>
        <v>10</v>
      </c>
      <c r="AB828" s="19" t="s">
        <v>38</v>
      </c>
      <c r="AC828" s="30">
        <v>0</v>
      </c>
      <c r="AD828" s="162">
        <v>0</v>
      </c>
      <c r="AE828" s="151">
        <v>0</v>
      </c>
      <c r="AF828" s="151">
        <v>0</v>
      </c>
      <c r="AG828" s="162">
        <v>0</v>
      </c>
      <c r="AH828" s="162">
        <v>0</v>
      </c>
      <c r="AI828" s="162">
        <v>0</v>
      </c>
      <c r="AJ828" s="162">
        <v>0</v>
      </c>
    </row>
    <row r="829" spans="1:36" x14ac:dyDescent="0.25">
      <c r="A829" s="15" t="s">
        <v>1327</v>
      </c>
      <c r="B829" s="25" t="s">
        <v>1324</v>
      </c>
      <c r="C829" s="141">
        <v>45444</v>
      </c>
      <c r="D829" s="141">
        <v>45444</v>
      </c>
      <c r="E829">
        <f>Tabela4[[#This Row],[DATA FATURAMENTO]]-Tabela4[[#This Row],[DATA ORÇAMENTO]]</f>
        <v>0</v>
      </c>
      <c r="F829" s="15">
        <v>11663</v>
      </c>
      <c r="G829" s="15" t="s">
        <v>22</v>
      </c>
      <c r="H829" s="25"/>
      <c r="I829" s="151">
        <v>334</v>
      </c>
      <c r="J829" s="151">
        <v>160.52000000000001</v>
      </c>
      <c r="K829" s="153">
        <f>Tabela4[[#This Row],[PECAS]]+Tabela4[[#This Row],[SERVICOS]]</f>
        <v>494.52</v>
      </c>
      <c r="L829" s="151">
        <v>0</v>
      </c>
      <c r="M829" s="151">
        <v>0</v>
      </c>
      <c r="N829" s="24"/>
      <c r="O829" s="151">
        <v>0</v>
      </c>
      <c r="P829" s="151">
        <v>0</v>
      </c>
      <c r="Q829" s="151">
        <v>0</v>
      </c>
      <c r="R829" s="151">
        <v>0</v>
      </c>
      <c r="S829" s="154">
        <v>0</v>
      </c>
      <c r="T829" s="151">
        <v>0</v>
      </c>
      <c r="U829" s="151">
        <v>0</v>
      </c>
      <c r="V829" s="15"/>
      <c r="W829" s="22">
        <v>0</v>
      </c>
      <c r="X829" s="149">
        <v>0</v>
      </c>
      <c r="Y829" s="15"/>
      <c r="Z829" s="151">
        <v>0</v>
      </c>
      <c r="AA829" s="149">
        <f>Tabela4[[#This Row],[VALOR]]-Tabela4[[#This Row],[PNEUS]]-Tabela4[[#This Row],[BATERIA]]</f>
        <v>494.52</v>
      </c>
      <c r="AB829" s="19" t="s">
        <v>36</v>
      </c>
      <c r="AC829" s="30">
        <v>0</v>
      </c>
      <c r="AD829" s="162">
        <v>0</v>
      </c>
      <c r="AE829" s="151">
        <v>0</v>
      </c>
      <c r="AF829" s="151">
        <f>334+160.51</f>
        <v>494.51</v>
      </c>
      <c r="AG829" s="162">
        <v>0</v>
      </c>
      <c r="AH829" s="162">
        <v>0</v>
      </c>
      <c r="AI829" s="162">
        <v>0</v>
      </c>
      <c r="AJ829" s="162">
        <v>0</v>
      </c>
    </row>
    <row r="830" spans="1:36" x14ac:dyDescent="0.25">
      <c r="A830" s="15" t="s">
        <v>1232</v>
      </c>
      <c r="B830" s="25" t="s">
        <v>905</v>
      </c>
      <c r="C830" s="141">
        <v>45443</v>
      </c>
      <c r="D830" s="141">
        <v>45444</v>
      </c>
      <c r="E830">
        <f>Tabela4[[#This Row],[DATA FATURAMENTO]]-Tabela4[[#This Row],[DATA ORÇAMENTO]]</f>
        <v>1</v>
      </c>
      <c r="F830" s="15">
        <v>11651</v>
      </c>
      <c r="G830" s="15" t="s">
        <v>22</v>
      </c>
      <c r="H830" s="25"/>
      <c r="I830" s="151">
        <v>0</v>
      </c>
      <c r="J830" s="151">
        <v>230</v>
      </c>
      <c r="K830" s="153">
        <f>Tabela4[[#This Row],[PECAS]]+Tabela4[[#This Row],[SERVICOS]]</f>
        <v>230</v>
      </c>
      <c r="L830" s="151">
        <v>0</v>
      </c>
      <c r="M830" s="151">
        <v>0</v>
      </c>
      <c r="N830" s="24"/>
      <c r="O830" s="151">
        <v>0</v>
      </c>
      <c r="P830" s="151">
        <v>0</v>
      </c>
      <c r="Q830" s="151">
        <v>0</v>
      </c>
      <c r="R830" s="151">
        <v>0</v>
      </c>
      <c r="S830" s="154">
        <v>0</v>
      </c>
      <c r="T830" s="151">
        <v>0</v>
      </c>
      <c r="U830" s="151">
        <v>0</v>
      </c>
      <c r="V830" s="15"/>
      <c r="W830" s="22">
        <v>0</v>
      </c>
      <c r="X830" s="149">
        <v>0</v>
      </c>
      <c r="Y830" s="15"/>
      <c r="Z830" s="151">
        <v>0</v>
      </c>
      <c r="AA830" s="149">
        <f>Tabela4[[#This Row],[VALOR]]-Tabela4[[#This Row],[PNEUS]]-Tabela4[[#This Row],[BATERIA]]</f>
        <v>230</v>
      </c>
      <c r="AB830" s="19" t="s">
        <v>36</v>
      </c>
      <c r="AC830" s="30">
        <v>0</v>
      </c>
      <c r="AD830" s="162">
        <v>0</v>
      </c>
      <c r="AE830" s="151">
        <v>230</v>
      </c>
      <c r="AF830" s="151">
        <v>0</v>
      </c>
      <c r="AG830" s="151">
        <v>0</v>
      </c>
      <c r="AH830" s="151">
        <v>0</v>
      </c>
      <c r="AI830" s="151">
        <v>0</v>
      </c>
      <c r="AJ830" s="151">
        <v>0</v>
      </c>
    </row>
    <row r="831" spans="1:36" x14ac:dyDescent="0.25">
      <c r="A831" s="15" t="s">
        <v>120</v>
      </c>
      <c r="B831" s="25" t="s">
        <v>975</v>
      </c>
      <c r="C831" s="141">
        <v>45441</v>
      </c>
      <c r="D831" s="141">
        <v>45446</v>
      </c>
      <c r="E831">
        <f>Tabela4[[#This Row],[DATA FATURAMENTO]]-Tabela4[[#This Row],[DATA ORÇAMENTO]]</f>
        <v>5</v>
      </c>
      <c r="F831" s="15">
        <v>11632</v>
      </c>
      <c r="G831" s="15" t="s">
        <v>35</v>
      </c>
      <c r="H831" s="25"/>
      <c r="I831" s="151">
        <v>0</v>
      </c>
      <c r="J831" s="151">
        <v>110.01</v>
      </c>
      <c r="K831" s="153">
        <f>Tabela4[[#This Row],[PECAS]]+Tabela4[[#This Row],[SERVICOS]]</f>
        <v>110.01</v>
      </c>
      <c r="L831" s="151">
        <v>0</v>
      </c>
      <c r="M831" s="151">
        <v>0</v>
      </c>
      <c r="N831" s="24"/>
      <c r="O831" s="151">
        <v>0</v>
      </c>
      <c r="P831" s="151">
        <v>0</v>
      </c>
      <c r="Q831" s="151">
        <v>0</v>
      </c>
      <c r="R831" s="151">
        <v>0</v>
      </c>
      <c r="S831" s="154">
        <v>0</v>
      </c>
      <c r="T831" s="151">
        <v>0</v>
      </c>
      <c r="U831" s="151">
        <v>0</v>
      </c>
      <c r="V831" s="15"/>
      <c r="W831" s="22">
        <v>0</v>
      </c>
      <c r="X831" s="149">
        <v>0</v>
      </c>
      <c r="Y831" s="15"/>
      <c r="Z831" s="151">
        <v>0</v>
      </c>
      <c r="AA831" s="149">
        <f>Tabela4[[#This Row],[VALOR]]-Tabela4[[#This Row],[PNEUS]]-Tabela4[[#This Row],[BATERIA]]</f>
        <v>110.01</v>
      </c>
      <c r="AB831" s="19" t="s">
        <v>34</v>
      </c>
      <c r="AC831" s="30">
        <v>0</v>
      </c>
      <c r="AD831" s="162">
        <v>0</v>
      </c>
      <c r="AE831" s="151">
        <v>0</v>
      </c>
      <c r="AF831" s="151">
        <v>0</v>
      </c>
      <c r="AG831" s="151">
        <v>0</v>
      </c>
      <c r="AH831" s="151">
        <v>163.58000000000001</v>
      </c>
      <c r="AI831" s="162">
        <v>0</v>
      </c>
      <c r="AJ831" s="162">
        <v>0</v>
      </c>
    </row>
    <row r="832" spans="1:36" x14ac:dyDescent="0.25">
      <c r="A832" s="15" t="s">
        <v>1328</v>
      </c>
      <c r="B832" s="25" t="s">
        <v>1329</v>
      </c>
      <c r="C832" s="141">
        <v>45446</v>
      </c>
      <c r="D832" s="141">
        <v>45446</v>
      </c>
      <c r="E832">
        <f>Tabela4[[#This Row],[DATA FATURAMENTO]]-Tabela4[[#This Row],[DATA ORÇAMENTO]]</f>
        <v>0</v>
      </c>
      <c r="F832" s="15">
        <v>11676</v>
      </c>
      <c r="G832" s="15" t="s">
        <v>22</v>
      </c>
      <c r="H832" s="25"/>
      <c r="I832" s="151">
        <v>1210.9000000000001</v>
      </c>
      <c r="J832" s="151">
        <v>665.3</v>
      </c>
      <c r="K832" s="153">
        <f>Tabela4[[#This Row],[PECAS]]+Tabela4[[#This Row],[SERVICOS]]</f>
        <v>1876.2</v>
      </c>
      <c r="L832" s="151">
        <v>0</v>
      </c>
      <c r="M832" s="151">
        <v>0</v>
      </c>
      <c r="N832" s="24"/>
      <c r="O832" s="151">
        <v>0</v>
      </c>
      <c r="P832" s="151">
        <v>0</v>
      </c>
      <c r="Q832" s="151">
        <v>0</v>
      </c>
      <c r="R832" s="151">
        <v>0</v>
      </c>
      <c r="S832" s="154">
        <v>0</v>
      </c>
      <c r="T832" s="151">
        <v>0</v>
      </c>
      <c r="U832" s="151">
        <v>0</v>
      </c>
      <c r="V832" s="15"/>
      <c r="W832" s="22">
        <v>0</v>
      </c>
      <c r="X832" s="149">
        <v>0</v>
      </c>
      <c r="Y832" s="15"/>
      <c r="Z832" s="151">
        <v>0</v>
      </c>
      <c r="AA832" s="149">
        <f>Tabela4[[#This Row],[VALOR]]-Tabela4[[#This Row],[PNEUS]]-Tabela4[[#This Row],[BATERIA]]</f>
        <v>1876.2</v>
      </c>
      <c r="AB832" s="19" t="s">
        <v>24</v>
      </c>
      <c r="AC832" s="30">
        <v>0</v>
      </c>
      <c r="AD832" s="151">
        <f>157.9+59.4+95.04</f>
        <v>312.34000000000003</v>
      </c>
      <c r="AE832" s="151">
        <v>0</v>
      </c>
      <c r="AF832" s="151">
        <f>496.8+496.8+570.24</f>
        <v>1563.8400000000001</v>
      </c>
      <c r="AG832" s="151">
        <v>0</v>
      </c>
      <c r="AH832" s="151">
        <v>0</v>
      </c>
      <c r="AI832" s="162">
        <v>0</v>
      </c>
      <c r="AJ832" s="162">
        <v>0</v>
      </c>
    </row>
    <row r="833" spans="1:36" x14ac:dyDescent="0.25">
      <c r="A833" s="15" t="s">
        <v>1330</v>
      </c>
      <c r="B833" s="25" t="s">
        <v>1026</v>
      </c>
      <c r="C833" s="141">
        <v>45446</v>
      </c>
      <c r="D833" s="141">
        <v>45446</v>
      </c>
      <c r="E833">
        <f>Tabela4[[#This Row],[DATA FATURAMENTO]]-Tabela4[[#This Row],[DATA ORÇAMENTO]]</f>
        <v>0</v>
      </c>
      <c r="F833" s="15">
        <v>11670</v>
      </c>
      <c r="G833" s="15" t="s">
        <v>39</v>
      </c>
      <c r="H833" s="25" t="s">
        <v>44</v>
      </c>
      <c r="I833" s="151">
        <v>40</v>
      </c>
      <c r="J833" s="151">
        <v>220.01</v>
      </c>
      <c r="K833" s="153">
        <f>Tabela4[[#This Row],[PECAS]]+Tabela4[[#This Row],[SERVICOS]]</f>
        <v>260.01</v>
      </c>
      <c r="L833" s="151">
        <v>0</v>
      </c>
      <c r="M833" s="151">
        <v>0</v>
      </c>
      <c r="N833" s="24"/>
      <c r="O833" s="151">
        <v>0</v>
      </c>
      <c r="P833" s="151">
        <v>0</v>
      </c>
      <c r="Q833" s="151">
        <v>0</v>
      </c>
      <c r="R833" s="151">
        <v>0</v>
      </c>
      <c r="S833" s="154">
        <v>0</v>
      </c>
      <c r="T833" s="151">
        <v>0</v>
      </c>
      <c r="U833" s="151">
        <v>0</v>
      </c>
      <c r="V833" s="15"/>
      <c r="W833" s="22">
        <v>0</v>
      </c>
      <c r="X833" s="149">
        <v>0</v>
      </c>
      <c r="Y833" s="15"/>
      <c r="Z833" s="151">
        <v>0</v>
      </c>
      <c r="AA833" s="149">
        <f>Tabela4[[#This Row],[VALOR]]-Tabela4[[#This Row],[PNEUS]]-Tabela4[[#This Row],[BATERIA]]</f>
        <v>260.01</v>
      </c>
      <c r="AB833" s="19" t="s">
        <v>24</v>
      </c>
      <c r="AC833" s="30">
        <v>0</v>
      </c>
      <c r="AD833" s="162">
        <v>0</v>
      </c>
      <c r="AE833" s="151">
        <v>220</v>
      </c>
      <c r="AF833" s="151">
        <v>0</v>
      </c>
      <c r="AG833" s="151">
        <v>0</v>
      </c>
      <c r="AH833" s="151">
        <v>0</v>
      </c>
      <c r="AI833" s="151">
        <v>0</v>
      </c>
      <c r="AJ833" s="151">
        <v>0</v>
      </c>
    </row>
    <row r="834" spans="1:36" x14ac:dyDescent="0.25">
      <c r="A834" s="15" t="s">
        <v>1331</v>
      </c>
      <c r="B834" s="25" t="s">
        <v>1332</v>
      </c>
      <c r="C834" s="141">
        <v>45446</v>
      </c>
      <c r="D834" s="141">
        <v>45446</v>
      </c>
      <c r="E834">
        <f>Tabela4[[#This Row],[DATA FATURAMENTO]]-Tabela4[[#This Row],[DATA ORÇAMENTO]]</f>
        <v>0</v>
      </c>
      <c r="F834" s="15">
        <v>11671</v>
      </c>
      <c r="G834" s="15" t="s">
        <v>39</v>
      </c>
      <c r="H834" s="25" t="s">
        <v>44</v>
      </c>
      <c r="I834" s="151">
        <v>20</v>
      </c>
      <c r="J834" s="151">
        <v>145.01</v>
      </c>
      <c r="K834" s="153">
        <f>Tabela4[[#This Row],[PECAS]]+Tabela4[[#This Row],[SERVICOS]]</f>
        <v>165.01</v>
      </c>
      <c r="L834" s="151">
        <v>0</v>
      </c>
      <c r="M834" s="151">
        <v>0</v>
      </c>
      <c r="N834" s="24"/>
      <c r="O834" s="151">
        <v>0</v>
      </c>
      <c r="P834" s="151">
        <v>0</v>
      </c>
      <c r="Q834" s="151">
        <v>0</v>
      </c>
      <c r="R834" s="151">
        <v>0</v>
      </c>
      <c r="S834" s="154">
        <v>0</v>
      </c>
      <c r="T834" s="151">
        <v>0</v>
      </c>
      <c r="U834" s="151">
        <v>0</v>
      </c>
      <c r="V834" s="15"/>
      <c r="W834" s="22">
        <v>0</v>
      </c>
      <c r="X834" s="149">
        <v>0</v>
      </c>
      <c r="Y834" s="15"/>
      <c r="Z834" s="151">
        <v>0</v>
      </c>
      <c r="AA834" s="149">
        <f>Tabela4[[#This Row],[VALOR]]-Tabela4[[#This Row],[PNEUS]]-Tabela4[[#This Row],[BATERIA]]</f>
        <v>165.01</v>
      </c>
      <c r="AB834" s="19" t="s">
        <v>27</v>
      </c>
      <c r="AC834" s="30">
        <v>0</v>
      </c>
      <c r="AD834" s="162">
        <v>0</v>
      </c>
      <c r="AE834" s="151">
        <v>145</v>
      </c>
      <c r="AF834" s="151">
        <v>0</v>
      </c>
      <c r="AG834" s="151">
        <v>0</v>
      </c>
      <c r="AH834" s="151">
        <v>0</v>
      </c>
      <c r="AI834" s="151">
        <v>0</v>
      </c>
      <c r="AJ834" s="151">
        <v>0</v>
      </c>
    </row>
    <row r="835" spans="1:36" x14ac:dyDescent="0.25">
      <c r="A835" s="15" t="s">
        <v>394</v>
      </c>
      <c r="B835" s="25" t="s">
        <v>891</v>
      </c>
      <c r="C835" s="141">
        <v>45446</v>
      </c>
      <c r="D835" s="141">
        <v>45447</v>
      </c>
      <c r="E835">
        <f>Tabela4[[#This Row],[DATA FATURAMENTO]]-Tabela4[[#This Row],[DATA ORÇAMENTO]]</f>
        <v>1</v>
      </c>
      <c r="F835" s="15">
        <v>11666</v>
      </c>
      <c r="G835" s="15" t="s">
        <v>35</v>
      </c>
      <c r="H835" s="25"/>
      <c r="I835" s="151">
        <v>202</v>
      </c>
      <c r="J835" s="151">
        <v>98</v>
      </c>
      <c r="K835" s="153">
        <f>Tabela4[[#This Row],[PECAS]]+Tabela4[[#This Row],[SERVICOS]]</f>
        <v>300</v>
      </c>
      <c r="L835" s="151">
        <v>0</v>
      </c>
      <c r="M835" s="151">
        <v>0</v>
      </c>
      <c r="N835" s="24"/>
      <c r="O835" s="151">
        <v>0</v>
      </c>
      <c r="P835" s="151">
        <v>0</v>
      </c>
      <c r="Q835" s="151">
        <v>0</v>
      </c>
      <c r="R835" s="151">
        <v>0</v>
      </c>
      <c r="S835" s="154">
        <v>0</v>
      </c>
      <c r="T835" s="151">
        <v>0</v>
      </c>
      <c r="U835" s="151">
        <v>0</v>
      </c>
      <c r="V835" s="15"/>
      <c r="W835" s="22">
        <v>0</v>
      </c>
      <c r="X835" s="149">
        <v>0</v>
      </c>
      <c r="Y835" s="15"/>
      <c r="Z835" s="151">
        <v>0</v>
      </c>
      <c r="AA835" s="149">
        <f>Tabela4[[#This Row],[VALOR]]-Tabela4[[#This Row],[PNEUS]]-Tabela4[[#This Row],[BATERIA]]</f>
        <v>300</v>
      </c>
      <c r="AB835" s="19" t="s">
        <v>24</v>
      </c>
      <c r="AC835" s="30">
        <v>0</v>
      </c>
      <c r="AD835" s="151">
        <v>300</v>
      </c>
      <c r="AE835" s="151">
        <v>0</v>
      </c>
      <c r="AF835" s="151">
        <v>0</v>
      </c>
      <c r="AG835" s="151">
        <v>0</v>
      </c>
      <c r="AH835" s="151">
        <v>0</v>
      </c>
      <c r="AI835" s="162">
        <v>0</v>
      </c>
      <c r="AJ835" s="162">
        <v>0</v>
      </c>
    </row>
    <row r="836" spans="1:36" x14ac:dyDescent="0.25">
      <c r="A836" s="15" t="s">
        <v>1313</v>
      </c>
      <c r="B836" s="25" t="s">
        <v>1314</v>
      </c>
      <c r="C836" s="141">
        <v>45447</v>
      </c>
      <c r="D836" s="141">
        <v>45447</v>
      </c>
      <c r="E836">
        <f>Tabela4[[#This Row],[DATA FATURAMENTO]]-Tabela4[[#This Row],[DATA ORÇAMENTO]]</f>
        <v>0</v>
      </c>
      <c r="F836" s="15">
        <v>11687</v>
      </c>
      <c r="G836" s="15" t="s">
        <v>25</v>
      </c>
      <c r="H836" s="25"/>
      <c r="I836" s="151">
        <v>1370.96</v>
      </c>
      <c r="J836" s="151">
        <v>606</v>
      </c>
      <c r="K836" s="153">
        <f>Tabela4[[#This Row],[PECAS]]+Tabela4[[#This Row],[SERVICOS]]</f>
        <v>1976.96</v>
      </c>
      <c r="L836" s="151">
        <v>0</v>
      </c>
      <c r="M836" s="151">
        <v>0</v>
      </c>
      <c r="N836" s="24"/>
      <c r="O836" s="151">
        <v>0</v>
      </c>
      <c r="P836" s="151">
        <v>0</v>
      </c>
      <c r="Q836" s="151">
        <v>0</v>
      </c>
      <c r="R836" s="151">
        <v>0</v>
      </c>
      <c r="S836" s="154">
        <v>0</v>
      </c>
      <c r="T836" s="151">
        <v>0</v>
      </c>
      <c r="U836" s="151">
        <v>0</v>
      </c>
      <c r="V836" s="15"/>
      <c r="W836" s="22">
        <v>0</v>
      </c>
      <c r="X836" s="149">
        <v>0</v>
      </c>
      <c r="Y836" s="15"/>
      <c r="Z836" s="151">
        <v>0</v>
      </c>
      <c r="AA836" s="149">
        <f>Tabela4[[#This Row],[VALOR]]-Tabela4[[#This Row],[PNEUS]]-Tabela4[[#This Row],[BATERIA]]</f>
        <v>1976.96</v>
      </c>
      <c r="AB836" s="19" t="s">
        <v>24</v>
      </c>
      <c r="AC836" s="30">
        <v>0</v>
      </c>
      <c r="AD836" s="162">
        <v>0</v>
      </c>
      <c r="AE836" s="151">
        <f>40</f>
        <v>40</v>
      </c>
      <c r="AF836" s="151">
        <v>0</v>
      </c>
      <c r="AG836" s="151">
        <f>377.17+335.75+20+70</f>
        <v>802.92000000000007</v>
      </c>
      <c r="AH836" s="151">
        <f>107.9</f>
        <v>107.9</v>
      </c>
      <c r="AI836" s="151">
        <f>210.61+150</f>
        <v>360.61</v>
      </c>
      <c r="AJ836" s="151">
        <f>339.54+250</f>
        <v>589.54</v>
      </c>
    </row>
    <row r="837" spans="1:36" x14ac:dyDescent="0.25">
      <c r="A837" s="15" t="s">
        <v>1333</v>
      </c>
      <c r="B837" s="25" t="s">
        <v>984</v>
      </c>
      <c r="C837" s="141">
        <v>45441</v>
      </c>
      <c r="D837" s="141">
        <v>45448</v>
      </c>
      <c r="E837">
        <f>Tabela4[[#This Row],[DATA FATURAMENTO]]-Tabela4[[#This Row],[DATA ORÇAMENTO]]</f>
        <v>7</v>
      </c>
      <c r="F837" s="15">
        <v>11627</v>
      </c>
      <c r="G837" s="15" t="s">
        <v>22</v>
      </c>
      <c r="H837" s="25"/>
      <c r="I837" s="151">
        <v>4205</v>
      </c>
      <c r="J837" s="151">
        <v>2480</v>
      </c>
      <c r="K837" s="153">
        <f>Tabela4[[#This Row],[PECAS]]+Tabela4[[#This Row],[SERVICOS]]</f>
        <v>6685</v>
      </c>
      <c r="L837" s="151">
        <v>0</v>
      </c>
      <c r="M837" s="151">
        <f>116.4+24</f>
        <v>140.4</v>
      </c>
      <c r="N837" s="24">
        <v>5</v>
      </c>
      <c r="O837" s="151">
        <v>0</v>
      </c>
      <c r="P837" s="151">
        <v>0</v>
      </c>
      <c r="Q837" s="151">
        <v>0</v>
      </c>
      <c r="R837" s="151">
        <v>0</v>
      </c>
      <c r="S837" s="154">
        <v>0</v>
      </c>
      <c r="T837" s="151">
        <v>0</v>
      </c>
      <c r="U837" s="151">
        <v>0</v>
      </c>
      <c r="V837" s="15"/>
      <c r="W837" s="22">
        <v>4</v>
      </c>
      <c r="X837" s="149">
        <v>64.8</v>
      </c>
      <c r="Y837" s="15" t="s">
        <v>635</v>
      </c>
      <c r="Z837" s="151">
        <v>0</v>
      </c>
      <c r="AA837" s="149">
        <f>Tabela4[[#This Row],[VALOR]]-Tabela4[[#This Row],[PNEUS]]-Tabela4[[#This Row],[BATERIA]]</f>
        <v>6685</v>
      </c>
      <c r="AB837" s="19" t="s">
        <v>30</v>
      </c>
      <c r="AC837" s="30">
        <v>0</v>
      </c>
      <c r="AD837" s="162">
        <v>0</v>
      </c>
      <c r="AE837" s="151">
        <v>0</v>
      </c>
      <c r="AF837" s="151">
        <v>0</v>
      </c>
      <c r="AG837" s="151">
        <f>270+35+248+320+12.7+478.4+476+174+1282.4+484.4+1280+1200</f>
        <v>6260.9</v>
      </c>
      <c r="AH837" s="151">
        <v>0</v>
      </c>
      <c r="AI837" s="151">
        <v>259.2</v>
      </c>
      <c r="AJ837" s="151">
        <v>0</v>
      </c>
    </row>
    <row r="838" spans="1:36" x14ac:dyDescent="0.25">
      <c r="A838" s="15" t="s">
        <v>1334</v>
      </c>
      <c r="B838" s="25" t="s">
        <v>1335</v>
      </c>
      <c r="C838" s="141">
        <v>45446</v>
      </c>
      <c r="D838" s="141">
        <v>45448</v>
      </c>
      <c r="E838">
        <f>Tabela4[[#This Row],[DATA FATURAMENTO]]-Tabela4[[#This Row],[DATA ORÇAMENTO]]</f>
        <v>2</v>
      </c>
      <c r="F838" s="15">
        <v>11675</v>
      </c>
      <c r="G838" s="15" t="s">
        <v>25</v>
      </c>
      <c r="H838" s="25"/>
      <c r="I838" s="151">
        <v>978.17</v>
      </c>
      <c r="J838" s="151">
        <v>937.74</v>
      </c>
      <c r="K838" s="153">
        <f>Tabela4[[#This Row],[PECAS]]+Tabela4[[#This Row],[SERVICOS]]</f>
        <v>1915.9099999999999</v>
      </c>
      <c r="L838" s="151">
        <v>0</v>
      </c>
      <c r="M838" s="151">
        <v>0</v>
      </c>
      <c r="N838" s="24"/>
      <c r="O838" s="151">
        <f>38.8+192</f>
        <v>230.8</v>
      </c>
      <c r="P838" s="151">
        <v>0</v>
      </c>
      <c r="Q838" s="151">
        <v>0</v>
      </c>
      <c r="R838" s="151">
        <v>0</v>
      </c>
      <c r="S838" s="154">
        <v>69.900000000000006</v>
      </c>
      <c r="T838" s="151">
        <v>0</v>
      </c>
      <c r="U838" s="151">
        <v>0</v>
      </c>
      <c r="V838" s="15"/>
      <c r="W838" s="22">
        <v>4</v>
      </c>
      <c r="X838" s="149">
        <v>28.2</v>
      </c>
      <c r="Y838" s="15" t="s">
        <v>1304</v>
      </c>
      <c r="Z838" s="151">
        <v>0</v>
      </c>
      <c r="AA838" s="149">
        <f>Tabela4[[#This Row],[VALOR]]-Tabela4[[#This Row],[PNEUS]]-Tabela4[[#This Row],[BATERIA]]</f>
        <v>1915.9099999999999</v>
      </c>
      <c r="AB838" s="19" t="s">
        <v>27</v>
      </c>
      <c r="AC838" s="30">
        <v>0</v>
      </c>
      <c r="AD838" s="151">
        <f>332.66+95.46+38.8+144+170</f>
        <v>780.92000000000007</v>
      </c>
      <c r="AE838" s="151">
        <v>233.73</v>
      </c>
      <c r="AF838" s="151">
        <v>91.65</v>
      </c>
      <c r="AG838" s="151">
        <f>109.6+49.9+36+19.9+21.5</f>
        <v>236.9</v>
      </c>
      <c r="AH838" s="151">
        <v>0</v>
      </c>
      <c r="AI838" s="151">
        <v>112.8</v>
      </c>
      <c r="AJ838" s="151">
        <v>0</v>
      </c>
    </row>
    <row r="839" spans="1:36" x14ac:dyDescent="0.25">
      <c r="A839" s="15" t="s">
        <v>1336</v>
      </c>
      <c r="B839" s="25" t="s">
        <v>1337</v>
      </c>
      <c r="C839" s="141">
        <v>45446</v>
      </c>
      <c r="D839" s="141">
        <v>45448</v>
      </c>
      <c r="E839">
        <f>Tabela4[[#This Row],[DATA FATURAMENTO]]-Tabela4[[#This Row],[DATA ORÇAMENTO]]</f>
        <v>2</v>
      </c>
      <c r="F839" s="15">
        <v>11698</v>
      </c>
      <c r="G839" s="15" t="s">
        <v>28</v>
      </c>
      <c r="H839" s="25"/>
      <c r="I839" s="151">
        <v>497.53</v>
      </c>
      <c r="J839" s="151">
        <v>214</v>
      </c>
      <c r="K839" s="153">
        <f>Tabela4[[#This Row],[PECAS]]+Tabela4[[#This Row],[SERVICOS]]</f>
        <v>711.53</v>
      </c>
      <c r="L839" s="151">
        <v>0</v>
      </c>
      <c r="M839" s="151">
        <v>0</v>
      </c>
      <c r="N839" s="24"/>
      <c r="O839" s="151">
        <v>0</v>
      </c>
      <c r="P839" s="151">
        <v>0</v>
      </c>
      <c r="Q839" s="151">
        <v>0</v>
      </c>
      <c r="R839" s="151">
        <v>0</v>
      </c>
      <c r="S839" s="154">
        <v>0</v>
      </c>
      <c r="T839" s="151">
        <v>0</v>
      </c>
      <c r="U839" s="151">
        <v>0</v>
      </c>
      <c r="V839" s="15"/>
      <c r="W839" s="22">
        <v>0</v>
      </c>
      <c r="X839" s="149">
        <v>0</v>
      </c>
      <c r="Y839" s="15"/>
      <c r="Z839" s="151">
        <v>0</v>
      </c>
      <c r="AA839" s="149">
        <f>Tabela4[[#This Row],[VALOR]]-Tabela4[[#This Row],[PNEUS]]-Tabela4[[#This Row],[BATERIA]]</f>
        <v>711.53</v>
      </c>
      <c r="AB839" s="19" t="s">
        <v>38</v>
      </c>
      <c r="AC839" s="30">
        <v>0</v>
      </c>
      <c r="AD839" s="162">
        <v>0</v>
      </c>
      <c r="AE839" s="151">
        <v>0</v>
      </c>
      <c r="AF839" s="151">
        <v>0</v>
      </c>
      <c r="AG839" s="151">
        <v>0</v>
      </c>
      <c r="AH839" s="151">
        <v>711.53</v>
      </c>
      <c r="AI839" s="151">
        <v>0</v>
      </c>
      <c r="AJ839" s="151">
        <v>0</v>
      </c>
    </row>
    <row r="840" spans="1:36" x14ac:dyDescent="0.25">
      <c r="A840" s="15" t="s">
        <v>1338</v>
      </c>
      <c r="B840" s="25" t="s">
        <v>1339</v>
      </c>
      <c r="C840" s="141">
        <v>45447</v>
      </c>
      <c r="D840" s="141">
        <v>45449</v>
      </c>
      <c r="E840">
        <f>Tabela4[[#This Row],[DATA FATURAMENTO]]-Tabela4[[#This Row],[DATA ORÇAMENTO]]</f>
        <v>2</v>
      </c>
      <c r="F840" s="15">
        <v>11684</v>
      </c>
      <c r="G840" s="15" t="s">
        <v>22</v>
      </c>
      <c r="H840" s="25"/>
      <c r="I840" s="151">
        <v>606.5</v>
      </c>
      <c r="J840" s="151">
        <v>368.5</v>
      </c>
      <c r="K840" s="153">
        <f>Tabela4[[#This Row],[PECAS]]+Tabela4[[#This Row],[SERVICOS]]</f>
        <v>975</v>
      </c>
      <c r="L840" s="151">
        <v>0</v>
      </c>
      <c r="M840" s="151">
        <v>0</v>
      </c>
      <c r="N840" s="24"/>
      <c r="O840" s="151">
        <v>0</v>
      </c>
      <c r="P840" s="151">
        <v>0</v>
      </c>
      <c r="Q840" s="151">
        <v>0</v>
      </c>
      <c r="R840" s="151">
        <v>0</v>
      </c>
      <c r="S840" s="154">
        <v>0</v>
      </c>
      <c r="T840" s="151">
        <v>0</v>
      </c>
      <c r="U840" s="151">
        <v>0</v>
      </c>
      <c r="V840" s="15"/>
      <c r="W840" s="22">
        <v>4</v>
      </c>
      <c r="X840" s="149">
        <v>60</v>
      </c>
      <c r="Y840" s="15" t="s">
        <v>635</v>
      </c>
      <c r="Z840" s="151">
        <v>0</v>
      </c>
      <c r="AA840" s="149">
        <f>Tabela4[[#This Row],[VALOR]]-Tabela4[[#This Row],[PNEUS]]-Tabela4[[#This Row],[BATERIA]]</f>
        <v>975</v>
      </c>
      <c r="AB840" s="19" t="s">
        <v>24</v>
      </c>
      <c r="AC840" s="30">
        <v>0</v>
      </c>
      <c r="AD840" s="162">
        <v>0</v>
      </c>
      <c r="AE840" s="151">
        <v>100</v>
      </c>
      <c r="AF840" s="151">
        <v>0</v>
      </c>
      <c r="AG840" s="151">
        <f>28.8+43+16.2</f>
        <v>88</v>
      </c>
      <c r="AH840" s="151">
        <f>268.5+47+94.5+137</f>
        <v>547</v>
      </c>
      <c r="AI840" s="151">
        <v>240</v>
      </c>
      <c r="AJ840" s="151">
        <v>0</v>
      </c>
    </row>
    <row r="841" spans="1:36" x14ac:dyDescent="0.25">
      <c r="A841" s="15" t="s">
        <v>1340</v>
      </c>
      <c r="B841" s="25" t="s">
        <v>1341</v>
      </c>
      <c r="C841" s="141">
        <v>45448</v>
      </c>
      <c r="D841" s="141">
        <v>45449</v>
      </c>
      <c r="E841">
        <f>Tabela4[[#This Row],[DATA FATURAMENTO]]-Tabela4[[#This Row],[DATA ORÇAMENTO]]</f>
        <v>1</v>
      </c>
      <c r="F841" s="15">
        <v>11688</v>
      </c>
      <c r="G841" s="15" t="s">
        <v>22</v>
      </c>
      <c r="H841" s="25"/>
      <c r="I841" s="151">
        <v>1292</v>
      </c>
      <c r="J841" s="151">
        <v>408</v>
      </c>
      <c r="K841" s="153">
        <f>Tabela4[[#This Row],[PECAS]]+Tabela4[[#This Row],[SERVICOS]]</f>
        <v>1700</v>
      </c>
      <c r="L841" s="151">
        <v>0</v>
      </c>
      <c r="M841" s="151">
        <v>0</v>
      </c>
      <c r="N841" s="24"/>
      <c r="O841" s="151">
        <v>108</v>
      </c>
      <c r="P841" s="151">
        <v>0</v>
      </c>
      <c r="Q841" s="151">
        <v>0</v>
      </c>
      <c r="R841" s="151">
        <v>0</v>
      </c>
      <c r="S841" s="154">
        <v>0</v>
      </c>
      <c r="T841" s="151">
        <v>0</v>
      </c>
      <c r="U841" s="151">
        <v>0</v>
      </c>
      <c r="V841" s="15"/>
      <c r="W841" s="22">
        <v>0</v>
      </c>
      <c r="X841" s="149">
        <v>0</v>
      </c>
      <c r="Y841" s="15"/>
      <c r="Z841" s="151">
        <v>0</v>
      </c>
      <c r="AA841" s="149">
        <f>Tabela4[[#This Row],[VALOR]]-Tabela4[[#This Row],[PNEUS]]-Tabela4[[#This Row],[BATERIA]]</f>
        <v>1700</v>
      </c>
      <c r="AB841" s="19" t="s">
        <v>36</v>
      </c>
      <c r="AC841" s="30">
        <v>0</v>
      </c>
      <c r="AD841" s="151">
        <f>622.8+538.9+108+300</f>
        <v>1569.6999999999998</v>
      </c>
      <c r="AE841" s="151">
        <v>0</v>
      </c>
      <c r="AF841" s="151">
        <v>0</v>
      </c>
      <c r="AG841" s="151">
        <v>130.30000000000001</v>
      </c>
      <c r="AH841" s="151">
        <v>0</v>
      </c>
      <c r="AI841" s="151">
        <v>0</v>
      </c>
      <c r="AJ841" s="151">
        <v>0</v>
      </c>
    </row>
    <row r="842" spans="1:36" x14ac:dyDescent="0.25">
      <c r="A842" s="15" t="s">
        <v>1342</v>
      </c>
      <c r="B842" s="25" t="s">
        <v>1343</v>
      </c>
      <c r="C842" s="141">
        <v>45449</v>
      </c>
      <c r="D842" s="141">
        <v>45449</v>
      </c>
      <c r="E842">
        <f>Tabela4[[#This Row],[DATA FATURAMENTO]]-Tabela4[[#This Row],[DATA ORÇAMENTO]]</f>
        <v>0</v>
      </c>
      <c r="F842" s="15">
        <v>11702</v>
      </c>
      <c r="G842" s="15" t="s">
        <v>22</v>
      </c>
      <c r="H842" s="25"/>
      <c r="I842" s="151">
        <v>716.9</v>
      </c>
      <c r="J842" s="151">
        <v>880</v>
      </c>
      <c r="K842" s="153">
        <f>Tabela4[[#This Row],[PECAS]]+Tabela4[[#This Row],[SERVICOS]]</f>
        <v>1596.9</v>
      </c>
      <c r="L842" s="151">
        <v>0</v>
      </c>
      <c r="M842" s="151">
        <v>0</v>
      </c>
      <c r="N842" s="24"/>
      <c r="O842" s="151">
        <v>270</v>
      </c>
      <c r="P842" s="151">
        <f>117.7+82.8</f>
        <v>200.5</v>
      </c>
      <c r="Q842" s="151">
        <v>150</v>
      </c>
      <c r="R842" s="151">
        <v>0</v>
      </c>
      <c r="S842" s="154">
        <v>190</v>
      </c>
      <c r="T842" s="151">
        <v>0</v>
      </c>
      <c r="U842" s="151">
        <v>0</v>
      </c>
      <c r="V842" s="15"/>
      <c r="W842" s="22">
        <v>5</v>
      </c>
      <c r="X842" s="149">
        <v>64.8</v>
      </c>
      <c r="Y842" s="15" t="s">
        <v>1344</v>
      </c>
      <c r="Z842" s="151">
        <v>0</v>
      </c>
      <c r="AA842" s="149">
        <f>Tabela4[[#This Row],[VALOR]]-Tabela4[[#This Row],[PNEUS]]-Tabela4[[#This Row],[BATERIA]]</f>
        <v>1596.9</v>
      </c>
      <c r="AB842" s="19" t="s">
        <v>36</v>
      </c>
      <c r="AC842" s="30">
        <v>0</v>
      </c>
      <c r="AD842" s="151">
        <f>270+150</f>
        <v>420</v>
      </c>
      <c r="AE842" s="151">
        <v>270</v>
      </c>
      <c r="AF842" s="151">
        <v>0</v>
      </c>
      <c r="AG842" s="151">
        <f>28.7+96+20</f>
        <v>144.69999999999999</v>
      </c>
      <c r="AH842" s="151">
        <f>47.7+117.7+82.8+190</f>
        <v>438.2</v>
      </c>
      <c r="AI842" s="151">
        <v>324</v>
      </c>
      <c r="AJ842" s="151">
        <v>0</v>
      </c>
    </row>
    <row r="843" spans="1:36" x14ac:dyDescent="0.25">
      <c r="A843" s="15" t="s">
        <v>1345</v>
      </c>
      <c r="B843" s="25" t="s">
        <v>1346</v>
      </c>
      <c r="C843" s="141">
        <v>45449</v>
      </c>
      <c r="D843" s="141">
        <v>45449</v>
      </c>
      <c r="E843">
        <f>Tabela4[[#This Row],[DATA FATURAMENTO]]-Tabela4[[#This Row],[DATA ORÇAMENTO]]</f>
        <v>0</v>
      </c>
      <c r="F843" s="15">
        <v>11705</v>
      </c>
      <c r="G843" s="15" t="s">
        <v>22</v>
      </c>
      <c r="H843" s="25"/>
      <c r="I843" s="151">
        <v>558.4</v>
      </c>
      <c r="J843" s="151">
        <v>136</v>
      </c>
      <c r="K843" s="153">
        <f>Tabela4[[#This Row],[PECAS]]+Tabela4[[#This Row],[SERVICOS]]</f>
        <v>694.4</v>
      </c>
      <c r="L843" s="151">
        <v>0</v>
      </c>
      <c r="M843" s="151">
        <v>0</v>
      </c>
      <c r="N843" s="24"/>
      <c r="O843" s="151">
        <v>0</v>
      </c>
      <c r="P843" s="151">
        <v>0</v>
      </c>
      <c r="Q843" s="151">
        <v>0</v>
      </c>
      <c r="R843" s="151">
        <v>0</v>
      </c>
      <c r="S843" s="154">
        <v>215.9</v>
      </c>
      <c r="T843" s="151">
        <v>0</v>
      </c>
      <c r="U843" s="151">
        <v>0</v>
      </c>
      <c r="V843" s="15"/>
      <c r="W843" s="22">
        <v>5</v>
      </c>
      <c r="X843" s="149">
        <v>59.9</v>
      </c>
      <c r="Y843" s="15" t="s">
        <v>658</v>
      </c>
      <c r="Z843" s="151">
        <v>0</v>
      </c>
      <c r="AA843" s="149">
        <f>Tabela4[[#This Row],[VALOR]]-Tabela4[[#This Row],[PNEUS]]-Tabela4[[#This Row],[BATERIA]]</f>
        <v>694.4</v>
      </c>
      <c r="AB843" s="19" t="s">
        <v>36</v>
      </c>
      <c r="AC843" s="30">
        <v>0</v>
      </c>
      <c r="AD843" s="162">
        <v>0</v>
      </c>
      <c r="AE843" s="151">
        <v>0</v>
      </c>
      <c r="AF843" s="151">
        <v>0</v>
      </c>
      <c r="AG843" s="151">
        <f>47+68.7+14.3</f>
        <v>130</v>
      </c>
      <c r="AH843" s="151">
        <f>79.9+49+136</f>
        <v>264.89999999999998</v>
      </c>
      <c r="AI843" s="151">
        <v>0</v>
      </c>
      <c r="AJ843" s="151">
        <v>0</v>
      </c>
    </row>
    <row r="844" spans="1:36" x14ac:dyDescent="0.25">
      <c r="A844" s="15" t="s">
        <v>371</v>
      </c>
      <c r="B844" s="25" t="s">
        <v>1058</v>
      </c>
      <c r="C844" s="141">
        <v>45449</v>
      </c>
      <c r="D844" s="141">
        <v>45449</v>
      </c>
      <c r="E844">
        <f>Tabela4[[#This Row],[DATA FATURAMENTO]]-Tabela4[[#This Row],[DATA ORÇAMENTO]]</f>
        <v>0</v>
      </c>
      <c r="F844" s="15">
        <v>11708</v>
      </c>
      <c r="G844" s="15" t="s">
        <v>6</v>
      </c>
      <c r="H844" s="25"/>
      <c r="I844" s="151">
        <v>530</v>
      </c>
      <c r="J844" s="151">
        <v>0</v>
      </c>
      <c r="K844" s="153">
        <f>Tabela4[[#This Row],[PECAS]]+Tabela4[[#This Row],[SERVICOS]]</f>
        <v>530</v>
      </c>
      <c r="L844" s="151">
        <v>0</v>
      </c>
      <c r="M844" s="151">
        <v>0</v>
      </c>
      <c r="N844" s="24"/>
      <c r="O844" s="151">
        <v>0</v>
      </c>
      <c r="P844" s="151">
        <v>0</v>
      </c>
      <c r="Q844" s="151">
        <v>0</v>
      </c>
      <c r="R844" s="151">
        <v>0</v>
      </c>
      <c r="S844" s="154">
        <v>0</v>
      </c>
      <c r="T844" s="151">
        <v>0</v>
      </c>
      <c r="U844" s="151">
        <v>530</v>
      </c>
      <c r="V844" s="15" t="s">
        <v>884</v>
      </c>
      <c r="W844" s="22">
        <v>0</v>
      </c>
      <c r="X844" s="149">
        <v>0</v>
      </c>
      <c r="Y844" s="15"/>
      <c r="Z844" s="151">
        <v>0</v>
      </c>
      <c r="AA844" s="149">
        <f>Tabela4[[#This Row],[VALOR]]-Tabela4[[#This Row],[PNEUS]]-Tabela4[[#This Row],[BATERIA]]</f>
        <v>0</v>
      </c>
      <c r="AB844" s="19" t="s">
        <v>6</v>
      </c>
      <c r="AC844" s="30">
        <v>0</v>
      </c>
      <c r="AD844" s="162">
        <v>0</v>
      </c>
      <c r="AE844" s="151">
        <v>0</v>
      </c>
      <c r="AF844" s="151">
        <v>0</v>
      </c>
      <c r="AG844" s="151">
        <v>0</v>
      </c>
      <c r="AH844" s="151">
        <v>0</v>
      </c>
      <c r="AI844" s="151">
        <v>0</v>
      </c>
      <c r="AJ844" s="151">
        <v>0</v>
      </c>
    </row>
    <row r="845" spans="1:36" x14ac:dyDescent="0.25">
      <c r="A845" s="15" t="s">
        <v>1315</v>
      </c>
      <c r="B845" s="25" t="s">
        <v>1337</v>
      </c>
      <c r="C845" s="141">
        <v>45449</v>
      </c>
      <c r="D845" s="141">
        <v>45450</v>
      </c>
      <c r="E845">
        <f>Tabela4[[#This Row],[DATA FATURAMENTO]]-Tabela4[[#This Row],[DATA ORÇAMENTO]]</f>
        <v>1</v>
      </c>
      <c r="F845" s="15">
        <v>11707</v>
      </c>
      <c r="G845" s="15" t="s">
        <v>35</v>
      </c>
      <c r="H845" s="25"/>
      <c r="I845" s="151">
        <v>1680.4</v>
      </c>
      <c r="J845" s="151">
        <v>1219.5999999999999</v>
      </c>
      <c r="K845" s="153">
        <f>Tabela4[[#This Row],[PECAS]]+Tabela4[[#This Row],[SERVICOS]]</f>
        <v>2900</v>
      </c>
      <c r="L845" s="151">
        <v>0</v>
      </c>
      <c r="M845" s="151">
        <v>0</v>
      </c>
      <c r="N845" s="24"/>
      <c r="O845" s="151">
        <v>0</v>
      </c>
      <c r="P845" s="151">
        <v>0</v>
      </c>
      <c r="Q845" s="151">
        <v>0</v>
      </c>
      <c r="R845" s="151">
        <v>0</v>
      </c>
      <c r="S845" s="154">
        <v>0</v>
      </c>
      <c r="T845" s="151">
        <v>0</v>
      </c>
      <c r="U845" s="151">
        <v>0</v>
      </c>
      <c r="V845" s="15"/>
      <c r="W845" s="22">
        <v>4</v>
      </c>
      <c r="X845" s="149">
        <v>78.8</v>
      </c>
      <c r="Y845" s="15" t="s">
        <v>645</v>
      </c>
      <c r="Z845" s="151">
        <v>0</v>
      </c>
      <c r="AA845" s="149">
        <f>Tabela4[[#This Row],[VALOR]]-Tabela4[[#This Row],[PNEUS]]-Tabela4[[#This Row],[BATERIA]]</f>
        <v>2900</v>
      </c>
      <c r="AB845" s="19" t="s">
        <v>34</v>
      </c>
      <c r="AC845" s="30">
        <v>0</v>
      </c>
      <c r="AD845" s="162">
        <v>0</v>
      </c>
      <c r="AE845" s="151">
        <v>0</v>
      </c>
      <c r="AF845" s="151">
        <f>138+109.6</f>
        <v>247.6</v>
      </c>
      <c r="AG845" s="151">
        <f>37.5+28.9+373.9+94.9+7.8+520+170</f>
        <v>1233</v>
      </c>
      <c r="AH845" s="151">
        <f>47.7+78.5+404+420</f>
        <v>950.2</v>
      </c>
      <c r="AI845" s="151">
        <v>315.2</v>
      </c>
      <c r="AJ845" s="151">
        <v>0</v>
      </c>
    </row>
    <row r="846" spans="1:36" x14ac:dyDescent="0.25">
      <c r="A846" s="15" t="s">
        <v>568</v>
      </c>
      <c r="B846" s="25" t="s">
        <v>951</v>
      </c>
      <c r="C846" s="141">
        <v>45448</v>
      </c>
      <c r="D846" s="141">
        <v>45450</v>
      </c>
      <c r="E846">
        <f>Tabela4[[#This Row],[DATA FATURAMENTO]]-Tabela4[[#This Row],[DATA ORÇAMENTO]]</f>
        <v>2</v>
      </c>
      <c r="F846" s="15">
        <v>11694</v>
      </c>
      <c r="G846" s="15" t="s">
        <v>33</v>
      </c>
      <c r="H846" s="25"/>
      <c r="I846" s="151">
        <v>252.1</v>
      </c>
      <c r="J846" s="151">
        <v>565.49</v>
      </c>
      <c r="K846" s="153">
        <f>Tabela4[[#This Row],[PECAS]]+Tabela4[[#This Row],[SERVICOS]]</f>
        <v>817.59</v>
      </c>
      <c r="L846" s="151">
        <v>0</v>
      </c>
      <c r="M846" s="151">
        <v>0</v>
      </c>
      <c r="N846" s="24"/>
      <c r="O846" s="151">
        <v>0</v>
      </c>
      <c r="P846" s="151">
        <v>0</v>
      </c>
      <c r="Q846" s="151">
        <v>0</v>
      </c>
      <c r="R846" s="151">
        <v>0</v>
      </c>
      <c r="S846" s="154">
        <v>0</v>
      </c>
      <c r="T846" s="151">
        <v>0</v>
      </c>
      <c r="U846" s="151">
        <v>0</v>
      </c>
      <c r="V846" s="15"/>
      <c r="W846" s="22">
        <v>0</v>
      </c>
      <c r="X846" s="149">
        <v>0</v>
      </c>
      <c r="Y846" s="15"/>
      <c r="Z846" s="151">
        <v>0</v>
      </c>
      <c r="AA846" s="149">
        <f>Tabela4[[#This Row],[VALOR]]-Tabela4[[#This Row],[PNEUS]]-Tabela4[[#This Row],[BATERIA]]</f>
        <v>817.59</v>
      </c>
      <c r="AB846" s="19" t="s">
        <v>32</v>
      </c>
      <c r="AC846" s="30">
        <v>0</v>
      </c>
      <c r="AD846" s="162">
        <v>0</v>
      </c>
      <c r="AE846" s="151">
        <v>0</v>
      </c>
      <c r="AF846" s="151">
        <f>204.4+219.91+78.54+109.96+157.08</f>
        <v>769.8900000000001</v>
      </c>
      <c r="AG846" s="151">
        <v>0</v>
      </c>
      <c r="AH846" s="151">
        <v>47.7</v>
      </c>
      <c r="AI846" s="151">
        <v>0</v>
      </c>
      <c r="AJ846" s="151">
        <v>0</v>
      </c>
    </row>
    <row r="847" spans="1:36" x14ac:dyDescent="0.25">
      <c r="A847" s="15" t="s">
        <v>459</v>
      </c>
      <c r="B847" s="25" t="s">
        <v>1332</v>
      </c>
      <c r="C847" s="141">
        <v>45448</v>
      </c>
      <c r="D847" s="141">
        <v>45450</v>
      </c>
      <c r="E847">
        <f>Tabela4[[#This Row],[DATA FATURAMENTO]]-Tabela4[[#This Row],[DATA ORÇAMENTO]]</f>
        <v>2</v>
      </c>
      <c r="F847" s="15">
        <v>11695</v>
      </c>
      <c r="G847" s="15" t="s">
        <v>22</v>
      </c>
      <c r="H847" s="25"/>
      <c r="I847" s="151">
        <v>635.20000000000005</v>
      </c>
      <c r="J847" s="151">
        <f>147.67+112.13</f>
        <v>259.79999999999995</v>
      </c>
      <c r="K847" s="153">
        <f>Tabela4[[#This Row],[PECAS]]+Tabela4[[#This Row],[SERVICOS]]</f>
        <v>895</v>
      </c>
      <c r="L847" s="151">
        <v>0</v>
      </c>
      <c r="M847" s="151">
        <v>0</v>
      </c>
      <c r="N847" s="24"/>
      <c r="O847" s="151">
        <v>0</v>
      </c>
      <c r="P847" s="151">
        <v>0</v>
      </c>
      <c r="Q847" s="151">
        <v>0</v>
      </c>
      <c r="R847" s="151">
        <v>0</v>
      </c>
      <c r="S847" s="154">
        <v>0</v>
      </c>
      <c r="T847" s="151">
        <v>0</v>
      </c>
      <c r="U847" s="151">
        <v>0</v>
      </c>
      <c r="V847" s="15"/>
      <c r="W847" s="22">
        <v>0</v>
      </c>
      <c r="X847" s="149">
        <v>0</v>
      </c>
      <c r="Y847" s="15"/>
      <c r="Z847" s="151">
        <v>0</v>
      </c>
      <c r="AA847" s="149">
        <f>Tabela4[[#This Row],[VALOR]]-Tabela4[[#This Row],[PNEUS]]-Tabela4[[#This Row],[BATERIA]]</f>
        <v>895</v>
      </c>
      <c r="AB847" s="19" t="s">
        <v>34</v>
      </c>
      <c r="AC847" s="30">
        <v>0</v>
      </c>
      <c r="AD847" s="162">
        <v>0</v>
      </c>
      <c r="AE847" s="151">
        <v>0</v>
      </c>
      <c r="AF847" s="151">
        <f>635.2+147.67+112.13</f>
        <v>895</v>
      </c>
      <c r="AG847" s="151">
        <v>0</v>
      </c>
      <c r="AH847" s="151">
        <v>0</v>
      </c>
      <c r="AI847" s="151">
        <v>0</v>
      </c>
      <c r="AJ847" s="151">
        <v>0</v>
      </c>
    </row>
    <row r="848" spans="1:36" x14ac:dyDescent="0.25">
      <c r="A848" s="15" t="s">
        <v>1347</v>
      </c>
      <c r="B848" s="25" t="s">
        <v>951</v>
      </c>
      <c r="C848" s="141">
        <v>45448</v>
      </c>
      <c r="D848" s="141">
        <v>45450</v>
      </c>
      <c r="E848">
        <f>Tabela4[[#This Row],[DATA FATURAMENTO]]-Tabela4[[#This Row],[DATA ORÇAMENTO]]</f>
        <v>2</v>
      </c>
      <c r="F848" s="15">
        <v>11700</v>
      </c>
      <c r="G848" s="15" t="s">
        <v>35</v>
      </c>
      <c r="H848" s="25"/>
      <c r="I848" s="151">
        <v>1230</v>
      </c>
      <c r="J848" s="151">
        <v>470</v>
      </c>
      <c r="K848" s="153">
        <f>Tabela4[[#This Row],[PECAS]]+Tabela4[[#This Row],[SERVICOS]]</f>
        <v>1700</v>
      </c>
      <c r="L848" s="151">
        <v>0</v>
      </c>
      <c r="M848" s="151">
        <v>0</v>
      </c>
      <c r="N848" s="24"/>
      <c r="O848" s="151">
        <v>0</v>
      </c>
      <c r="P848" s="151">
        <v>0</v>
      </c>
      <c r="Q848" s="151">
        <v>0</v>
      </c>
      <c r="R848" s="151">
        <v>0</v>
      </c>
      <c r="S848" s="154">
        <v>0</v>
      </c>
      <c r="T848" s="151">
        <v>0</v>
      </c>
      <c r="U848" s="151">
        <v>0</v>
      </c>
      <c r="V848" s="15"/>
      <c r="W848" s="22">
        <v>0</v>
      </c>
      <c r="X848" s="149">
        <v>0</v>
      </c>
      <c r="Y848" s="15"/>
      <c r="Z848" s="151">
        <v>0</v>
      </c>
      <c r="AA848" s="149">
        <f>Tabela4[[#This Row],[VALOR]]-Tabela4[[#This Row],[PNEUS]]-Tabela4[[#This Row],[BATERIA]]</f>
        <v>1700</v>
      </c>
      <c r="AB848" s="19" t="s">
        <v>32</v>
      </c>
      <c r="AC848" s="30">
        <v>0</v>
      </c>
      <c r="AD848" s="162">
        <v>0</v>
      </c>
      <c r="AE848" s="151">
        <v>0</v>
      </c>
      <c r="AF848" s="151">
        <v>0</v>
      </c>
      <c r="AG848" s="151">
        <v>0</v>
      </c>
      <c r="AH848" s="151">
        <f>1230+470</f>
        <v>1700</v>
      </c>
      <c r="AI848" s="151">
        <v>0</v>
      </c>
      <c r="AJ848" s="151">
        <v>0</v>
      </c>
    </row>
    <row r="849" spans="1:36" x14ac:dyDescent="0.25">
      <c r="A849" s="15" t="s">
        <v>1348</v>
      </c>
      <c r="B849" s="25" t="s">
        <v>1026</v>
      </c>
      <c r="C849" s="141">
        <v>45450</v>
      </c>
      <c r="D849" s="141">
        <v>45450</v>
      </c>
      <c r="E849">
        <f>Tabela4[[#This Row],[DATA FATURAMENTO]]-Tabela4[[#This Row],[DATA ORÇAMENTO]]</f>
        <v>0</v>
      </c>
      <c r="F849" s="15">
        <v>11712</v>
      </c>
      <c r="G849" s="15" t="s">
        <v>39</v>
      </c>
      <c r="H849" s="25" t="s">
        <v>45</v>
      </c>
      <c r="I849" s="151">
        <v>120</v>
      </c>
      <c r="J849" s="151">
        <v>240.02</v>
      </c>
      <c r="K849" s="153">
        <f>Tabela4[[#This Row],[PECAS]]+Tabela4[[#This Row],[SERVICOS]]</f>
        <v>360.02</v>
      </c>
      <c r="L849" s="151">
        <v>0</v>
      </c>
      <c r="M849" s="151">
        <v>0</v>
      </c>
      <c r="N849" s="24"/>
      <c r="O849" s="151">
        <v>0</v>
      </c>
      <c r="P849" s="151">
        <v>0</v>
      </c>
      <c r="Q849" s="151">
        <v>0</v>
      </c>
      <c r="R849" s="151">
        <v>0</v>
      </c>
      <c r="S849" s="154">
        <v>80</v>
      </c>
      <c r="T849" s="151">
        <v>0</v>
      </c>
      <c r="U849" s="151">
        <v>0</v>
      </c>
      <c r="V849" s="15"/>
      <c r="W849" s="22">
        <v>0</v>
      </c>
      <c r="X849" s="149">
        <v>0</v>
      </c>
      <c r="Y849" s="15"/>
      <c r="Z849" s="151">
        <v>80</v>
      </c>
      <c r="AA849" s="149">
        <f>Tabela4[[#This Row],[VALOR]]-Tabela4[[#This Row],[PNEUS]]-Tabela4[[#This Row],[BATERIA]]</f>
        <v>360.02</v>
      </c>
      <c r="AB849" s="19" t="s">
        <v>36</v>
      </c>
      <c r="AC849" s="30">
        <v>0</v>
      </c>
      <c r="AD849" s="162">
        <v>0</v>
      </c>
      <c r="AE849" s="151">
        <f>240.02</f>
        <v>240.02</v>
      </c>
      <c r="AF849" s="151">
        <v>0</v>
      </c>
      <c r="AG849" s="151">
        <v>0</v>
      </c>
      <c r="AH849" s="151">
        <v>40</v>
      </c>
      <c r="AI849" s="151">
        <v>0</v>
      </c>
      <c r="AJ849" s="151">
        <v>0</v>
      </c>
    </row>
    <row r="850" spans="1:36" x14ac:dyDescent="0.25">
      <c r="A850" s="15" t="s">
        <v>1349</v>
      </c>
      <c r="B850" s="25" t="s">
        <v>1058</v>
      </c>
      <c r="C850" s="141">
        <v>45450</v>
      </c>
      <c r="D850" s="141">
        <v>45450</v>
      </c>
      <c r="E850">
        <f>Tabela4[[#This Row],[DATA FATURAMENTO]]-Tabela4[[#This Row],[DATA ORÇAMENTO]]</f>
        <v>0</v>
      </c>
      <c r="F850" s="15">
        <v>11713</v>
      </c>
      <c r="G850" s="15" t="s">
        <v>31</v>
      </c>
      <c r="H850" s="25"/>
      <c r="I850" s="151">
        <v>0</v>
      </c>
      <c r="J850" s="151">
        <v>178</v>
      </c>
      <c r="K850" s="153">
        <f>Tabela4[[#This Row],[PECAS]]+Tabela4[[#This Row],[SERVICOS]]</f>
        <v>178</v>
      </c>
      <c r="L850" s="151">
        <v>0</v>
      </c>
      <c r="M850" s="151">
        <v>0</v>
      </c>
      <c r="N850" s="24"/>
      <c r="O850" s="151">
        <v>0</v>
      </c>
      <c r="P850" s="151">
        <v>0</v>
      </c>
      <c r="Q850" s="151">
        <v>0</v>
      </c>
      <c r="R850" s="151">
        <v>0</v>
      </c>
      <c r="S850" s="154">
        <v>0</v>
      </c>
      <c r="T850" s="151">
        <v>0</v>
      </c>
      <c r="U850" s="151">
        <v>0</v>
      </c>
      <c r="V850" s="15"/>
      <c r="W850" s="22">
        <v>0</v>
      </c>
      <c r="X850" s="149">
        <v>0</v>
      </c>
      <c r="Y850" s="15"/>
      <c r="Z850" s="151">
        <v>0</v>
      </c>
      <c r="AA850" s="149">
        <f>Tabela4[[#This Row],[VALOR]]-Tabela4[[#This Row],[PNEUS]]-Tabela4[[#This Row],[BATERIA]]</f>
        <v>178</v>
      </c>
      <c r="AB850" s="19" t="s">
        <v>34</v>
      </c>
      <c r="AC850" s="30">
        <v>0</v>
      </c>
      <c r="AD850" s="162">
        <v>0</v>
      </c>
      <c r="AE850" s="151">
        <v>178</v>
      </c>
      <c r="AF850" s="151">
        <v>0</v>
      </c>
      <c r="AG850" s="151">
        <v>0</v>
      </c>
      <c r="AH850" s="151">
        <v>0</v>
      </c>
      <c r="AI850" s="151">
        <v>0</v>
      </c>
      <c r="AJ850" s="151">
        <v>0</v>
      </c>
    </row>
    <row r="851" spans="1:36" x14ac:dyDescent="0.25">
      <c r="A851" s="15" t="s">
        <v>1350</v>
      </c>
      <c r="B851" s="25" t="s">
        <v>968</v>
      </c>
      <c r="C851" s="141">
        <v>45450</v>
      </c>
      <c r="D851" s="141">
        <v>45450</v>
      </c>
      <c r="E851">
        <f>Tabela4[[#This Row],[DATA FATURAMENTO]]-Tabela4[[#This Row],[DATA ORÇAMENTO]]</f>
        <v>0</v>
      </c>
      <c r="F851" s="15">
        <v>11714</v>
      </c>
      <c r="G851" s="15" t="s">
        <v>22</v>
      </c>
      <c r="H851" s="25"/>
      <c r="I851" s="151">
        <v>632.5</v>
      </c>
      <c r="J851" s="151">
        <v>167.5</v>
      </c>
      <c r="K851" s="153">
        <f>Tabela4[[#This Row],[PECAS]]+Tabela4[[#This Row],[SERVICOS]]</f>
        <v>800</v>
      </c>
      <c r="L851" s="151">
        <v>0</v>
      </c>
      <c r="M851" s="151">
        <v>0</v>
      </c>
      <c r="N851" s="24"/>
      <c r="O851" s="151">
        <v>0</v>
      </c>
      <c r="P851" s="151">
        <f>104+76</f>
        <v>180</v>
      </c>
      <c r="Q851" s="151">
        <v>0</v>
      </c>
      <c r="R851" s="151">
        <v>0</v>
      </c>
      <c r="S851" s="154">
        <v>167.5</v>
      </c>
      <c r="T851" s="151">
        <v>0</v>
      </c>
      <c r="U851" s="151">
        <v>0</v>
      </c>
      <c r="V851" s="15"/>
      <c r="W851" s="22">
        <v>4</v>
      </c>
      <c r="X851" s="149">
        <v>65</v>
      </c>
      <c r="Y851" s="15" t="s">
        <v>1344</v>
      </c>
      <c r="Z851" s="151">
        <v>167.5</v>
      </c>
      <c r="AA851" s="149">
        <f>Tabela4[[#This Row],[VALOR]]-Tabela4[[#This Row],[PNEUS]]-Tabela4[[#This Row],[BATERIA]]</f>
        <v>800</v>
      </c>
      <c r="AB851" s="19" t="s">
        <v>30</v>
      </c>
      <c r="AC851" s="30">
        <v>0</v>
      </c>
      <c r="AD851" s="162">
        <v>0</v>
      </c>
      <c r="AE851" s="151">
        <v>0</v>
      </c>
      <c r="AF851" s="151">
        <v>0</v>
      </c>
      <c r="AG851" s="151">
        <f>97.5+29.7+17.6</f>
        <v>144.80000000000001</v>
      </c>
      <c r="AH851" s="151">
        <f>104+76+47.7+167.5</f>
        <v>395.2</v>
      </c>
      <c r="AI851" s="151">
        <v>0</v>
      </c>
      <c r="AJ851" s="151">
        <v>0</v>
      </c>
    </row>
    <row r="852" spans="1:36" x14ac:dyDescent="0.25">
      <c r="A852" s="15" t="s">
        <v>1351</v>
      </c>
      <c r="B852" s="25" t="s">
        <v>1352</v>
      </c>
      <c r="C852" s="141">
        <v>45450</v>
      </c>
      <c r="D852" s="141">
        <v>45450</v>
      </c>
      <c r="E852">
        <f>Tabela4[[#This Row],[DATA FATURAMENTO]]-Tabela4[[#This Row],[DATA ORÇAMENTO]]</f>
        <v>0</v>
      </c>
      <c r="F852" s="15">
        <v>11717</v>
      </c>
      <c r="G852" s="15" t="s">
        <v>22</v>
      </c>
      <c r="H852" s="25"/>
      <c r="I852" s="151">
        <v>12.9</v>
      </c>
      <c r="J852" s="151">
        <v>72.16</v>
      </c>
      <c r="K852" s="153">
        <f>Tabela4[[#This Row],[PECAS]]+Tabela4[[#This Row],[SERVICOS]]</f>
        <v>85.06</v>
      </c>
      <c r="L852" s="151">
        <v>0</v>
      </c>
      <c r="M852" s="151">
        <v>0</v>
      </c>
      <c r="N852" s="24"/>
      <c r="O852" s="151">
        <v>0</v>
      </c>
      <c r="P852" s="151">
        <v>0</v>
      </c>
      <c r="Q852" s="151">
        <v>0</v>
      </c>
      <c r="R852" s="151">
        <v>0</v>
      </c>
      <c r="S852" s="154">
        <v>0</v>
      </c>
      <c r="T852" s="151">
        <v>0</v>
      </c>
      <c r="U852" s="151">
        <v>0</v>
      </c>
      <c r="V852" s="15"/>
      <c r="W852" s="22">
        <v>0</v>
      </c>
      <c r="X852" s="149">
        <v>0</v>
      </c>
      <c r="Y852" s="15"/>
      <c r="Z852" s="151">
        <v>0</v>
      </c>
      <c r="AA852" s="149">
        <f>Tabela4[[#This Row],[VALOR]]-Tabela4[[#This Row],[PNEUS]]-Tabela4[[#This Row],[BATERIA]]</f>
        <v>85.06</v>
      </c>
      <c r="AB852" s="19" t="s">
        <v>34</v>
      </c>
      <c r="AC852" s="30">
        <v>0</v>
      </c>
      <c r="AD852" s="162">
        <v>0</v>
      </c>
      <c r="AE852" s="151">
        <v>0</v>
      </c>
      <c r="AF852" s="151">
        <v>0</v>
      </c>
      <c r="AG852" s="151">
        <v>0</v>
      </c>
      <c r="AH852" s="151">
        <v>85.06</v>
      </c>
      <c r="AI852" s="151">
        <v>0</v>
      </c>
      <c r="AJ852" s="151">
        <v>0</v>
      </c>
    </row>
    <row r="853" spans="1:36" x14ac:dyDescent="0.25">
      <c r="A853" s="15" t="s">
        <v>1353</v>
      </c>
      <c r="B853" s="25" t="s">
        <v>1039</v>
      </c>
      <c r="C853" s="141">
        <v>45450</v>
      </c>
      <c r="D853" s="141">
        <v>45450</v>
      </c>
      <c r="E853">
        <f>Tabela4[[#This Row],[DATA FATURAMENTO]]-Tabela4[[#This Row],[DATA ORÇAMENTO]]</f>
        <v>0</v>
      </c>
      <c r="F853" s="15">
        <v>11719</v>
      </c>
      <c r="G853" s="15" t="s">
        <v>39</v>
      </c>
      <c r="H853" s="25" t="s">
        <v>44</v>
      </c>
      <c r="I853" s="151">
        <v>20</v>
      </c>
      <c r="J853" s="151">
        <v>175.01</v>
      </c>
      <c r="K853" s="153">
        <f>Tabela4[[#This Row],[PECAS]]+Tabela4[[#This Row],[SERVICOS]]</f>
        <v>195.01</v>
      </c>
      <c r="L853" s="151">
        <v>0</v>
      </c>
      <c r="M853" s="151">
        <v>0</v>
      </c>
      <c r="N853" s="24"/>
      <c r="O853" s="151">
        <v>0</v>
      </c>
      <c r="P853" s="151">
        <v>0</v>
      </c>
      <c r="Q853" s="151">
        <v>0</v>
      </c>
      <c r="R853" s="151">
        <v>0</v>
      </c>
      <c r="S853" s="154">
        <v>0</v>
      </c>
      <c r="T853" s="151">
        <v>0</v>
      </c>
      <c r="U853" s="151">
        <v>0</v>
      </c>
      <c r="V853" s="15"/>
      <c r="W853" s="22">
        <v>0</v>
      </c>
      <c r="X853" s="149">
        <v>0</v>
      </c>
      <c r="Y853" s="15"/>
      <c r="Z853" s="151">
        <v>0</v>
      </c>
      <c r="AA853" s="149">
        <f>Tabela4[[#This Row],[VALOR]]-Tabela4[[#This Row],[PNEUS]]-Tabela4[[#This Row],[BATERIA]]</f>
        <v>195.01</v>
      </c>
      <c r="AB853" s="19" t="s">
        <v>36</v>
      </c>
      <c r="AC853" s="30">
        <v>0</v>
      </c>
      <c r="AD853" s="162">
        <v>0</v>
      </c>
      <c r="AE853" s="151">
        <v>175.01</v>
      </c>
      <c r="AF853" s="151">
        <v>0</v>
      </c>
      <c r="AG853" s="151">
        <v>0</v>
      </c>
      <c r="AH853" s="151">
        <v>20</v>
      </c>
      <c r="AI853" s="151">
        <v>0</v>
      </c>
      <c r="AJ853" s="151">
        <v>0</v>
      </c>
    </row>
    <row r="854" spans="1:36" x14ac:dyDescent="0.25">
      <c r="A854" s="15" t="s">
        <v>1354</v>
      </c>
      <c r="B854" s="25" t="s">
        <v>1355</v>
      </c>
      <c r="C854" s="141">
        <v>45450</v>
      </c>
      <c r="D854" s="141">
        <v>45450</v>
      </c>
      <c r="E854">
        <f>Tabela4[[#This Row],[DATA FATURAMENTO]]-Tabela4[[#This Row],[DATA ORÇAMENTO]]</f>
        <v>0</v>
      </c>
      <c r="F854" s="15">
        <v>11723</v>
      </c>
      <c r="G854" s="15" t="s">
        <v>31</v>
      </c>
      <c r="H854" s="25"/>
      <c r="I854" s="151">
        <v>359.9</v>
      </c>
      <c r="J854" s="151">
        <v>277.10000000000002</v>
      </c>
      <c r="K854" s="153">
        <f>Tabela4[[#This Row],[PECAS]]+Tabela4[[#This Row],[SERVICOS]]</f>
        <v>637</v>
      </c>
      <c r="L854" s="151">
        <v>0</v>
      </c>
      <c r="M854" s="151">
        <v>0</v>
      </c>
      <c r="N854" s="24"/>
      <c r="O854" s="151">
        <v>0</v>
      </c>
      <c r="P854" s="151">
        <v>0</v>
      </c>
      <c r="Q854" s="151">
        <v>0</v>
      </c>
      <c r="R854" s="151">
        <v>0</v>
      </c>
      <c r="S854" s="154">
        <v>0</v>
      </c>
      <c r="T854" s="151">
        <v>0</v>
      </c>
      <c r="U854" s="151">
        <v>0</v>
      </c>
      <c r="V854" s="15"/>
      <c r="W854" s="22">
        <v>3</v>
      </c>
      <c r="X854" s="149">
        <v>64</v>
      </c>
      <c r="Y854" s="15" t="s">
        <v>1344</v>
      </c>
      <c r="Z854" s="151">
        <v>0</v>
      </c>
      <c r="AA854" s="149">
        <f>Tabela4[[#This Row],[VALOR]]-Tabela4[[#This Row],[PNEUS]]-Tabela4[[#This Row],[BATERIA]]</f>
        <v>637</v>
      </c>
      <c r="AB854" s="19" t="s">
        <v>32</v>
      </c>
      <c r="AC854" s="30">
        <v>0</v>
      </c>
      <c r="AD854" s="162">
        <v>0</v>
      </c>
      <c r="AE854" s="151">
        <v>277.10000000000002</v>
      </c>
      <c r="AF854" s="151">
        <v>0</v>
      </c>
      <c r="AG854" s="151">
        <f>34.4+55.8+30</f>
        <v>120.19999999999999</v>
      </c>
      <c r="AH854" s="151">
        <f>47.7</f>
        <v>47.7</v>
      </c>
      <c r="AI854" s="151">
        <v>192</v>
      </c>
      <c r="AJ854" s="151">
        <v>0</v>
      </c>
    </row>
    <row r="855" spans="1:36" x14ac:dyDescent="0.25">
      <c r="A855" s="15" t="s">
        <v>1356</v>
      </c>
      <c r="B855" s="25" t="s">
        <v>1273</v>
      </c>
      <c r="C855" s="141">
        <v>45450</v>
      </c>
      <c r="D855" s="141">
        <v>45450</v>
      </c>
      <c r="E855">
        <f>Tabela4[[#This Row],[DATA FATURAMENTO]]-Tabela4[[#This Row],[DATA ORÇAMENTO]]</f>
        <v>0</v>
      </c>
      <c r="F855" s="15">
        <v>11726</v>
      </c>
      <c r="G855" s="15" t="s">
        <v>22</v>
      </c>
      <c r="H855" s="25"/>
      <c r="I855" s="151">
        <v>440</v>
      </c>
      <c r="J855" s="151">
        <v>0</v>
      </c>
      <c r="K855" s="153">
        <f>Tabela4[[#This Row],[PECAS]]+Tabela4[[#This Row],[SERVICOS]]</f>
        <v>440</v>
      </c>
      <c r="L855" s="151">
        <v>0</v>
      </c>
      <c r="M855" s="151">
        <v>0</v>
      </c>
      <c r="N855" s="24"/>
      <c r="O855" s="151">
        <v>0</v>
      </c>
      <c r="P855" s="151">
        <v>0</v>
      </c>
      <c r="Q855" s="151">
        <v>0</v>
      </c>
      <c r="R855" s="151">
        <v>0</v>
      </c>
      <c r="S855" s="154">
        <v>0</v>
      </c>
      <c r="T855" s="151">
        <v>0</v>
      </c>
      <c r="U855" s="151">
        <v>0</v>
      </c>
      <c r="V855" s="15"/>
      <c r="W855" s="22">
        <v>4</v>
      </c>
      <c r="X855" s="149">
        <v>78.8</v>
      </c>
      <c r="Y855" s="15" t="s">
        <v>645</v>
      </c>
      <c r="Z855" s="151">
        <v>0</v>
      </c>
      <c r="AA855" s="149">
        <f>Tabela4[[#This Row],[VALOR]]-Tabela4[[#This Row],[PNEUS]]-Tabela4[[#This Row],[BATERIA]]</f>
        <v>440</v>
      </c>
      <c r="AB855" s="19" t="s">
        <v>30</v>
      </c>
      <c r="AC855" s="30">
        <v>0</v>
      </c>
      <c r="AD855" s="162">
        <v>0</v>
      </c>
      <c r="AE855" s="151">
        <v>0</v>
      </c>
      <c r="AF855" s="151">
        <v>0</v>
      </c>
      <c r="AG855" s="151">
        <f>33+39+4.3</f>
        <v>76.3</v>
      </c>
      <c r="AH855" s="151">
        <f>48.5</f>
        <v>48.5</v>
      </c>
      <c r="AI855" s="151">
        <v>315.2</v>
      </c>
      <c r="AJ855" s="151">
        <v>0</v>
      </c>
    </row>
    <row r="856" spans="1:36" x14ac:dyDescent="0.25">
      <c r="A856" s="15" t="s">
        <v>395</v>
      </c>
      <c r="B856" s="25" t="s">
        <v>887</v>
      </c>
      <c r="C856" s="141">
        <v>45448</v>
      </c>
      <c r="D856" s="141">
        <v>45451</v>
      </c>
      <c r="E856">
        <f>Tabela4[[#This Row],[DATA FATURAMENTO]]-Tabela4[[#This Row],[DATA ORÇAMENTO]]</f>
        <v>3</v>
      </c>
      <c r="F856" s="15">
        <v>11689</v>
      </c>
      <c r="G856" s="15" t="s">
        <v>31</v>
      </c>
      <c r="H856" s="25"/>
      <c r="I856" s="151">
        <v>3186</v>
      </c>
      <c r="J856" s="151">
        <v>1104</v>
      </c>
      <c r="K856" s="153">
        <f>Tabela4[[#This Row],[PECAS]]+Tabela4[[#This Row],[SERVICOS]]</f>
        <v>4290</v>
      </c>
      <c r="L856" s="151">
        <v>0</v>
      </c>
      <c r="M856" s="151">
        <v>0</v>
      </c>
      <c r="N856" s="24"/>
      <c r="O856" s="151">
        <v>0</v>
      </c>
      <c r="P856" s="151">
        <v>0</v>
      </c>
      <c r="Q856" s="151">
        <v>0</v>
      </c>
      <c r="R856" s="151">
        <v>0</v>
      </c>
      <c r="S856" s="154">
        <v>0</v>
      </c>
      <c r="T856" s="151">
        <v>0</v>
      </c>
      <c r="U856" s="151">
        <v>0</v>
      </c>
      <c r="V856" s="15"/>
      <c r="W856" s="22">
        <v>0</v>
      </c>
      <c r="X856" s="149">
        <v>0</v>
      </c>
      <c r="Y856" s="15"/>
      <c r="Z856" s="151">
        <v>0</v>
      </c>
      <c r="AA856" s="149">
        <f>Tabela4[[#This Row],[VALOR]]-Tabela4[[#This Row],[PNEUS]]-Tabela4[[#This Row],[BATERIA]]</f>
        <v>4290</v>
      </c>
      <c r="AB856" s="19" t="s">
        <v>24</v>
      </c>
      <c r="AC856" s="30">
        <v>0</v>
      </c>
      <c r="AD856" s="162">
        <v>0</v>
      </c>
      <c r="AE856" s="151">
        <f>3186+1104</f>
        <v>4290</v>
      </c>
      <c r="AF856" s="151">
        <v>0</v>
      </c>
      <c r="AG856" s="151">
        <v>0</v>
      </c>
      <c r="AH856" s="151">
        <v>0</v>
      </c>
      <c r="AI856" s="151">
        <v>0</v>
      </c>
      <c r="AJ856" s="151">
        <v>0</v>
      </c>
    </row>
    <row r="857" spans="1:36" x14ac:dyDescent="0.25">
      <c r="A857" s="15" t="s">
        <v>485</v>
      </c>
      <c r="B857" s="25" t="s">
        <v>1357</v>
      </c>
      <c r="C857" s="141">
        <v>45449</v>
      </c>
      <c r="D857" s="141">
        <v>45451</v>
      </c>
      <c r="E857">
        <f>Tabela4[[#This Row],[DATA FATURAMENTO]]-Tabela4[[#This Row],[DATA ORÇAMENTO]]</f>
        <v>2</v>
      </c>
      <c r="F857" s="15">
        <v>11703</v>
      </c>
      <c r="G857" s="15" t="s">
        <v>22</v>
      </c>
      <c r="H857" s="25"/>
      <c r="I857" s="151">
        <v>0</v>
      </c>
      <c r="J857" s="151">
        <v>0</v>
      </c>
      <c r="K857" s="153">
        <f>Tabela4[[#This Row],[PECAS]]+Tabela4[[#This Row],[SERVICOS]]</f>
        <v>0</v>
      </c>
      <c r="L857" s="151">
        <v>0</v>
      </c>
      <c r="M857" s="151">
        <v>0</v>
      </c>
      <c r="N857" s="24"/>
      <c r="O857" s="151">
        <v>0</v>
      </c>
      <c r="P857" s="151">
        <v>0</v>
      </c>
      <c r="Q857" s="151">
        <v>0</v>
      </c>
      <c r="R857" s="151">
        <v>0</v>
      </c>
      <c r="S857" s="154">
        <v>0</v>
      </c>
      <c r="T857" s="151">
        <v>0</v>
      </c>
      <c r="U857" s="151">
        <v>0</v>
      </c>
      <c r="V857" s="15"/>
      <c r="W857" s="22">
        <v>0</v>
      </c>
      <c r="X857" s="149">
        <v>0</v>
      </c>
      <c r="Y857" s="15"/>
      <c r="Z857" s="151">
        <v>0</v>
      </c>
      <c r="AA857" s="149">
        <f>Tabela4[[#This Row],[VALOR]]-Tabela4[[#This Row],[PNEUS]]-Tabela4[[#This Row],[BATERIA]]</f>
        <v>0</v>
      </c>
      <c r="AB857" s="19" t="s">
        <v>30</v>
      </c>
      <c r="AC857" s="30">
        <v>0</v>
      </c>
      <c r="AD857" s="162">
        <v>0</v>
      </c>
      <c r="AE857" s="151">
        <v>0</v>
      </c>
      <c r="AF857" s="151">
        <v>0</v>
      </c>
      <c r="AG857" s="151">
        <v>0</v>
      </c>
      <c r="AH857" s="151">
        <v>0</v>
      </c>
      <c r="AI857" s="151">
        <v>0</v>
      </c>
      <c r="AJ857" s="151">
        <v>0</v>
      </c>
    </row>
    <row r="858" spans="1:36" x14ac:dyDescent="0.25">
      <c r="A858" s="15" t="s">
        <v>1358</v>
      </c>
      <c r="B858" s="25" t="s">
        <v>1026</v>
      </c>
      <c r="C858" s="141">
        <v>45450</v>
      </c>
      <c r="D858" s="141">
        <v>45450</v>
      </c>
      <c r="E858">
        <f>Tabela4[[#This Row],[DATA FATURAMENTO]]-Tabela4[[#This Row],[DATA ORÇAMENTO]]</f>
        <v>0</v>
      </c>
      <c r="F858" s="15">
        <v>11722</v>
      </c>
      <c r="G858" s="15" t="s">
        <v>22</v>
      </c>
      <c r="H858" s="25"/>
      <c r="I858" s="151">
        <v>403</v>
      </c>
      <c r="J858" s="151">
        <v>0</v>
      </c>
      <c r="K858" s="153">
        <f>Tabela4[[#This Row],[PECAS]]+Tabela4[[#This Row],[SERVICOS]]</f>
        <v>403</v>
      </c>
      <c r="L858" s="151">
        <v>0</v>
      </c>
      <c r="M858" s="151">
        <v>0</v>
      </c>
      <c r="N858" s="24"/>
      <c r="O858" s="151">
        <v>0</v>
      </c>
      <c r="P858" s="151">
        <v>0</v>
      </c>
      <c r="Q858" s="151">
        <v>0</v>
      </c>
      <c r="R858" s="151">
        <v>0</v>
      </c>
      <c r="S858" s="154">
        <v>0</v>
      </c>
      <c r="T858" s="151">
        <v>0</v>
      </c>
      <c r="U858" s="151">
        <v>0</v>
      </c>
      <c r="V858" s="15"/>
      <c r="W858" s="22">
        <v>5</v>
      </c>
      <c r="X858" s="149">
        <v>58.8</v>
      </c>
      <c r="Y858" s="15" t="s">
        <v>1344</v>
      </c>
      <c r="Z858" s="151">
        <v>0</v>
      </c>
      <c r="AA858" s="149">
        <f>Tabela4[[#This Row],[VALOR]]-Tabela4[[#This Row],[PNEUS]]-Tabela4[[#This Row],[BATERIA]]</f>
        <v>403</v>
      </c>
      <c r="AB858" s="19" t="s">
        <v>34</v>
      </c>
      <c r="AC858" s="30">
        <v>0</v>
      </c>
      <c r="AD858" s="162">
        <v>0</v>
      </c>
      <c r="AE858" s="151">
        <v>0</v>
      </c>
      <c r="AF858" s="151">
        <v>0</v>
      </c>
      <c r="AG858" s="151">
        <f>36+20</f>
        <v>56</v>
      </c>
      <c r="AH858" s="151">
        <v>53</v>
      </c>
      <c r="AI858" s="151">
        <v>294</v>
      </c>
      <c r="AJ858" s="151">
        <v>0</v>
      </c>
    </row>
    <row r="859" spans="1:36" x14ac:dyDescent="0.25">
      <c r="A859" s="15" t="s">
        <v>1359</v>
      </c>
      <c r="B859" s="25" t="s">
        <v>948</v>
      </c>
      <c r="C859" s="141">
        <v>45451</v>
      </c>
      <c r="D859" s="141">
        <v>45451</v>
      </c>
      <c r="E859">
        <f>Tabela4[[#This Row],[DATA FATURAMENTO]]-Tabela4[[#This Row],[DATA ORÇAMENTO]]</f>
        <v>0</v>
      </c>
      <c r="F859" s="15">
        <v>11727</v>
      </c>
      <c r="G859" s="15" t="s">
        <v>39</v>
      </c>
      <c r="H859" s="25" t="s">
        <v>44</v>
      </c>
      <c r="I859" s="151">
        <v>105</v>
      </c>
      <c r="J859" s="151">
        <v>180.58</v>
      </c>
      <c r="K859" s="153">
        <f>Tabela4[[#This Row],[PECAS]]+Tabela4[[#This Row],[SERVICOS]]</f>
        <v>285.58000000000004</v>
      </c>
      <c r="L859" s="151">
        <v>0</v>
      </c>
      <c r="M859" s="151">
        <v>0</v>
      </c>
      <c r="N859" s="24"/>
      <c r="O859" s="151">
        <v>0</v>
      </c>
      <c r="P859" s="151">
        <v>0</v>
      </c>
      <c r="Q859" s="151">
        <v>0</v>
      </c>
      <c r="R859" s="151">
        <v>0</v>
      </c>
      <c r="S859" s="154">
        <v>0</v>
      </c>
      <c r="T859" s="151">
        <v>0</v>
      </c>
      <c r="U859" s="151">
        <v>0</v>
      </c>
      <c r="V859" s="15"/>
      <c r="W859" s="22">
        <v>0</v>
      </c>
      <c r="X859" s="149">
        <v>0</v>
      </c>
      <c r="Y859" s="15"/>
      <c r="Z859" s="151">
        <v>0</v>
      </c>
      <c r="AA859" s="149">
        <f>Tabela4[[#This Row],[VALOR]]-Tabela4[[#This Row],[PNEUS]]-Tabela4[[#This Row],[BATERIA]]</f>
        <v>285.58000000000004</v>
      </c>
      <c r="AB859" s="19" t="s">
        <v>27</v>
      </c>
      <c r="AC859" s="30">
        <v>0</v>
      </c>
      <c r="AD859" s="162">
        <v>0</v>
      </c>
      <c r="AE859" s="151">
        <v>180.58</v>
      </c>
      <c r="AF859" s="151">
        <v>0</v>
      </c>
      <c r="AG859" s="151">
        <v>0</v>
      </c>
      <c r="AH859" s="151">
        <v>105</v>
      </c>
      <c r="AI859" s="151">
        <v>0</v>
      </c>
      <c r="AJ859" s="151">
        <v>0</v>
      </c>
    </row>
    <row r="860" spans="1:36" x14ac:dyDescent="0.25">
      <c r="A860" s="15" t="s">
        <v>1277</v>
      </c>
      <c r="B860" s="25" t="s">
        <v>1019</v>
      </c>
      <c r="C860" s="141">
        <v>45451</v>
      </c>
      <c r="D860" s="141">
        <v>45451</v>
      </c>
      <c r="E860">
        <f>Tabela4[[#This Row],[DATA FATURAMENTO]]-Tabela4[[#This Row],[DATA ORÇAMENTO]]</f>
        <v>0</v>
      </c>
      <c r="F860" s="15">
        <v>11728</v>
      </c>
      <c r="G860" s="15" t="s">
        <v>22</v>
      </c>
      <c r="H860" s="25"/>
      <c r="I860" s="151">
        <v>0</v>
      </c>
      <c r="J860" s="151">
        <v>115</v>
      </c>
      <c r="K860" s="153">
        <f>Tabela4[[#This Row],[PECAS]]+Tabela4[[#This Row],[SERVICOS]]</f>
        <v>115</v>
      </c>
      <c r="L860" s="151">
        <v>0</v>
      </c>
      <c r="M860" s="151">
        <v>0</v>
      </c>
      <c r="N860" s="24"/>
      <c r="O860" s="151">
        <v>0</v>
      </c>
      <c r="P860" s="151">
        <v>0</v>
      </c>
      <c r="Q860" s="151">
        <v>0</v>
      </c>
      <c r="R860" s="151">
        <v>0</v>
      </c>
      <c r="S860" s="154">
        <v>0</v>
      </c>
      <c r="T860" s="151">
        <v>0</v>
      </c>
      <c r="U860" s="151">
        <v>0</v>
      </c>
      <c r="V860" s="15"/>
      <c r="W860" s="22">
        <v>0</v>
      </c>
      <c r="X860" s="149">
        <v>0</v>
      </c>
      <c r="Y860" s="15"/>
      <c r="Z860" s="151">
        <v>0</v>
      </c>
      <c r="AA860" s="149">
        <f>Tabela4[[#This Row],[VALOR]]-Tabela4[[#This Row],[PNEUS]]-Tabela4[[#This Row],[BATERIA]]</f>
        <v>115</v>
      </c>
      <c r="AB860" s="19" t="s">
        <v>27</v>
      </c>
      <c r="AC860" s="30">
        <v>0</v>
      </c>
      <c r="AD860" s="162">
        <v>0</v>
      </c>
      <c r="AE860" s="151">
        <v>115</v>
      </c>
      <c r="AF860" s="151">
        <v>0</v>
      </c>
      <c r="AG860" s="151">
        <v>0</v>
      </c>
      <c r="AH860" s="151">
        <v>0</v>
      </c>
      <c r="AI860" s="151">
        <v>0</v>
      </c>
      <c r="AJ860" s="151">
        <v>0</v>
      </c>
    </row>
    <row r="861" spans="1:36" x14ac:dyDescent="0.25">
      <c r="A861" s="15" t="s">
        <v>1360</v>
      </c>
      <c r="B861" s="25" t="s">
        <v>1361</v>
      </c>
      <c r="C861" s="141">
        <v>45451</v>
      </c>
      <c r="D861" s="141">
        <v>45451</v>
      </c>
      <c r="E861">
        <f>Tabela4[[#This Row],[DATA FATURAMENTO]]-Tabela4[[#This Row],[DATA ORÇAMENTO]]</f>
        <v>0</v>
      </c>
      <c r="F861" s="15">
        <v>11729</v>
      </c>
      <c r="G861" s="15" t="s">
        <v>31</v>
      </c>
      <c r="H861" s="25"/>
      <c r="I861" s="151">
        <v>35</v>
      </c>
      <c r="J861" s="151">
        <v>0</v>
      </c>
      <c r="K861" s="153">
        <f>Tabela4[[#This Row],[PECAS]]+Tabela4[[#This Row],[SERVICOS]]</f>
        <v>35</v>
      </c>
      <c r="L861" s="151">
        <v>0</v>
      </c>
      <c r="M861" s="151">
        <v>0</v>
      </c>
      <c r="N861" s="24"/>
      <c r="O861" s="151">
        <v>0</v>
      </c>
      <c r="P861" s="151">
        <v>0</v>
      </c>
      <c r="Q861" s="151">
        <v>0</v>
      </c>
      <c r="R861" s="151">
        <v>0</v>
      </c>
      <c r="S861" s="154">
        <v>0</v>
      </c>
      <c r="T861" s="151">
        <v>0</v>
      </c>
      <c r="U861" s="151">
        <v>0</v>
      </c>
      <c r="V861" s="15"/>
      <c r="W861" s="22">
        <v>0</v>
      </c>
      <c r="X861" s="149">
        <v>0</v>
      </c>
      <c r="Y861" s="15"/>
      <c r="Z861" s="151">
        <v>0</v>
      </c>
      <c r="AA861" s="149">
        <f>Tabela4[[#This Row],[VALOR]]-Tabela4[[#This Row],[PNEUS]]-Tabela4[[#This Row],[BATERIA]]</f>
        <v>35</v>
      </c>
      <c r="AB861" s="19" t="s">
        <v>38</v>
      </c>
      <c r="AC861" s="30">
        <v>0</v>
      </c>
      <c r="AD861" s="162">
        <v>0</v>
      </c>
      <c r="AE861" s="151">
        <v>0</v>
      </c>
      <c r="AF861" s="151">
        <v>0</v>
      </c>
      <c r="AG861" s="151">
        <v>0</v>
      </c>
      <c r="AH861" s="151">
        <v>35</v>
      </c>
      <c r="AI861" s="151">
        <v>0</v>
      </c>
      <c r="AJ861" s="151">
        <v>0</v>
      </c>
    </row>
    <row r="862" spans="1:36" x14ac:dyDescent="0.25">
      <c r="A862" s="15" t="s">
        <v>1362</v>
      </c>
      <c r="B862" s="25" t="s">
        <v>1363</v>
      </c>
      <c r="C862" s="141">
        <v>45447</v>
      </c>
      <c r="D862" s="141">
        <v>45453</v>
      </c>
      <c r="E862">
        <f>Tabela4[[#This Row],[DATA FATURAMENTO]]-Tabela4[[#This Row],[DATA ORÇAMENTO]]</f>
        <v>6</v>
      </c>
      <c r="F862" s="15">
        <v>11685</v>
      </c>
      <c r="G862" s="15" t="s">
        <v>22</v>
      </c>
      <c r="H862" s="25"/>
      <c r="I862" s="151">
        <v>2641.72</v>
      </c>
      <c r="J862" s="151">
        <v>1808.28</v>
      </c>
      <c r="K862" s="153">
        <f>Tabela4[[#This Row],[PECAS]]+Tabela4[[#This Row],[SERVICOS]]</f>
        <v>4450</v>
      </c>
      <c r="L862" s="151">
        <v>110</v>
      </c>
      <c r="M862" s="151">
        <f>80.4+21.8</f>
        <v>102.2</v>
      </c>
      <c r="N862" s="24">
        <v>4</v>
      </c>
      <c r="O862" s="151">
        <v>190</v>
      </c>
      <c r="P862" s="151">
        <v>0</v>
      </c>
      <c r="Q862" s="151">
        <v>160</v>
      </c>
      <c r="R862" s="151">
        <v>0</v>
      </c>
      <c r="S862" s="154">
        <v>170</v>
      </c>
      <c r="T862" s="151">
        <v>0</v>
      </c>
      <c r="U862" s="151">
        <v>0</v>
      </c>
      <c r="V862" s="15"/>
      <c r="W862" s="22">
        <v>4</v>
      </c>
      <c r="X862" s="149">
        <v>74.8</v>
      </c>
      <c r="Y862" s="15" t="s">
        <v>645</v>
      </c>
      <c r="Z862" s="151">
        <v>0</v>
      </c>
      <c r="AA862" s="149">
        <f>Tabela4[[#This Row],[VALOR]]-Tabela4[[#This Row],[PNEUS]]-Tabela4[[#This Row],[BATERIA]]</f>
        <v>4450</v>
      </c>
      <c r="AB862" s="19" t="s">
        <v>30</v>
      </c>
      <c r="AC862" s="30">
        <v>0</v>
      </c>
      <c r="AD862" s="151">
        <f>215+160+160.01+190</f>
        <v>725.01</v>
      </c>
      <c r="AE862" s="151">
        <f>209.72+168+77.76+160.51</f>
        <v>615.99</v>
      </c>
      <c r="AF862" s="151">
        <v>238.7</v>
      </c>
      <c r="AG862" s="151">
        <f>117.4+80.4+21.8+38.5+37.4+48.4+28.8+6.2+588+377.5+52+64.7+270+110+180+330</f>
        <v>2351.1000000000004</v>
      </c>
      <c r="AH862" s="151">
        <f>170+48.4+30+20</f>
        <v>268.39999999999998</v>
      </c>
      <c r="AI862" s="151">
        <v>299.2</v>
      </c>
      <c r="AJ862" s="151">
        <v>0</v>
      </c>
    </row>
    <row r="863" spans="1:36" x14ac:dyDescent="0.25">
      <c r="A863" s="15" t="s">
        <v>1364</v>
      </c>
      <c r="B863" s="25" t="s">
        <v>1365</v>
      </c>
      <c r="C863" s="141">
        <v>45450</v>
      </c>
      <c r="D863" s="141">
        <v>45453</v>
      </c>
      <c r="E863">
        <f>Tabela4[[#This Row],[DATA FATURAMENTO]]-Tabela4[[#This Row],[DATA ORÇAMENTO]]</f>
        <v>3</v>
      </c>
      <c r="F863" s="15">
        <v>11718</v>
      </c>
      <c r="G863" s="15" t="s">
        <v>35</v>
      </c>
      <c r="H863" s="25"/>
      <c r="I863" s="151">
        <v>1901.4</v>
      </c>
      <c r="J863" s="151">
        <v>998.6</v>
      </c>
      <c r="K863" s="153">
        <f>Tabela4[[#This Row],[PECAS]]+Tabela4[[#This Row],[SERVICOS]]</f>
        <v>2900</v>
      </c>
      <c r="L863" s="151">
        <v>0</v>
      </c>
      <c r="M863" s="151">
        <f>116.4+21.4</f>
        <v>137.80000000000001</v>
      </c>
      <c r="N863" s="24">
        <v>5</v>
      </c>
      <c r="O863" s="151">
        <v>210</v>
      </c>
      <c r="P863" s="151">
        <v>0</v>
      </c>
      <c r="Q863" s="151">
        <v>160</v>
      </c>
      <c r="R863" s="151">
        <v>0</v>
      </c>
      <c r="S863" s="154">
        <v>0</v>
      </c>
      <c r="T863" s="151">
        <v>0</v>
      </c>
      <c r="U863" s="151">
        <v>0</v>
      </c>
      <c r="V863" s="15"/>
      <c r="W863" s="22">
        <v>5</v>
      </c>
      <c r="X863" s="149">
        <v>58.8</v>
      </c>
      <c r="Y863" s="15" t="s">
        <v>1366</v>
      </c>
      <c r="Z863" s="151">
        <v>0</v>
      </c>
      <c r="AA863" s="149">
        <f>Tabela4[[#This Row],[VALOR]]-Tabela4[[#This Row],[PNEUS]]-Tabela4[[#This Row],[BATERIA]]</f>
        <v>2900</v>
      </c>
      <c r="AB863" s="19" t="s">
        <v>24</v>
      </c>
      <c r="AC863" s="19">
        <v>2900</v>
      </c>
      <c r="AD863" s="151">
        <f>210+160+190+337.6+1086</f>
        <v>1983.6</v>
      </c>
      <c r="AE863" s="151">
        <v>0</v>
      </c>
      <c r="AF863" s="151">
        <v>0</v>
      </c>
      <c r="AG863" s="151">
        <f>116.4+21.4+34+12+162.2</f>
        <v>346</v>
      </c>
      <c r="AH863" s="151">
        <v>0</v>
      </c>
      <c r="AI863" s="151">
        <v>294</v>
      </c>
      <c r="AJ863" s="151">
        <v>275.39999999999998</v>
      </c>
    </row>
    <row r="864" spans="1:36" x14ac:dyDescent="0.25">
      <c r="A864" s="15" t="s">
        <v>751</v>
      </c>
      <c r="B864" s="25" t="s">
        <v>1367</v>
      </c>
      <c r="C864" s="141">
        <v>45451</v>
      </c>
      <c r="D864" s="141">
        <v>45453</v>
      </c>
      <c r="E864">
        <f>Tabela4[[#This Row],[DATA FATURAMENTO]]-Tabela4[[#This Row],[DATA ORÇAMENTO]]</f>
        <v>2</v>
      </c>
      <c r="F864" s="15">
        <v>11730</v>
      </c>
      <c r="G864" s="15" t="s">
        <v>22</v>
      </c>
      <c r="H864" s="25"/>
      <c r="I864" s="151">
        <v>348.55</v>
      </c>
      <c r="J864" s="151">
        <v>770.45</v>
      </c>
      <c r="K864" s="153">
        <f>Tabela4[[#This Row],[PECAS]]+Tabela4[[#This Row],[SERVICOS]]</f>
        <v>1119</v>
      </c>
      <c r="L864" s="151">
        <v>0</v>
      </c>
      <c r="M864" s="151">
        <v>0</v>
      </c>
      <c r="N864" s="24"/>
      <c r="O864" s="151">
        <v>240.77</v>
      </c>
      <c r="P864" s="151">
        <v>0</v>
      </c>
      <c r="Q864" s="151">
        <v>96.3</v>
      </c>
      <c r="R864" s="151">
        <v>0</v>
      </c>
      <c r="S864" s="154">
        <v>0</v>
      </c>
      <c r="T864" s="151">
        <v>0</v>
      </c>
      <c r="U864" s="151">
        <v>0</v>
      </c>
      <c r="V864" s="15"/>
      <c r="W864" s="22">
        <v>0</v>
      </c>
      <c r="X864" s="149">
        <v>0</v>
      </c>
      <c r="Y864" s="15"/>
      <c r="Z864" s="151">
        <v>0</v>
      </c>
      <c r="AA864" s="149">
        <f>Tabela4[[#This Row],[VALOR]]-Tabela4[[#This Row],[PNEUS]]-Tabela4[[#This Row],[BATERIA]]</f>
        <v>1119</v>
      </c>
      <c r="AB864" s="19" t="s">
        <v>27</v>
      </c>
      <c r="AC864" s="30">
        <v>0</v>
      </c>
      <c r="AD864" s="151">
        <f>228.07+96.3+160.51+160.51+240.77+120.48</f>
        <v>1006.64</v>
      </c>
      <c r="AE864" s="151">
        <v>0</v>
      </c>
      <c r="AF864" s="151">
        <v>112.36</v>
      </c>
      <c r="AG864" s="151">
        <v>0</v>
      </c>
      <c r="AH864" s="151">
        <v>0</v>
      </c>
      <c r="AI864" s="151">
        <v>0</v>
      </c>
      <c r="AJ864" s="151">
        <v>0</v>
      </c>
    </row>
    <row r="865" spans="1:36" x14ac:dyDescent="0.25">
      <c r="A865" s="15" t="s">
        <v>1368</v>
      </c>
      <c r="B865" s="25" t="s">
        <v>1369</v>
      </c>
      <c r="C865" s="141">
        <v>45453</v>
      </c>
      <c r="D865" s="141">
        <v>45453</v>
      </c>
      <c r="E865">
        <f>Tabela4[[#This Row],[DATA FATURAMENTO]]-Tabela4[[#This Row],[DATA ORÇAMENTO]]</f>
        <v>0</v>
      </c>
      <c r="F865" s="15">
        <v>11738</v>
      </c>
      <c r="G865" s="15" t="s">
        <v>31</v>
      </c>
      <c r="H865" s="25"/>
      <c r="I865" s="151">
        <v>16</v>
      </c>
      <c r="J865" s="151">
        <v>0</v>
      </c>
      <c r="K865" s="153">
        <f>Tabela4[[#This Row],[PECAS]]+Tabela4[[#This Row],[SERVICOS]]</f>
        <v>16</v>
      </c>
      <c r="L865" s="151">
        <v>0</v>
      </c>
      <c r="M865" s="151">
        <v>0</v>
      </c>
      <c r="N865" s="24"/>
      <c r="O865" s="151">
        <v>0</v>
      </c>
      <c r="P865" s="151">
        <v>0</v>
      </c>
      <c r="Q865" s="151">
        <v>0</v>
      </c>
      <c r="R865" s="151">
        <v>0</v>
      </c>
      <c r="S865" s="154">
        <v>0</v>
      </c>
      <c r="T865" s="151">
        <v>0</v>
      </c>
      <c r="U865" s="151">
        <v>0</v>
      </c>
      <c r="V865" s="15"/>
      <c r="W865" s="22">
        <v>0</v>
      </c>
      <c r="X865" s="149">
        <v>0</v>
      </c>
      <c r="Y865" s="15"/>
      <c r="Z865" s="151">
        <v>0</v>
      </c>
      <c r="AA865" s="149">
        <f>Tabela4[[#This Row],[VALOR]]-Tabela4[[#This Row],[PNEUS]]-Tabela4[[#This Row],[BATERIA]]</f>
        <v>16</v>
      </c>
      <c r="AB865" s="19" t="s">
        <v>38</v>
      </c>
      <c r="AC865" s="30">
        <v>0</v>
      </c>
      <c r="AD865" s="162">
        <v>0</v>
      </c>
      <c r="AE865" s="151">
        <v>0</v>
      </c>
      <c r="AF865" s="151">
        <v>0</v>
      </c>
      <c r="AG865" s="151">
        <v>0</v>
      </c>
      <c r="AH865" s="151">
        <v>16</v>
      </c>
      <c r="AI865" s="151">
        <v>0</v>
      </c>
      <c r="AJ865" s="151">
        <v>0</v>
      </c>
    </row>
    <row r="866" spans="1:36" x14ac:dyDescent="0.25">
      <c r="A866" s="15" t="s">
        <v>1370</v>
      </c>
      <c r="B866" s="25" t="s">
        <v>1015</v>
      </c>
      <c r="C866" s="141">
        <v>45453</v>
      </c>
      <c r="D866" s="141">
        <v>45453</v>
      </c>
      <c r="E866">
        <f>Tabela4[[#This Row],[DATA FATURAMENTO]]-Tabela4[[#This Row],[DATA ORÇAMENTO]]</f>
        <v>0</v>
      </c>
      <c r="F866" s="15">
        <v>11739</v>
      </c>
      <c r="G866" s="15" t="s">
        <v>22</v>
      </c>
      <c r="H866" s="25"/>
      <c r="I866" s="151">
        <v>0</v>
      </c>
      <c r="J866" s="151">
        <v>180</v>
      </c>
      <c r="K866" s="153">
        <f>Tabela4[[#This Row],[PECAS]]+Tabela4[[#This Row],[SERVICOS]]</f>
        <v>180</v>
      </c>
      <c r="L866" s="151">
        <v>0</v>
      </c>
      <c r="M866" s="151">
        <v>0</v>
      </c>
      <c r="N866" s="24"/>
      <c r="O866" s="151">
        <v>0</v>
      </c>
      <c r="P866" s="151">
        <v>0</v>
      </c>
      <c r="Q866" s="151">
        <v>0</v>
      </c>
      <c r="R866" s="151">
        <v>0</v>
      </c>
      <c r="S866" s="154">
        <v>0</v>
      </c>
      <c r="T866" s="151">
        <v>0</v>
      </c>
      <c r="U866" s="151">
        <v>0</v>
      </c>
      <c r="V866" s="15"/>
      <c r="W866" s="22">
        <v>0</v>
      </c>
      <c r="X866" s="149">
        <v>0</v>
      </c>
      <c r="Y866" s="15"/>
      <c r="Z866" s="151">
        <v>0</v>
      </c>
      <c r="AA866" s="149">
        <f>Tabela4[[#This Row],[VALOR]]-Tabela4[[#This Row],[PNEUS]]-Tabela4[[#This Row],[BATERIA]]</f>
        <v>180</v>
      </c>
      <c r="AB866" s="19" t="s">
        <v>27</v>
      </c>
      <c r="AC866" s="19">
        <v>180</v>
      </c>
      <c r="AD866" s="162">
        <v>0</v>
      </c>
      <c r="AE866" s="151">
        <v>0</v>
      </c>
      <c r="AF866" s="151">
        <v>180</v>
      </c>
      <c r="AG866" s="151">
        <v>0</v>
      </c>
      <c r="AH866" s="151">
        <v>0</v>
      </c>
      <c r="AI866" s="151">
        <v>0</v>
      </c>
      <c r="AJ866" s="151">
        <v>0</v>
      </c>
    </row>
    <row r="867" spans="1:36" x14ac:dyDescent="0.25">
      <c r="A867" s="15" t="s">
        <v>1371</v>
      </c>
      <c r="B867" s="25" t="s">
        <v>1142</v>
      </c>
      <c r="C867" s="141">
        <v>45448</v>
      </c>
      <c r="D867" s="141">
        <v>45454</v>
      </c>
      <c r="E867">
        <f>Tabela4[[#This Row],[DATA FATURAMENTO]]-Tabela4[[#This Row],[DATA ORÇAMENTO]]</f>
        <v>6</v>
      </c>
      <c r="F867" s="15">
        <v>11696</v>
      </c>
      <c r="G867" s="15" t="s">
        <v>22</v>
      </c>
      <c r="H867" s="25"/>
      <c r="I867" s="151">
        <v>1442.9</v>
      </c>
      <c r="J867" s="151">
        <v>481.54</v>
      </c>
      <c r="K867" s="153">
        <f>Tabela4[[#This Row],[PECAS]]+Tabela4[[#This Row],[SERVICOS]]</f>
        <v>1924.44</v>
      </c>
      <c r="L867" s="151">
        <v>0</v>
      </c>
      <c r="M867" s="151">
        <v>0</v>
      </c>
      <c r="N867" s="24"/>
      <c r="O867" s="151">
        <v>0</v>
      </c>
      <c r="P867" s="151">
        <v>0</v>
      </c>
      <c r="Q867" s="151">
        <v>0</v>
      </c>
      <c r="R867" s="151">
        <v>0</v>
      </c>
      <c r="S867" s="154">
        <v>0</v>
      </c>
      <c r="T867" s="151">
        <v>0</v>
      </c>
      <c r="U867" s="151">
        <v>0</v>
      </c>
      <c r="V867" s="15"/>
      <c r="W867" s="22">
        <v>0</v>
      </c>
      <c r="X867" s="149">
        <v>0</v>
      </c>
      <c r="Y867" s="15"/>
      <c r="Z867" s="151">
        <v>0</v>
      </c>
      <c r="AA867" s="149">
        <f>Tabela4[[#This Row],[VALOR]]-Tabela4[[#This Row],[PNEUS]]-Tabela4[[#This Row],[BATERIA]]</f>
        <v>1924.44</v>
      </c>
      <c r="AB867" s="19" t="s">
        <v>24</v>
      </c>
      <c r="AC867" s="30">
        <v>0</v>
      </c>
      <c r="AD867" s="162">
        <v>0</v>
      </c>
      <c r="AE867" s="151">
        <v>0</v>
      </c>
      <c r="AF867" s="151">
        <v>1824.44</v>
      </c>
      <c r="AG867" s="151">
        <v>0</v>
      </c>
      <c r="AH867" s="151">
        <v>0</v>
      </c>
      <c r="AI867" s="151">
        <v>0</v>
      </c>
      <c r="AJ867" s="151">
        <v>0</v>
      </c>
    </row>
    <row r="868" spans="1:36" x14ac:dyDescent="0.25">
      <c r="A868" s="15" t="s">
        <v>1372</v>
      </c>
      <c r="B868" s="25" t="s">
        <v>1373</v>
      </c>
      <c r="C868" s="141">
        <v>45454</v>
      </c>
      <c r="D868" s="141">
        <v>45454</v>
      </c>
      <c r="E868">
        <f>Tabela4[[#This Row],[DATA FATURAMENTO]]-Tabela4[[#This Row],[DATA ORÇAMENTO]]</f>
        <v>0</v>
      </c>
      <c r="F868" s="15">
        <v>11745</v>
      </c>
      <c r="G868" s="15" t="s">
        <v>39</v>
      </c>
      <c r="H868" s="25" t="s">
        <v>44</v>
      </c>
      <c r="I868" s="151">
        <v>40</v>
      </c>
      <c r="J868" s="151">
        <v>220.01</v>
      </c>
      <c r="K868" s="153">
        <f>Tabela4[[#This Row],[PECAS]]+Tabela4[[#This Row],[SERVICOS]]</f>
        <v>260.01</v>
      </c>
      <c r="L868" s="151">
        <v>0</v>
      </c>
      <c r="M868" s="151">
        <v>0</v>
      </c>
      <c r="N868" s="24"/>
      <c r="O868" s="151">
        <v>0</v>
      </c>
      <c r="P868" s="151">
        <v>0</v>
      </c>
      <c r="Q868" s="151">
        <v>0</v>
      </c>
      <c r="R868" s="151">
        <v>0</v>
      </c>
      <c r="S868" s="154">
        <v>0</v>
      </c>
      <c r="T868" s="151">
        <v>0</v>
      </c>
      <c r="U868" s="151">
        <v>0</v>
      </c>
      <c r="V868" s="15"/>
      <c r="W868" s="22">
        <v>0</v>
      </c>
      <c r="X868" s="149">
        <v>0</v>
      </c>
      <c r="Y868" s="15"/>
      <c r="Z868" s="151">
        <v>0</v>
      </c>
      <c r="AA868" s="149">
        <f>Tabela4[[#This Row],[VALOR]]-Tabela4[[#This Row],[PNEUS]]-Tabela4[[#This Row],[BATERIA]]</f>
        <v>260.01</v>
      </c>
      <c r="AB868" s="19" t="s">
        <v>32</v>
      </c>
      <c r="AC868" s="30">
        <v>0</v>
      </c>
      <c r="AD868" s="162">
        <v>0</v>
      </c>
      <c r="AE868" s="151">
        <f>40+220+0.01</f>
        <v>260.01</v>
      </c>
      <c r="AF868" s="151">
        <v>0</v>
      </c>
      <c r="AG868" s="151">
        <v>0</v>
      </c>
      <c r="AH868" s="151">
        <v>0</v>
      </c>
      <c r="AI868" s="151">
        <v>0</v>
      </c>
      <c r="AJ868" s="151">
        <v>0</v>
      </c>
    </row>
    <row r="869" spans="1:36" x14ac:dyDescent="0.25">
      <c r="A869" s="15" t="s">
        <v>1374</v>
      </c>
      <c r="B869" s="25" t="s">
        <v>968</v>
      </c>
      <c r="C869" s="141">
        <v>45454</v>
      </c>
      <c r="D869" s="141">
        <v>45454</v>
      </c>
      <c r="E869">
        <f>Tabela4[[#This Row],[DATA FATURAMENTO]]-Tabela4[[#This Row],[DATA ORÇAMENTO]]</f>
        <v>0</v>
      </c>
      <c r="F869" s="15">
        <v>11746</v>
      </c>
      <c r="G869" s="15" t="s">
        <v>31</v>
      </c>
      <c r="H869" s="25"/>
      <c r="I869" s="151">
        <v>150</v>
      </c>
      <c r="J869" s="151">
        <v>0</v>
      </c>
      <c r="K869" s="153">
        <f>Tabela4[[#This Row],[PECAS]]+Tabela4[[#This Row],[SERVICOS]]</f>
        <v>150</v>
      </c>
      <c r="L869" s="151">
        <v>0</v>
      </c>
      <c r="M869" s="151">
        <v>0</v>
      </c>
      <c r="N869" s="24"/>
      <c r="O869" s="151">
        <v>0</v>
      </c>
      <c r="P869" s="151">
        <v>0</v>
      </c>
      <c r="Q869" s="151">
        <v>0</v>
      </c>
      <c r="R869" s="151">
        <v>0</v>
      </c>
      <c r="S869" s="154">
        <v>0</v>
      </c>
      <c r="T869" s="151">
        <v>0</v>
      </c>
      <c r="U869" s="151">
        <v>0</v>
      </c>
      <c r="V869" s="15"/>
      <c r="W869" s="22">
        <v>0</v>
      </c>
      <c r="X869" s="149">
        <v>0</v>
      </c>
      <c r="Y869" s="15"/>
      <c r="Z869" s="151">
        <v>0</v>
      </c>
      <c r="AA869" s="149">
        <f>Tabela4[[#This Row],[VALOR]]-Tabela4[[#This Row],[PNEUS]]-Tabela4[[#This Row],[BATERIA]]</f>
        <v>150</v>
      </c>
      <c r="AB869" s="19" t="s">
        <v>38</v>
      </c>
      <c r="AC869" s="30">
        <v>0</v>
      </c>
      <c r="AD869" s="162">
        <v>0</v>
      </c>
      <c r="AE869" s="151">
        <v>0</v>
      </c>
      <c r="AF869" s="151">
        <v>0</v>
      </c>
      <c r="AG869" s="151">
        <v>0</v>
      </c>
      <c r="AH869" s="151">
        <v>150</v>
      </c>
      <c r="AI869" s="151">
        <v>0</v>
      </c>
      <c r="AJ869" s="151">
        <v>0</v>
      </c>
    </row>
    <row r="870" spans="1:36" x14ac:dyDescent="0.25">
      <c r="A870" s="15" t="s">
        <v>1375</v>
      </c>
      <c r="B870" s="25" t="s">
        <v>1376</v>
      </c>
      <c r="C870" s="141">
        <v>45454</v>
      </c>
      <c r="D870" s="141">
        <v>45454</v>
      </c>
      <c r="E870">
        <f>Tabela4[[#This Row],[DATA FATURAMENTO]]-Tabela4[[#This Row],[DATA ORÇAMENTO]]</f>
        <v>0</v>
      </c>
      <c r="F870" s="15">
        <v>11747</v>
      </c>
      <c r="G870" s="15" t="s">
        <v>22</v>
      </c>
      <c r="H870" s="25"/>
      <c r="I870" s="151">
        <v>0</v>
      </c>
      <c r="J870" s="151">
        <v>224</v>
      </c>
      <c r="K870" s="153">
        <f>Tabela4[[#This Row],[PECAS]]+Tabela4[[#This Row],[SERVICOS]]</f>
        <v>224</v>
      </c>
      <c r="L870" s="151">
        <v>0</v>
      </c>
      <c r="M870" s="151">
        <v>0</v>
      </c>
      <c r="N870" s="24"/>
      <c r="O870" s="151">
        <v>0</v>
      </c>
      <c r="P870" s="151">
        <v>0</v>
      </c>
      <c r="Q870" s="151">
        <v>0</v>
      </c>
      <c r="R870" s="151">
        <v>0</v>
      </c>
      <c r="S870" s="154">
        <v>0</v>
      </c>
      <c r="T870" s="151">
        <v>0</v>
      </c>
      <c r="U870" s="151">
        <v>0</v>
      </c>
      <c r="V870" s="15"/>
      <c r="W870" s="22">
        <v>0</v>
      </c>
      <c r="X870" s="149">
        <v>0</v>
      </c>
      <c r="Y870" s="15"/>
      <c r="Z870" s="151">
        <v>0</v>
      </c>
      <c r="AA870" s="149">
        <f>Tabela4[[#This Row],[VALOR]]-Tabela4[[#This Row],[PNEUS]]-Tabela4[[#This Row],[BATERIA]]</f>
        <v>224</v>
      </c>
      <c r="AB870" s="19" t="s">
        <v>36</v>
      </c>
      <c r="AC870" s="30">
        <v>0</v>
      </c>
      <c r="AD870" s="162">
        <v>0</v>
      </c>
      <c r="AE870" s="151">
        <v>224</v>
      </c>
      <c r="AF870" s="151">
        <v>0</v>
      </c>
      <c r="AG870" s="151">
        <v>0</v>
      </c>
      <c r="AH870" s="151">
        <v>0</v>
      </c>
      <c r="AI870" s="151">
        <v>0</v>
      </c>
      <c r="AJ870" s="151">
        <v>0</v>
      </c>
    </row>
    <row r="871" spans="1:36" x14ac:dyDescent="0.25">
      <c r="A871" s="15" t="s">
        <v>1377</v>
      </c>
      <c r="B871" s="25" t="s">
        <v>1378</v>
      </c>
      <c r="C871" s="141">
        <v>45455</v>
      </c>
      <c r="D871" s="141">
        <v>45455</v>
      </c>
      <c r="E871">
        <f>Tabela4[[#This Row],[DATA FATURAMENTO]]-Tabela4[[#This Row],[DATA ORÇAMENTO]]</f>
        <v>0</v>
      </c>
      <c r="F871" s="15">
        <v>11757</v>
      </c>
      <c r="G871" s="15" t="s">
        <v>35</v>
      </c>
      <c r="H871" s="25"/>
      <c r="I871" s="151">
        <v>760</v>
      </c>
      <c r="J871" s="151">
        <v>452.5</v>
      </c>
      <c r="K871" s="153">
        <f>Tabela4[[#This Row],[PECAS]]+Tabela4[[#This Row],[SERVICOS]]</f>
        <v>1212.5</v>
      </c>
      <c r="L871" s="151">
        <v>0</v>
      </c>
      <c r="M871" s="151">
        <v>0</v>
      </c>
      <c r="N871" s="24"/>
      <c r="O871" s="151">
        <v>0</v>
      </c>
      <c r="P871" s="151">
        <v>0</v>
      </c>
      <c r="Q871" s="151">
        <v>0</v>
      </c>
      <c r="R871" s="151">
        <v>0</v>
      </c>
      <c r="S871" s="154">
        <v>0</v>
      </c>
      <c r="T871" s="151">
        <v>0</v>
      </c>
      <c r="U871" s="151">
        <v>0</v>
      </c>
      <c r="V871" s="15"/>
      <c r="W871" s="22">
        <v>0</v>
      </c>
      <c r="X871" s="149">
        <v>0</v>
      </c>
      <c r="Y871" s="15"/>
      <c r="Z871" s="151">
        <v>0</v>
      </c>
      <c r="AA871" s="149">
        <f>Tabela4[[#This Row],[VALOR]]-Tabela4[[#This Row],[PNEUS]]-Tabela4[[#This Row],[BATERIA]]</f>
        <v>1212.5</v>
      </c>
      <c r="AB871" s="19" t="s">
        <v>24</v>
      </c>
      <c r="AC871" s="30">
        <v>0</v>
      </c>
      <c r="AD871" s="162">
        <v>0</v>
      </c>
      <c r="AE871" s="151">
        <v>0</v>
      </c>
      <c r="AF871" s="151">
        <f>760+452.5</f>
        <v>1212.5</v>
      </c>
      <c r="AG871" s="151">
        <v>0</v>
      </c>
      <c r="AH871" s="151">
        <v>0</v>
      </c>
      <c r="AI871" s="151">
        <v>0</v>
      </c>
      <c r="AJ871" s="151">
        <v>0</v>
      </c>
    </row>
    <row r="872" spans="1:36" x14ac:dyDescent="0.25">
      <c r="A872" s="15" t="s">
        <v>200</v>
      </c>
      <c r="B872" s="25" t="s">
        <v>885</v>
      </c>
      <c r="C872" s="141">
        <v>45455</v>
      </c>
      <c r="D872" s="141">
        <v>45455</v>
      </c>
      <c r="E872">
        <f>Tabela4[[#This Row],[DATA FATURAMENTO]]-Tabela4[[#This Row],[DATA ORÇAMENTO]]</f>
        <v>0</v>
      </c>
      <c r="F872" s="15">
        <v>11752</v>
      </c>
      <c r="G872" s="15" t="s">
        <v>22</v>
      </c>
      <c r="H872" s="25"/>
      <c r="I872" s="151">
        <v>1661.6</v>
      </c>
      <c r="J872" s="151">
        <v>1203.8599999999999</v>
      </c>
      <c r="K872" s="153">
        <f>Tabela4[[#This Row],[PECAS]]+Tabela4[[#This Row],[SERVICOS]]</f>
        <v>2865.46</v>
      </c>
      <c r="L872" s="151">
        <v>0</v>
      </c>
      <c r="M872" s="151">
        <v>0</v>
      </c>
      <c r="N872" s="24"/>
      <c r="O872" s="151">
        <v>0</v>
      </c>
      <c r="P872" s="151">
        <v>0</v>
      </c>
      <c r="Q872" s="151">
        <v>0</v>
      </c>
      <c r="R872" s="151">
        <v>0</v>
      </c>
      <c r="S872" s="154">
        <v>0</v>
      </c>
      <c r="T872" s="151">
        <v>0</v>
      </c>
      <c r="U872" s="151">
        <v>0</v>
      </c>
      <c r="V872" s="15"/>
      <c r="W872" s="22">
        <v>0</v>
      </c>
      <c r="X872" s="149">
        <v>0</v>
      </c>
      <c r="Y872" s="15"/>
      <c r="Z872" s="151">
        <v>0</v>
      </c>
      <c r="AA872" s="149">
        <f>Tabela4[[#This Row],[VALOR]]-Tabela4[[#This Row],[PNEUS]]-Tabela4[[#This Row],[BATERIA]]</f>
        <v>2865.46</v>
      </c>
      <c r="AB872" s="19" t="s">
        <v>36</v>
      </c>
      <c r="AC872" s="30">
        <v>0</v>
      </c>
      <c r="AD872" s="162">
        <v>0</v>
      </c>
      <c r="AE872" s="151">
        <v>0</v>
      </c>
      <c r="AF872" s="151">
        <f>119.6+160.52</f>
        <v>280.12</v>
      </c>
      <c r="AG872" s="151">
        <f>180.8+419+80.26</f>
        <v>680.06</v>
      </c>
      <c r="AH872" s="151">
        <v>0</v>
      </c>
      <c r="AI872" s="151">
        <v>0</v>
      </c>
      <c r="AJ872" s="151">
        <f>175.3+607.47+963.08</f>
        <v>1745.85</v>
      </c>
    </row>
    <row r="873" spans="1:36" x14ac:dyDescent="0.25">
      <c r="A873" s="15" t="s">
        <v>1379</v>
      </c>
      <c r="B873" s="25" t="s">
        <v>1380</v>
      </c>
      <c r="C873" s="141">
        <v>45455</v>
      </c>
      <c r="D873" s="141">
        <v>45455</v>
      </c>
      <c r="E873">
        <f>Tabela4[[#This Row],[DATA FATURAMENTO]]-Tabela4[[#This Row],[DATA ORÇAMENTO]]</f>
        <v>0</v>
      </c>
      <c r="F873" s="15">
        <v>11753</v>
      </c>
      <c r="G873" s="15" t="s">
        <v>22</v>
      </c>
      <c r="H873" s="25"/>
      <c r="I873" s="151">
        <v>65</v>
      </c>
      <c r="J873" s="151">
        <v>0</v>
      </c>
      <c r="K873" s="153">
        <f>Tabela4[[#This Row],[PECAS]]+Tabela4[[#This Row],[SERVICOS]]</f>
        <v>65</v>
      </c>
      <c r="L873" s="151">
        <v>0</v>
      </c>
      <c r="M873" s="151">
        <v>0</v>
      </c>
      <c r="N873" s="24"/>
      <c r="O873" s="151">
        <v>0</v>
      </c>
      <c r="P873" s="151">
        <v>0</v>
      </c>
      <c r="Q873" s="151">
        <v>0</v>
      </c>
      <c r="R873" s="151">
        <v>0</v>
      </c>
      <c r="S873" s="154">
        <v>65</v>
      </c>
      <c r="T873" s="151">
        <v>0</v>
      </c>
      <c r="U873" s="151">
        <v>0</v>
      </c>
      <c r="V873" s="15"/>
      <c r="W873" s="22">
        <v>0</v>
      </c>
      <c r="X873" s="149">
        <v>0</v>
      </c>
      <c r="Y873" s="15"/>
      <c r="Z873" s="151">
        <v>0</v>
      </c>
      <c r="AA873" s="149">
        <f>Tabela4[[#This Row],[VALOR]]-Tabela4[[#This Row],[PNEUS]]-Tabela4[[#This Row],[BATERIA]]</f>
        <v>65</v>
      </c>
      <c r="AB873" s="19" t="s">
        <v>36</v>
      </c>
      <c r="AC873" s="30">
        <v>0</v>
      </c>
      <c r="AD873" s="162">
        <v>0</v>
      </c>
      <c r="AE873" s="151">
        <v>0</v>
      </c>
      <c r="AF873" s="151">
        <v>0</v>
      </c>
      <c r="AG873" s="151">
        <v>0</v>
      </c>
      <c r="AH873" s="151">
        <v>65</v>
      </c>
      <c r="AI873" s="151">
        <v>0</v>
      </c>
      <c r="AJ873" s="151">
        <v>0</v>
      </c>
    </row>
    <row r="874" spans="1:36" x14ac:dyDescent="0.25">
      <c r="A874" s="15" t="s">
        <v>1381</v>
      </c>
      <c r="B874" s="25" t="s">
        <v>1382</v>
      </c>
      <c r="C874" s="141">
        <v>45454</v>
      </c>
      <c r="D874" s="141">
        <v>45455</v>
      </c>
      <c r="E874">
        <f>Tabela4[[#This Row],[DATA FATURAMENTO]]-Tabela4[[#This Row],[DATA ORÇAMENTO]]</f>
        <v>1</v>
      </c>
      <c r="F874" s="15">
        <v>11741</v>
      </c>
      <c r="G874" s="15" t="s">
        <v>35</v>
      </c>
      <c r="H874" s="25"/>
      <c r="I874" s="151">
        <v>0</v>
      </c>
      <c r="J874" s="151">
        <v>170.54</v>
      </c>
      <c r="K874" s="153">
        <f>Tabela4[[#This Row],[PECAS]]+Tabela4[[#This Row],[SERVICOS]]</f>
        <v>170.54</v>
      </c>
      <c r="L874" s="151">
        <v>0</v>
      </c>
      <c r="M874" s="151">
        <v>0</v>
      </c>
      <c r="N874" s="24"/>
      <c r="O874" s="151">
        <v>0</v>
      </c>
      <c r="P874" s="151">
        <v>0</v>
      </c>
      <c r="Q874" s="151">
        <v>0</v>
      </c>
      <c r="R874" s="151">
        <v>0</v>
      </c>
      <c r="S874" s="154">
        <v>0</v>
      </c>
      <c r="T874" s="151">
        <v>0</v>
      </c>
      <c r="U874" s="151">
        <v>0</v>
      </c>
      <c r="V874" s="15"/>
      <c r="W874" s="22">
        <v>0</v>
      </c>
      <c r="X874" s="149">
        <v>0</v>
      </c>
      <c r="Y874" s="15"/>
      <c r="Z874" s="151">
        <v>0</v>
      </c>
      <c r="AA874" s="149">
        <f>Tabela4[[#This Row],[VALOR]]-Tabela4[[#This Row],[PNEUS]]-Tabela4[[#This Row],[BATERIA]]</f>
        <v>170.54</v>
      </c>
      <c r="AB874" s="19" t="s">
        <v>34</v>
      </c>
      <c r="AC874" s="30">
        <v>0</v>
      </c>
      <c r="AD874" s="162">
        <v>0</v>
      </c>
      <c r="AE874" s="151">
        <v>0</v>
      </c>
      <c r="AF874" s="151">
        <v>0</v>
      </c>
      <c r="AG874" s="151">
        <v>0</v>
      </c>
      <c r="AH874" s="151">
        <v>0</v>
      </c>
      <c r="AI874" s="151">
        <v>0</v>
      </c>
      <c r="AJ874" s="151">
        <v>170.54</v>
      </c>
    </row>
    <row r="875" spans="1:36" x14ac:dyDescent="0.25">
      <c r="A875" s="15" t="s">
        <v>1383</v>
      </c>
      <c r="B875" s="25" t="s">
        <v>1384</v>
      </c>
      <c r="C875" s="141">
        <v>45455</v>
      </c>
      <c r="D875" s="141">
        <v>45455</v>
      </c>
      <c r="E875">
        <f>Tabela4[[#This Row],[DATA FATURAMENTO]]-Tabela4[[#This Row],[DATA ORÇAMENTO]]</f>
        <v>0</v>
      </c>
      <c r="F875" s="15">
        <v>11756</v>
      </c>
      <c r="G875" s="15" t="s">
        <v>39</v>
      </c>
      <c r="H875" s="25" t="s">
        <v>44</v>
      </c>
      <c r="I875" s="151">
        <v>20</v>
      </c>
      <c r="J875" s="151">
        <v>120.01</v>
      </c>
      <c r="K875" s="153">
        <f>Tabela4[[#This Row],[PECAS]]+Tabela4[[#This Row],[SERVICOS]]</f>
        <v>140.01</v>
      </c>
      <c r="L875" s="151">
        <v>0</v>
      </c>
      <c r="M875" s="151">
        <v>0</v>
      </c>
      <c r="N875" s="24"/>
      <c r="O875" s="151">
        <v>0</v>
      </c>
      <c r="P875" s="151">
        <v>0</v>
      </c>
      <c r="Q875" s="151">
        <v>0</v>
      </c>
      <c r="R875" s="151">
        <v>0</v>
      </c>
      <c r="S875" s="154">
        <v>0</v>
      </c>
      <c r="T875" s="151">
        <v>0</v>
      </c>
      <c r="U875" s="151">
        <v>0</v>
      </c>
      <c r="V875" s="15"/>
      <c r="W875" s="22">
        <v>0</v>
      </c>
      <c r="X875" s="149">
        <v>0</v>
      </c>
      <c r="Y875" s="15"/>
      <c r="Z875" s="151">
        <v>0</v>
      </c>
      <c r="AA875" s="149">
        <f>Tabela4[[#This Row],[VALOR]]-Tabela4[[#This Row],[PNEUS]]-Tabela4[[#This Row],[BATERIA]]</f>
        <v>140.01</v>
      </c>
      <c r="AB875" s="19" t="s">
        <v>27</v>
      </c>
      <c r="AC875" s="30">
        <v>0</v>
      </c>
      <c r="AD875" s="162">
        <v>0</v>
      </c>
      <c r="AE875" s="151">
        <v>140.01</v>
      </c>
      <c r="AF875" s="151">
        <v>0</v>
      </c>
      <c r="AG875" s="151">
        <v>0</v>
      </c>
      <c r="AH875" s="151">
        <v>0</v>
      </c>
      <c r="AI875" s="151">
        <v>0</v>
      </c>
      <c r="AJ875" s="151">
        <v>0</v>
      </c>
    </row>
    <row r="876" spans="1:36" x14ac:dyDescent="0.25">
      <c r="A876" s="15" t="s">
        <v>1385</v>
      </c>
      <c r="B876" s="25" t="s">
        <v>1386</v>
      </c>
      <c r="C876" s="141">
        <v>45450</v>
      </c>
      <c r="D876" s="141">
        <v>45456</v>
      </c>
      <c r="E876">
        <f>Tabela4[[#This Row],[DATA FATURAMENTO]]-Tabela4[[#This Row],[DATA ORÇAMENTO]]</f>
        <v>6</v>
      </c>
      <c r="F876" s="15">
        <v>11725</v>
      </c>
      <c r="G876" s="15" t="s">
        <v>35</v>
      </c>
      <c r="H876" s="25"/>
      <c r="I876" s="151">
        <v>548</v>
      </c>
      <c r="J876" s="151">
        <v>602.99</v>
      </c>
      <c r="K876" s="153">
        <f>Tabela4[[#This Row],[PECAS]]+Tabela4[[#This Row],[SERVICOS]]</f>
        <v>1150.99</v>
      </c>
      <c r="L876" s="151">
        <v>0</v>
      </c>
      <c r="M876" s="151">
        <v>0</v>
      </c>
      <c r="N876" s="24"/>
      <c r="O876" s="151">
        <v>0</v>
      </c>
      <c r="P876" s="151">
        <v>0</v>
      </c>
      <c r="Q876" s="151">
        <v>0</v>
      </c>
      <c r="R876" s="151">
        <v>0</v>
      </c>
      <c r="S876" s="154">
        <v>0</v>
      </c>
      <c r="T876" s="151">
        <v>0</v>
      </c>
      <c r="U876" s="151">
        <v>0</v>
      </c>
      <c r="V876" s="15"/>
      <c r="W876" s="22">
        <v>0</v>
      </c>
      <c r="X876" s="149">
        <v>0</v>
      </c>
      <c r="Y876" s="15"/>
      <c r="Z876" s="151">
        <v>0</v>
      </c>
      <c r="AA876" s="149">
        <f>Tabela4[[#This Row],[VALOR]]-Tabela4[[#This Row],[PNEUS]]-Tabela4[[#This Row],[BATERIA]]</f>
        <v>1150.99</v>
      </c>
      <c r="AB876" s="19" t="s">
        <v>24</v>
      </c>
      <c r="AC876" s="30">
        <v>0</v>
      </c>
      <c r="AD876" s="162">
        <v>0</v>
      </c>
      <c r="AE876" s="151">
        <v>81</v>
      </c>
      <c r="AF876" s="151">
        <f>484+421</f>
        <v>905</v>
      </c>
      <c r="AG876" s="151">
        <v>0</v>
      </c>
      <c r="AH876" s="151">
        <f>49+15+100.99</f>
        <v>164.99</v>
      </c>
      <c r="AI876" s="151">
        <v>0</v>
      </c>
      <c r="AJ876" s="151">
        <v>0</v>
      </c>
    </row>
    <row r="877" spans="1:36" x14ac:dyDescent="0.25">
      <c r="A877" s="15" t="s">
        <v>1387</v>
      </c>
      <c r="B877" s="25" t="s">
        <v>962</v>
      </c>
      <c r="C877" s="141">
        <v>45454</v>
      </c>
      <c r="D877" s="141">
        <v>45456</v>
      </c>
      <c r="E877">
        <f>Tabela4[[#This Row],[DATA FATURAMENTO]]-Tabela4[[#This Row],[DATA ORÇAMENTO]]</f>
        <v>2</v>
      </c>
      <c r="F877" s="15">
        <v>11740</v>
      </c>
      <c r="G877" s="15" t="s">
        <v>6</v>
      </c>
      <c r="H877" s="25"/>
      <c r="I877" s="151">
        <v>544.9</v>
      </c>
      <c r="J877" s="151">
        <v>0.01</v>
      </c>
      <c r="K877" s="153">
        <f>Tabela4[[#This Row],[PECAS]]+Tabela4[[#This Row],[SERVICOS]]</f>
        <v>544.91</v>
      </c>
      <c r="L877" s="151">
        <v>0</v>
      </c>
      <c r="M877" s="151">
        <v>0</v>
      </c>
      <c r="N877" s="24"/>
      <c r="O877" s="151">
        <v>0</v>
      </c>
      <c r="P877" s="151">
        <v>0</v>
      </c>
      <c r="Q877" s="151">
        <v>0</v>
      </c>
      <c r="R877" s="151">
        <v>0</v>
      </c>
      <c r="S877" s="154">
        <v>0</v>
      </c>
      <c r="T877" s="151">
        <v>0</v>
      </c>
      <c r="U877" s="151">
        <v>544.91</v>
      </c>
      <c r="V877" s="15" t="s">
        <v>997</v>
      </c>
      <c r="W877" s="22">
        <v>0</v>
      </c>
      <c r="X877" s="149">
        <v>0</v>
      </c>
      <c r="Y877" s="15"/>
      <c r="Z877" s="151">
        <v>0</v>
      </c>
      <c r="AA877" s="149">
        <f>Tabela4[[#This Row],[VALOR]]-Tabela4[[#This Row],[PNEUS]]-Tabela4[[#This Row],[BATERIA]]</f>
        <v>0</v>
      </c>
      <c r="AB877" s="19" t="s">
        <v>6</v>
      </c>
      <c r="AC877" s="30">
        <v>0</v>
      </c>
      <c r="AD877" s="162">
        <v>0</v>
      </c>
      <c r="AE877" s="151">
        <v>0</v>
      </c>
      <c r="AF877" s="151">
        <v>0</v>
      </c>
      <c r="AG877" s="151">
        <v>0</v>
      </c>
      <c r="AH877" s="151">
        <v>0</v>
      </c>
      <c r="AI877" s="151">
        <v>0</v>
      </c>
      <c r="AJ877" s="151">
        <v>0</v>
      </c>
    </row>
    <row r="878" spans="1:36" x14ac:dyDescent="0.25">
      <c r="A878" s="15" t="s">
        <v>1388</v>
      </c>
      <c r="B878" s="25" t="s">
        <v>1389</v>
      </c>
      <c r="C878" s="141">
        <v>45455</v>
      </c>
      <c r="D878" s="141">
        <v>45456</v>
      </c>
      <c r="E878">
        <f>Tabela4[[#This Row],[DATA FATURAMENTO]]-Tabela4[[#This Row],[DATA ORÇAMENTO]]</f>
        <v>1</v>
      </c>
      <c r="F878" s="15">
        <v>11750</v>
      </c>
      <c r="G878" s="15" t="s">
        <v>22</v>
      </c>
      <c r="H878" s="25"/>
      <c r="I878" s="151">
        <v>816.9</v>
      </c>
      <c r="J878" s="151">
        <v>1525.1</v>
      </c>
      <c r="K878" s="153">
        <f>Tabela4[[#This Row],[PECAS]]+Tabela4[[#This Row],[SERVICOS]]</f>
        <v>2342</v>
      </c>
      <c r="L878" s="151">
        <v>110</v>
      </c>
      <c r="M878" s="151">
        <f>21.6+38.8</f>
        <v>60.4</v>
      </c>
      <c r="N878" s="24">
        <v>5</v>
      </c>
      <c r="O878" s="151">
        <v>220</v>
      </c>
      <c r="P878" s="151">
        <f>117.4+47.7</f>
        <v>165.10000000000002</v>
      </c>
      <c r="Q878" s="151">
        <v>145.1</v>
      </c>
      <c r="R878" s="151">
        <v>0</v>
      </c>
      <c r="S878" s="154">
        <v>0</v>
      </c>
      <c r="T878" s="151">
        <v>0</v>
      </c>
      <c r="U878" s="151">
        <v>0</v>
      </c>
      <c r="V878" s="15"/>
      <c r="W878" s="22">
        <v>0</v>
      </c>
      <c r="X878" s="149">
        <v>0</v>
      </c>
      <c r="Y878" s="15"/>
      <c r="Z878" s="151">
        <v>0</v>
      </c>
      <c r="AA878" s="149">
        <f>Tabela4[[#This Row],[VALOR]]-Tabela4[[#This Row],[PNEUS]]-Tabela4[[#This Row],[BATERIA]]</f>
        <v>2342</v>
      </c>
      <c r="AB878" s="19" t="s">
        <v>24</v>
      </c>
      <c r="AC878" s="30">
        <v>0</v>
      </c>
      <c r="AD878" s="151">
        <f>145.1+220</f>
        <v>365.1</v>
      </c>
      <c r="AE878" s="151">
        <f>270</f>
        <v>270</v>
      </c>
      <c r="AF878" s="151">
        <f>197.5+139.6+170+260+130</f>
        <v>897.1</v>
      </c>
      <c r="AG878" s="151">
        <f>128.8+21.6+116.4+130+90+110</f>
        <v>596.79999999999995</v>
      </c>
      <c r="AH878" s="151">
        <f>117.4+47.7+47.9</f>
        <v>213.00000000000003</v>
      </c>
      <c r="AI878" s="151">
        <v>0</v>
      </c>
      <c r="AJ878" s="151">
        <v>0</v>
      </c>
    </row>
    <row r="879" spans="1:36" x14ac:dyDescent="0.25">
      <c r="A879" s="15" t="s">
        <v>1390</v>
      </c>
      <c r="B879" s="25" t="s">
        <v>1391</v>
      </c>
      <c r="C879" s="141">
        <v>45456</v>
      </c>
      <c r="D879" s="141">
        <v>45456</v>
      </c>
      <c r="E879">
        <f>Tabela4[[#This Row],[DATA FATURAMENTO]]-Tabela4[[#This Row],[DATA ORÇAMENTO]]</f>
        <v>0</v>
      </c>
      <c r="F879" s="15">
        <v>11758</v>
      </c>
      <c r="G879" s="15" t="s">
        <v>6</v>
      </c>
      <c r="H879" s="25"/>
      <c r="I879" s="151">
        <v>511.5</v>
      </c>
      <c r="J879" s="151">
        <v>0.01</v>
      </c>
      <c r="K879" s="153">
        <f>Tabela4[[#This Row],[PECAS]]+Tabela4[[#This Row],[SERVICOS]]</f>
        <v>511.51</v>
      </c>
      <c r="L879" s="151">
        <v>0</v>
      </c>
      <c r="M879" s="151">
        <v>0</v>
      </c>
      <c r="N879" s="24"/>
      <c r="O879" s="151">
        <v>0</v>
      </c>
      <c r="P879" s="151">
        <v>0</v>
      </c>
      <c r="Q879" s="151">
        <v>0</v>
      </c>
      <c r="R879" s="151">
        <v>0</v>
      </c>
      <c r="S879" s="154">
        <v>0</v>
      </c>
      <c r="T879" s="151">
        <v>0</v>
      </c>
      <c r="U879" s="151">
        <v>511.51</v>
      </c>
      <c r="V879" s="15" t="s">
        <v>637</v>
      </c>
      <c r="W879" s="22">
        <v>0</v>
      </c>
      <c r="X879" s="149">
        <v>0</v>
      </c>
      <c r="Y879" s="15"/>
      <c r="Z879" s="151">
        <v>0</v>
      </c>
      <c r="AA879" s="149">
        <f>Tabela4[[#This Row],[VALOR]]-Tabela4[[#This Row],[PNEUS]]-Tabela4[[#This Row],[BATERIA]]</f>
        <v>0</v>
      </c>
      <c r="AB879" s="19" t="s">
        <v>6</v>
      </c>
      <c r="AC879" s="30">
        <v>0</v>
      </c>
      <c r="AD879" s="162">
        <v>0</v>
      </c>
      <c r="AE879" s="151">
        <v>0</v>
      </c>
      <c r="AF879" s="151">
        <v>0</v>
      </c>
      <c r="AG879" s="151">
        <v>0</v>
      </c>
      <c r="AH879" s="151">
        <v>0</v>
      </c>
      <c r="AI879" s="151">
        <v>0</v>
      </c>
      <c r="AJ879" s="151">
        <v>0</v>
      </c>
    </row>
    <row r="880" spans="1:36" x14ac:dyDescent="0.25">
      <c r="A880" s="15" t="s">
        <v>1392</v>
      </c>
      <c r="B880" s="25" t="s">
        <v>1023</v>
      </c>
      <c r="C880" s="141">
        <v>45456</v>
      </c>
      <c r="D880" s="141">
        <v>45456</v>
      </c>
      <c r="E880">
        <f>Tabela4[[#This Row],[DATA FATURAMENTO]]-Tabela4[[#This Row],[DATA ORÇAMENTO]]</f>
        <v>0</v>
      </c>
      <c r="F880" s="15">
        <v>11761</v>
      </c>
      <c r="G880" s="15" t="s">
        <v>6</v>
      </c>
      <c r="H880" s="25"/>
      <c r="I880" s="151">
        <v>535</v>
      </c>
      <c r="J880" s="151">
        <v>0.01</v>
      </c>
      <c r="K880" s="153">
        <f>Tabela4[[#This Row],[PECAS]]+Tabela4[[#This Row],[SERVICOS]]</f>
        <v>535.01</v>
      </c>
      <c r="L880" s="151">
        <v>0</v>
      </c>
      <c r="M880" s="151">
        <v>0</v>
      </c>
      <c r="N880" s="24"/>
      <c r="O880" s="151">
        <v>0</v>
      </c>
      <c r="P880" s="151">
        <v>0</v>
      </c>
      <c r="Q880" s="151">
        <v>0</v>
      </c>
      <c r="R880" s="151">
        <v>0</v>
      </c>
      <c r="S880" s="154">
        <v>0</v>
      </c>
      <c r="T880" s="151">
        <v>0</v>
      </c>
      <c r="U880" s="151">
        <v>535.01</v>
      </c>
      <c r="V880" s="15" t="s">
        <v>684</v>
      </c>
      <c r="W880" s="22">
        <v>0</v>
      </c>
      <c r="X880" s="149">
        <v>0</v>
      </c>
      <c r="Y880" s="15"/>
      <c r="Z880" s="151">
        <v>0</v>
      </c>
      <c r="AA880" s="149">
        <f>Tabela4[[#This Row],[VALOR]]-Tabela4[[#This Row],[PNEUS]]-Tabela4[[#This Row],[BATERIA]]</f>
        <v>0</v>
      </c>
      <c r="AB880" s="19" t="s">
        <v>6</v>
      </c>
      <c r="AC880" s="30">
        <v>0</v>
      </c>
      <c r="AD880" s="162">
        <v>0</v>
      </c>
      <c r="AE880" s="151">
        <v>0</v>
      </c>
      <c r="AF880" s="151">
        <v>0</v>
      </c>
      <c r="AG880" s="151">
        <v>0</v>
      </c>
      <c r="AH880" s="151">
        <v>0</v>
      </c>
      <c r="AI880" s="151">
        <v>0</v>
      </c>
      <c r="AJ880" s="151">
        <v>0</v>
      </c>
    </row>
    <row r="881" spans="1:36" x14ac:dyDescent="0.25">
      <c r="A881" s="15" t="s">
        <v>411</v>
      </c>
      <c r="B881" s="25" t="s">
        <v>1110</v>
      </c>
      <c r="C881" s="141">
        <v>45456</v>
      </c>
      <c r="D881" s="141">
        <v>45456</v>
      </c>
      <c r="E881">
        <f>Tabela4[[#This Row],[DATA FATURAMENTO]]-Tabela4[[#This Row],[DATA ORÇAMENTO]]</f>
        <v>0</v>
      </c>
      <c r="F881" s="15">
        <v>11767</v>
      </c>
      <c r="G881" s="15" t="s">
        <v>22</v>
      </c>
      <c r="H881" s="25"/>
      <c r="I881" s="151">
        <v>50</v>
      </c>
      <c r="J881" s="151">
        <v>110</v>
      </c>
      <c r="K881" s="153">
        <f>Tabela4[[#This Row],[PECAS]]+Tabela4[[#This Row],[SERVICOS]]</f>
        <v>160</v>
      </c>
      <c r="L881" s="151">
        <v>0</v>
      </c>
      <c r="M881" s="151">
        <v>0</v>
      </c>
      <c r="N881" s="24"/>
      <c r="O881" s="151">
        <v>0</v>
      </c>
      <c r="P881" s="151">
        <v>0</v>
      </c>
      <c r="Q881" s="151">
        <v>0</v>
      </c>
      <c r="R881" s="151">
        <v>0</v>
      </c>
      <c r="S881" s="154">
        <v>0</v>
      </c>
      <c r="T881" s="151">
        <v>0</v>
      </c>
      <c r="U881" s="151">
        <v>0</v>
      </c>
      <c r="V881" s="15"/>
      <c r="W881" s="22">
        <v>0</v>
      </c>
      <c r="X881" s="149">
        <v>0</v>
      </c>
      <c r="Y881" s="15"/>
      <c r="Z881" s="151">
        <v>0</v>
      </c>
      <c r="AA881" s="149">
        <f>Tabela4[[#This Row],[VALOR]]-Tabela4[[#This Row],[PNEUS]]-Tabela4[[#This Row],[BATERIA]]</f>
        <v>160</v>
      </c>
      <c r="AB881" s="19" t="s">
        <v>32</v>
      </c>
      <c r="AC881" s="30">
        <v>0</v>
      </c>
      <c r="AD881" s="162">
        <v>0</v>
      </c>
      <c r="AE881" s="151">
        <v>0</v>
      </c>
      <c r="AF881" s="151">
        <v>0</v>
      </c>
      <c r="AG881" s="151">
        <f>40+110</f>
        <v>150</v>
      </c>
      <c r="AH881" s="151">
        <v>10</v>
      </c>
      <c r="AI881" s="151">
        <v>0</v>
      </c>
      <c r="AJ881" s="151">
        <v>0</v>
      </c>
    </row>
    <row r="882" spans="1:36" x14ac:dyDescent="0.25">
      <c r="A882" s="15" t="s">
        <v>1393</v>
      </c>
      <c r="B882" s="25" t="s">
        <v>913</v>
      </c>
      <c r="C882" s="141">
        <v>45456</v>
      </c>
      <c r="D882" s="141">
        <v>45456</v>
      </c>
      <c r="E882">
        <f>Tabela4[[#This Row],[DATA FATURAMENTO]]-Tabela4[[#This Row],[DATA ORÇAMENTO]]</f>
        <v>0</v>
      </c>
      <c r="F882" s="15">
        <v>11769</v>
      </c>
      <c r="G882" s="15" t="s">
        <v>22</v>
      </c>
      <c r="H882" s="25"/>
      <c r="I882" s="151">
        <v>94</v>
      </c>
      <c r="J882" s="151">
        <v>86</v>
      </c>
      <c r="K882" s="153">
        <f>Tabela4[[#This Row],[PECAS]]+Tabela4[[#This Row],[SERVICOS]]</f>
        <v>180</v>
      </c>
      <c r="L882" s="151">
        <v>0</v>
      </c>
      <c r="M882" s="151">
        <v>0</v>
      </c>
      <c r="N882" s="24"/>
      <c r="O882" s="151">
        <v>0</v>
      </c>
      <c r="P882" s="151">
        <v>0</v>
      </c>
      <c r="Q882" s="151">
        <v>0</v>
      </c>
      <c r="R882" s="151">
        <v>0</v>
      </c>
      <c r="S882" s="154">
        <v>180</v>
      </c>
      <c r="T882" s="151">
        <v>0</v>
      </c>
      <c r="U882" s="151">
        <v>0</v>
      </c>
      <c r="V882" s="15"/>
      <c r="W882" s="22">
        <v>0</v>
      </c>
      <c r="X882" s="149">
        <v>0</v>
      </c>
      <c r="Y882" s="15"/>
      <c r="Z882" s="151">
        <v>0</v>
      </c>
      <c r="AA882" s="149">
        <f>Tabela4[[#This Row],[VALOR]]-Tabela4[[#This Row],[PNEUS]]-Tabela4[[#This Row],[BATERIA]]</f>
        <v>180</v>
      </c>
      <c r="AB882" s="19" t="s">
        <v>24</v>
      </c>
      <c r="AC882" s="30">
        <v>0</v>
      </c>
      <c r="AD882" s="162">
        <v>0</v>
      </c>
      <c r="AE882" s="151">
        <v>0</v>
      </c>
      <c r="AF882" s="151">
        <v>0</v>
      </c>
      <c r="AG882" s="151">
        <v>0</v>
      </c>
      <c r="AH882" s="151">
        <v>180</v>
      </c>
      <c r="AI882" s="151">
        <v>0</v>
      </c>
      <c r="AJ882" s="151">
        <v>0</v>
      </c>
    </row>
    <row r="883" spans="1:36" x14ac:dyDescent="0.25">
      <c r="A883" s="15" t="s">
        <v>443</v>
      </c>
      <c r="B883" s="25" t="s">
        <v>1394</v>
      </c>
      <c r="C883" s="141">
        <v>45418</v>
      </c>
      <c r="D883" s="141">
        <v>45457</v>
      </c>
      <c r="E883">
        <f>Tabela4[[#This Row],[DATA FATURAMENTO]]-Tabela4[[#This Row],[DATA ORÇAMENTO]]</f>
        <v>39</v>
      </c>
      <c r="F883" s="15">
        <v>11682</v>
      </c>
      <c r="G883" s="15" t="s">
        <v>22</v>
      </c>
      <c r="H883" s="25"/>
      <c r="I883" s="151">
        <v>3151.7</v>
      </c>
      <c r="J883" s="151">
        <v>5248.3</v>
      </c>
      <c r="K883" s="153">
        <f>Tabela4[[#This Row],[PECAS]]+Tabela4[[#This Row],[SERVICOS]]</f>
        <v>8400</v>
      </c>
      <c r="L883" s="151">
        <v>0</v>
      </c>
      <c r="M883" s="151">
        <f>77.4+20.9</f>
        <v>98.300000000000011</v>
      </c>
      <c r="N883" s="24">
        <v>4</v>
      </c>
      <c r="O883" s="151">
        <v>0</v>
      </c>
      <c r="P883" s="151">
        <v>0</v>
      </c>
      <c r="Q883" s="151">
        <v>0</v>
      </c>
      <c r="R883" s="151">
        <v>0</v>
      </c>
      <c r="S883" s="154">
        <v>0</v>
      </c>
      <c r="T883" s="151">
        <v>0</v>
      </c>
      <c r="U883" s="151">
        <v>0</v>
      </c>
      <c r="V883" s="15"/>
      <c r="W883" s="22">
        <v>4</v>
      </c>
      <c r="X883" s="149">
        <v>58.8</v>
      </c>
      <c r="Y883" s="15" t="s">
        <v>1344</v>
      </c>
      <c r="Z883" s="151">
        <v>0</v>
      </c>
      <c r="AA883" s="149">
        <f>Tabela4[[#This Row],[VALOR]]-Tabela4[[#This Row],[PNEUS]]-Tabela4[[#This Row],[BATERIA]]</f>
        <v>8400</v>
      </c>
      <c r="AB883" s="19" t="s">
        <v>34</v>
      </c>
      <c r="AC883" s="30">
        <v>0</v>
      </c>
      <c r="AD883" s="162">
        <v>0</v>
      </c>
      <c r="AE883" s="151">
        <v>0</v>
      </c>
      <c r="AF883" s="151">
        <v>1470</v>
      </c>
      <c r="AG883" s="151">
        <v>6531.9</v>
      </c>
      <c r="AH883" s="151">
        <f>117.9+45</f>
        <v>162.9</v>
      </c>
      <c r="AI883" s="151">
        <v>235.2</v>
      </c>
      <c r="AJ883" s="151">
        <v>0</v>
      </c>
    </row>
    <row r="884" spans="1:36" x14ac:dyDescent="0.25">
      <c r="A884" s="15" t="s">
        <v>1395</v>
      </c>
      <c r="B884" s="25" t="s">
        <v>898</v>
      </c>
      <c r="C884" s="141">
        <v>45420</v>
      </c>
      <c r="D884" s="141">
        <v>45420</v>
      </c>
      <c r="E884">
        <f>Tabela4[[#This Row],[DATA FATURAMENTO]]-Tabela4[[#This Row],[DATA ORÇAMENTO]]</f>
        <v>0</v>
      </c>
      <c r="F884" s="15">
        <v>11434</v>
      </c>
      <c r="G884" s="15" t="s">
        <v>6</v>
      </c>
      <c r="H884" s="25"/>
      <c r="I884" s="151">
        <v>533.5</v>
      </c>
      <c r="J884" s="151">
        <v>0.01</v>
      </c>
      <c r="K884" s="153">
        <f>Tabela4[[#This Row],[PECAS]]+Tabela4[[#This Row],[SERVICOS]]</f>
        <v>533.51</v>
      </c>
      <c r="L884" s="151">
        <v>0</v>
      </c>
      <c r="M884" s="151">
        <v>0</v>
      </c>
      <c r="N884" s="24"/>
      <c r="O884" s="151">
        <v>0</v>
      </c>
      <c r="P884" s="151">
        <v>0</v>
      </c>
      <c r="Q884" s="151">
        <v>0</v>
      </c>
      <c r="R884" s="151">
        <v>0</v>
      </c>
      <c r="S884" s="154">
        <v>0</v>
      </c>
      <c r="T884" s="151">
        <v>0</v>
      </c>
      <c r="U884" s="151">
        <v>533.51</v>
      </c>
      <c r="V884" s="15" t="s">
        <v>661</v>
      </c>
      <c r="W884" s="22">
        <v>0</v>
      </c>
      <c r="X884" s="149">
        <v>0</v>
      </c>
      <c r="Y884" s="15"/>
      <c r="Z884" s="151">
        <v>0</v>
      </c>
      <c r="AA884" s="149">
        <f>Tabela4[[#This Row],[VALOR]]-Tabela4[[#This Row],[PNEUS]]-Tabela4[[#This Row],[BATERIA]]</f>
        <v>0</v>
      </c>
      <c r="AB884" s="19" t="s">
        <v>6</v>
      </c>
      <c r="AC884" s="30">
        <v>0</v>
      </c>
      <c r="AD884" s="162">
        <v>0</v>
      </c>
      <c r="AE884" s="151">
        <v>0</v>
      </c>
      <c r="AF884" s="151">
        <v>0</v>
      </c>
      <c r="AG884" s="151">
        <v>0</v>
      </c>
      <c r="AH884" s="151">
        <v>0</v>
      </c>
      <c r="AI884" s="151">
        <v>0</v>
      </c>
      <c r="AJ884" s="151">
        <v>0</v>
      </c>
    </row>
    <row r="885" spans="1:36" x14ac:dyDescent="0.25">
      <c r="A885" s="15" t="s">
        <v>1396</v>
      </c>
      <c r="B885" s="25" t="s">
        <v>1397</v>
      </c>
      <c r="C885" s="141">
        <v>45425</v>
      </c>
      <c r="D885" s="141">
        <v>45425</v>
      </c>
      <c r="E885">
        <f>Tabela4[[#This Row],[DATA FATURAMENTO]]-Tabela4[[#This Row],[DATA ORÇAMENTO]]</f>
        <v>0</v>
      </c>
      <c r="F885" s="15">
        <v>11472</v>
      </c>
      <c r="G885" s="15" t="s">
        <v>6</v>
      </c>
      <c r="H885" s="25"/>
      <c r="I885" s="151">
        <v>533.5</v>
      </c>
      <c r="J885" s="151">
        <v>0.01</v>
      </c>
      <c r="K885" s="153">
        <f>Tabela4[[#This Row],[PECAS]]+Tabela4[[#This Row],[SERVICOS]]</f>
        <v>533.51</v>
      </c>
      <c r="L885" s="151">
        <v>0</v>
      </c>
      <c r="M885" s="151">
        <v>0</v>
      </c>
      <c r="N885" s="24"/>
      <c r="O885" s="151">
        <v>0</v>
      </c>
      <c r="P885" s="151">
        <v>0</v>
      </c>
      <c r="Q885" s="151">
        <v>0</v>
      </c>
      <c r="R885" s="151">
        <v>0</v>
      </c>
      <c r="S885" s="154">
        <v>0</v>
      </c>
      <c r="T885" s="151">
        <v>0</v>
      </c>
      <c r="U885" s="151">
        <v>533.51</v>
      </c>
      <c r="V885" s="15" t="s">
        <v>664</v>
      </c>
      <c r="W885" s="22">
        <v>0</v>
      </c>
      <c r="X885" s="149">
        <v>0</v>
      </c>
      <c r="Y885" s="15"/>
      <c r="Z885" s="151">
        <v>0</v>
      </c>
      <c r="AA885" s="149">
        <f>Tabela4[[#This Row],[VALOR]]-Tabela4[[#This Row],[PNEUS]]-Tabela4[[#This Row],[BATERIA]]</f>
        <v>0</v>
      </c>
      <c r="AB885" s="19" t="s">
        <v>6</v>
      </c>
      <c r="AC885" s="30">
        <v>0</v>
      </c>
      <c r="AD885" s="162">
        <v>0</v>
      </c>
      <c r="AE885" s="151">
        <v>0</v>
      </c>
      <c r="AF885" s="151">
        <v>0</v>
      </c>
      <c r="AG885" s="151">
        <v>0</v>
      </c>
      <c r="AH885" s="151">
        <v>0</v>
      </c>
      <c r="AI885" s="151">
        <v>0</v>
      </c>
      <c r="AJ885" s="151">
        <v>0</v>
      </c>
    </row>
    <row r="886" spans="1:36" x14ac:dyDescent="0.25">
      <c r="A886" s="15" t="s">
        <v>1398</v>
      </c>
      <c r="B886" s="25" t="s">
        <v>1399</v>
      </c>
      <c r="C886" s="141">
        <v>45436</v>
      </c>
      <c r="D886" s="141">
        <v>45436</v>
      </c>
      <c r="E886">
        <f>Tabela4[[#This Row],[DATA FATURAMENTO]]-Tabela4[[#This Row],[DATA ORÇAMENTO]]</f>
        <v>0</v>
      </c>
      <c r="F886" s="15">
        <v>11581</v>
      </c>
      <c r="G886" s="15" t="s">
        <v>6</v>
      </c>
      <c r="H886" s="25"/>
      <c r="I886" s="151">
        <v>530.5</v>
      </c>
      <c r="J886" s="151">
        <v>0.01</v>
      </c>
      <c r="K886" s="153">
        <f>Tabela4[[#This Row],[PECAS]]+Tabela4[[#This Row],[SERVICOS]]</f>
        <v>530.51</v>
      </c>
      <c r="L886" s="151">
        <v>0</v>
      </c>
      <c r="M886" s="151">
        <v>0</v>
      </c>
      <c r="N886" s="24"/>
      <c r="O886" s="151">
        <v>0</v>
      </c>
      <c r="P886" s="151">
        <v>0</v>
      </c>
      <c r="Q886" s="151">
        <v>0</v>
      </c>
      <c r="R886" s="151">
        <v>0</v>
      </c>
      <c r="S886" s="154">
        <v>0</v>
      </c>
      <c r="T886" s="151">
        <v>0</v>
      </c>
      <c r="U886" s="151">
        <v>530.51</v>
      </c>
      <c r="V886" s="15" t="s">
        <v>684</v>
      </c>
      <c r="W886" s="22">
        <v>0</v>
      </c>
      <c r="X886" s="149">
        <v>0</v>
      </c>
      <c r="Y886" s="15"/>
      <c r="Z886" s="151">
        <v>0</v>
      </c>
      <c r="AA886" s="149">
        <f>Tabela4[[#This Row],[VALOR]]-Tabela4[[#This Row],[PNEUS]]-Tabela4[[#This Row],[BATERIA]]</f>
        <v>0</v>
      </c>
      <c r="AB886" s="19" t="s">
        <v>6</v>
      </c>
      <c r="AC886" s="30">
        <v>0</v>
      </c>
      <c r="AD886" s="162">
        <v>0</v>
      </c>
      <c r="AE886" s="151">
        <v>0</v>
      </c>
      <c r="AF886" s="151">
        <v>0</v>
      </c>
      <c r="AG886" s="151">
        <v>0</v>
      </c>
      <c r="AH886" s="151">
        <v>0</v>
      </c>
      <c r="AI886" s="151">
        <v>0</v>
      </c>
      <c r="AJ886" s="151">
        <v>0</v>
      </c>
    </row>
    <row r="887" spans="1:36" x14ac:dyDescent="0.25">
      <c r="A887" s="15" t="s">
        <v>1400</v>
      </c>
      <c r="B887" s="25" t="s">
        <v>1026</v>
      </c>
      <c r="C887" s="141">
        <v>45446</v>
      </c>
      <c r="D887" s="141">
        <v>45446</v>
      </c>
      <c r="E887">
        <f>Tabela4[[#This Row],[DATA FATURAMENTO]]-Tabela4[[#This Row],[DATA ORÇAMENTO]]</f>
        <v>0</v>
      </c>
      <c r="F887" s="15">
        <v>11674</v>
      </c>
      <c r="G887" s="15" t="s">
        <v>6</v>
      </c>
      <c r="H887" s="25"/>
      <c r="I887" s="151">
        <v>530.5</v>
      </c>
      <c r="J887" s="151">
        <v>0.01</v>
      </c>
      <c r="K887" s="153">
        <f>Tabela4[[#This Row],[PECAS]]+Tabela4[[#This Row],[SERVICOS]]</f>
        <v>530.51</v>
      </c>
      <c r="L887" s="151">
        <v>0</v>
      </c>
      <c r="M887" s="151">
        <v>0</v>
      </c>
      <c r="N887" s="24"/>
      <c r="O887" s="151">
        <v>0</v>
      </c>
      <c r="P887" s="151">
        <v>0</v>
      </c>
      <c r="Q887" s="151">
        <v>0</v>
      </c>
      <c r="R887" s="151">
        <v>0</v>
      </c>
      <c r="S887" s="154">
        <v>0</v>
      </c>
      <c r="T887" s="151">
        <v>0</v>
      </c>
      <c r="U887" s="151">
        <v>530.51</v>
      </c>
      <c r="V887" s="15" t="s">
        <v>684</v>
      </c>
      <c r="W887" s="22">
        <v>0</v>
      </c>
      <c r="X887" s="149">
        <v>0</v>
      </c>
      <c r="Y887" s="15"/>
      <c r="Z887" s="151">
        <v>0</v>
      </c>
      <c r="AA887" s="149">
        <f>Tabela4[[#This Row],[VALOR]]-Tabela4[[#This Row],[PNEUS]]-Tabela4[[#This Row],[BATERIA]]</f>
        <v>0</v>
      </c>
      <c r="AB887" s="19" t="s">
        <v>6</v>
      </c>
      <c r="AC887" s="30">
        <v>0</v>
      </c>
      <c r="AD887" s="162">
        <v>0</v>
      </c>
      <c r="AE887" s="151">
        <v>0</v>
      </c>
      <c r="AF887" s="151">
        <v>0</v>
      </c>
      <c r="AG887" s="151">
        <v>0</v>
      </c>
      <c r="AH887" s="151">
        <v>0</v>
      </c>
      <c r="AI887" s="151">
        <v>0</v>
      </c>
      <c r="AJ887" s="151">
        <v>0</v>
      </c>
    </row>
    <row r="888" spans="1:36" x14ac:dyDescent="0.25">
      <c r="A888" s="15" t="s">
        <v>1401</v>
      </c>
      <c r="B888" s="25" t="s">
        <v>1402</v>
      </c>
      <c r="C888" s="141">
        <v>45455</v>
      </c>
      <c r="D888" s="141">
        <v>45457</v>
      </c>
      <c r="E888">
        <f>Tabela4[[#This Row],[DATA FATURAMENTO]]-Tabela4[[#This Row],[DATA ORÇAMENTO]]</f>
        <v>2</v>
      </c>
      <c r="F888" s="15">
        <v>11749</v>
      </c>
      <c r="G888" s="15" t="s">
        <v>22</v>
      </c>
      <c r="H888" s="25"/>
      <c r="I888" s="151">
        <v>3065.2</v>
      </c>
      <c r="J888" s="151">
        <v>1634.8</v>
      </c>
      <c r="K888" s="153">
        <f>Tabela4[[#This Row],[PECAS]]+Tabela4[[#This Row],[SERVICOS]]</f>
        <v>4700</v>
      </c>
      <c r="L888" s="151">
        <v>0</v>
      </c>
      <c r="M888" s="151">
        <v>0</v>
      </c>
      <c r="N888" s="24"/>
      <c r="O888" s="151">
        <v>0</v>
      </c>
      <c r="P888" s="151">
        <v>0</v>
      </c>
      <c r="Q888" s="151">
        <v>0</v>
      </c>
      <c r="R888" s="151">
        <v>0</v>
      </c>
      <c r="S888" s="154">
        <v>0</v>
      </c>
      <c r="T888" s="151">
        <v>0</v>
      </c>
      <c r="U888" s="151">
        <v>0</v>
      </c>
      <c r="V888" s="15"/>
      <c r="W888" s="22">
        <v>4</v>
      </c>
      <c r="X888" s="149">
        <v>70</v>
      </c>
      <c r="Y888" s="15" t="s">
        <v>645</v>
      </c>
      <c r="Z888" s="151">
        <v>0</v>
      </c>
      <c r="AA888" s="149">
        <f>Tabela4[[#This Row],[VALOR]]-Tabela4[[#This Row],[PNEUS]]-Tabela4[[#This Row],[BATERIA]]</f>
        <v>4700</v>
      </c>
      <c r="AB888" s="19" t="s">
        <v>32</v>
      </c>
      <c r="AC888" s="30">
        <v>0</v>
      </c>
      <c r="AD888" s="151">
        <f>276+104+150</f>
        <v>530</v>
      </c>
      <c r="AE888" s="151">
        <f>94+550+120+440+76.8+220+231.8+260</f>
        <v>1992.6</v>
      </c>
      <c r="AF888" s="151">
        <v>0</v>
      </c>
      <c r="AG888" s="151">
        <f>23.4+22</f>
        <v>45.4</v>
      </c>
      <c r="AH888" s="151">
        <f>127+24+73</f>
        <v>224</v>
      </c>
      <c r="AI888" s="151">
        <v>280</v>
      </c>
      <c r="AJ888" s="151">
        <f>660+268+700</f>
        <v>1628</v>
      </c>
    </row>
    <row r="889" spans="1:36" x14ac:dyDescent="0.25">
      <c r="A889" s="15" t="s">
        <v>1403</v>
      </c>
      <c r="B889" s="25" t="s">
        <v>1404</v>
      </c>
      <c r="C889" s="141">
        <v>45457</v>
      </c>
      <c r="D889" s="141">
        <v>45457</v>
      </c>
      <c r="E889">
        <f>Tabela4[[#This Row],[DATA FATURAMENTO]]-Tabela4[[#This Row],[DATA ORÇAMENTO]]</f>
        <v>0</v>
      </c>
      <c r="F889" s="15">
        <v>11772</v>
      </c>
      <c r="G889" s="15" t="s">
        <v>22</v>
      </c>
      <c r="H889" s="25"/>
      <c r="I889" s="151">
        <v>792.2</v>
      </c>
      <c r="J889" s="151">
        <v>470.8</v>
      </c>
      <c r="K889" s="153">
        <f>Tabela4[[#This Row],[PECAS]]+Tabela4[[#This Row],[SERVICOS]]</f>
        <v>1263</v>
      </c>
      <c r="L889" s="151">
        <v>0</v>
      </c>
      <c r="M889" s="151">
        <v>0</v>
      </c>
      <c r="N889" s="24"/>
      <c r="O889" s="151">
        <v>0</v>
      </c>
      <c r="P889" s="151">
        <v>0</v>
      </c>
      <c r="Q889" s="151">
        <v>0</v>
      </c>
      <c r="R889" s="151">
        <v>0</v>
      </c>
      <c r="S889" s="154">
        <v>0</v>
      </c>
      <c r="T889" s="151">
        <v>0</v>
      </c>
      <c r="U889" s="151">
        <v>0</v>
      </c>
      <c r="V889" s="15"/>
      <c r="W889" s="22">
        <v>0</v>
      </c>
      <c r="X889" s="149">
        <v>0</v>
      </c>
      <c r="Y889" s="15"/>
      <c r="Z889" s="151">
        <v>0</v>
      </c>
      <c r="AA889" s="149">
        <f>Tabela4[[#This Row],[VALOR]]-Tabela4[[#This Row],[PNEUS]]-Tabela4[[#This Row],[BATERIA]]</f>
        <v>1263</v>
      </c>
      <c r="AB889" s="19" t="s">
        <v>24</v>
      </c>
      <c r="AC889" s="30">
        <v>0</v>
      </c>
      <c r="AD889" s="162">
        <v>0</v>
      </c>
      <c r="AE889" s="151">
        <f>792.2+470.8</f>
        <v>1263</v>
      </c>
      <c r="AF889" s="151">
        <v>0</v>
      </c>
      <c r="AG889" s="151">
        <v>0</v>
      </c>
      <c r="AH889" s="151">
        <v>0</v>
      </c>
      <c r="AI889" s="151">
        <v>0</v>
      </c>
      <c r="AJ889" s="151">
        <v>0</v>
      </c>
    </row>
    <row r="890" spans="1:36" x14ac:dyDescent="0.25">
      <c r="A890" s="15" t="s">
        <v>1405</v>
      </c>
      <c r="B890" s="25" t="s">
        <v>1406</v>
      </c>
      <c r="C890" s="141">
        <v>45456</v>
      </c>
      <c r="D890" s="141">
        <v>45457</v>
      </c>
      <c r="E890">
        <f>Tabela4[[#This Row],[DATA FATURAMENTO]]-Tabela4[[#This Row],[DATA ORÇAMENTO]]</f>
        <v>1</v>
      </c>
      <c r="F890" s="15">
        <v>11765</v>
      </c>
      <c r="G890" s="15" t="s">
        <v>22</v>
      </c>
      <c r="H890" s="25"/>
      <c r="I890" s="151">
        <v>581</v>
      </c>
      <c r="J890" s="151">
        <v>340</v>
      </c>
      <c r="K890" s="153">
        <f>Tabela4[[#This Row],[PECAS]]+Tabela4[[#This Row],[SERVICOS]]</f>
        <v>921</v>
      </c>
      <c r="L890" s="151">
        <v>0</v>
      </c>
      <c r="M890" s="151">
        <v>0</v>
      </c>
      <c r="N890" s="24"/>
      <c r="O890" s="151">
        <v>0</v>
      </c>
      <c r="P890" s="151">
        <v>0</v>
      </c>
      <c r="Q890" s="151">
        <v>0</v>
      </c>
      <c r="R890" s="151">
        <v>0</v>
      </c>
      <c r="S890" s="154">
        <v>180</v>
      </c>
      <c r="T890" s="151">
        <v>0</v>
      </c>
      <c r="U890" s="151">
        <v>0</v>
      </c>
      <c r="V890" s="15"/>
      <c r="W890" s="22">
        <v>5</v>
      </c>
      <c r="X890" s="149">
        <v>60</v>
      </c>
      <c r="Y890" s="15" t="s">
        <v>1344</v>
      </c>
      <c r="Z890" s="151">
        <v>0</v>
      </c>
      <c r="AA890" s="149">
        <f>Tabela4[[#This Row],[VALOR]]-Tabela4[[#This Row],[PNEUS]]-Tabela4[[#This Row],[BATERIA]]</f>
        <v>921</v>
      </c>
      <c r="AB890" s="19" t="s">
        <v>24</v>
      </c>
      <c r="AC890" s="30">
        <v>0</v>
      </c>
      <c r="AD890" s="162">
        <v>0</v>
      </c>
      <c r="AE890" s="151">
        <v>270</v>
      </c>
      <c r="AF890" s="151">
        <v>0</v>
      </c>
      <c r="AG890" s="151">
        <f>29+122+20</f>
        <v>171</v>
      </c>
      <c r="AH890" s="151">
        <f>70+110</f>
        <v>180</v>
      </c>
      <c r="AI890" s="151">
        <v>300</v>
      </c>
      <c r="AJ890" s="151">
        <v>0</v>
      </c>
    </row>
    <row r="891" spans="1:36" x14ac:dyDescent="0.25">
      <c r="A891" s="15" t="s">
        <v>1407</v>
      </c>
      <c r="B891" s="25" t="s">
        <v>1408</v>
      </c>
      <c r="C891" s="141">
        <v>45456</v>
      </c>
      <c r="D891" s="141">
        <v>45457</v>
      </c>
      <c r="E891">
        <f>Tabela4[[#This Row],[DATA FATURAMENTO]]-Tabela4[[#This Row],[DATA ORÇAMENTO]]</f>
        <v>1</v>
      </c>
      <c r="F891" s="15">
        <v>11768</v>
      </c>
      <c r="G891" s="15" t="s">
        <v>22</v>
      </c>
      <c r="H891" s="25"/>
      <c r="I891" s="151">
        <v>816</v>
      </c>
      <c r="J891" s="151">
        <v>851</v>
      </c>
      <c r="K891" s="153">
        <f>Tabela4[[#This Row],[PECAS]]+Tabela4[[#This Row],[SERVICOS]]</f>
        <v>1667</v>
      </c>
      <c r="L891" s="151">
        <v>110</v>
      </c>
      <c r="M891" s="151">
        <v>0</v>
      </c>
      <c r="N891" s="24"/>
      <c r="O891" s="151">
        <v>220</v>
      </c>
      <c r="P891" s="151">
        <v>0</v>
      </c>
      <c r="Q891" s="151">
        <v>152</v>
      </c>
      <c r="R891" s="151">
        <v>0</v>
      </c>
      <c r="S891" s="154">
        <v>170</v>
      </c>
      <c r="T891" s="151">
        <v>0</v>
      </c>
      <c r="U891" s="151">
        <v>0</v>
      </c>
      <c r="V891" s="15"/>
      <c r="W891" s="22">
        <v>4</v>
      </c>
      <c r="X891" s="149">
        <v>55</v>
      </c>
      <c r="Y891" s="15" t="s">
        <v>1344</v>
      </c>
      <c r="Z891" s="151">
        <v>0</v>
      </c>
      <c r="AA891" s="149">
        <f>Tabela4[[#This Row],[VALOR]]-Tabela4[[#This Row],[PNEUS]]-Tabela4[[#This Row],[BATERIA]]</f>
        <v>1667</v>
      </c>
      <c r="AB891" s="19" t="s">
        <v>27</v>
      </c>
      <c r="AC891" s="30">
        <v>0</v>
      </c>
      <c r="AD891" s="151">
        <f>237.4+104+152+220</f>
        <v>713.4</v>
      </c>
      <c r="AE891" s="151">
        <v>0</v>
      </c>
      <c r="AF891" s="151">
        <v>0</v>
      </c>
      <c r="AG891" s="151">
        <f>57.9+30.4+170+20+95+110</f>
        <v>483.3</v>
      </c>
      <c r="AH891" s="151">
        <f>47.7+32.6+170</f>
        <v>250.3</v>
      </c>
      <c r="AI891" s="151">
        <v>220</v>
      </c>
      <c r="AJ891" s="151">
        <v>0</v>
      </c>
    </row>
    <row r="892" spans="1:36" x14ac:dyDescent="0.25">
      <c r="A892" s="15" t="s">
        <v>1409</v>
      </c>
      <c r="B892" s="25" t="s">
        <v>1410</v>
      </c>
      <c r="C892" s="141">
        <v>45457</v>
      </c>
      <c r="D892" s="141">
        <v>45457</v>
      </c>
      <c r="E892">
        <f>Tabela4[[#This Row],[DATA FATURAMENTO]]-Tabela4[[#This Row],[DATA ORÇAMENTO]]</f>
        <v>0</v>
      </c>
      <c r="F892" s="15">
        <v>11772</v>
      </c>
      <c r="G892" s="15" t="s">
        <v>39</v>
      </c>
      <c r="H892" s="25" t="s">
        <v>44</v>
      </c>
      <c r="I892" s="151">
        <v>0</v>
      </c>
      <c r="J892" s="151">
        <v>220</v>
      </c>
      <c r="K892" s="153">
        <f>Tabela4[[#This Row],[PECAS]]+Tabela4[[#This Row],[SERVICOS]]</f>
        <v>220</v>
      </c>
      <c r="L892" s="151">
        <v>0</v>
      </c>
      <c r="M892" s="151">
        <v>0</v>
      </c>
      <c r="N892" s="24"/>
      <c r="O892" s="151">
        <v>0</v>
      </c>
      <c r="P892" s="151">
        <v>0</v>
      </c>
      <c r="Q892" s="151">
        <v>0</v>
      </c>
      <c r="R892" s="151">
        <v>0</v>
      </c>
      <c r="S892" s="154">
        <v>0</v>
      </c>
      <c r="T892" s="151">
        <v>0</v>
      </c>
      <c r="U892" s="151">
        <v>0</v>
      </c>
      <c r="V892" s="15"/>
      <c r="W892" s="22">
        <v>0</v>
      </c>
      <c r="X892" s="149">
        <v>0</v>
      </c>
      <c r="Y892" s="15"/>
      <c r="Z892" s="151">
        <v>0</v>
      </c>
      <c r="AA892" s="149">
        <f>Tabela4[[#This Row],[VALOR]]-Tabela4[[#This Row],[PNEUS]]-Tabela4[[#This Row],[BATERIA]]</f>
        <v>220</v>
      </c>
      <c r="AB892" s="19" t="s">
        <v>24</v>
      </c>
      <c r="AC892" s="30">
        <v>0</v>
      </c>
      <c r="AD892" s="162">
        <v>0</v>
      </c>
      <c r="AE892" s="151">
        <v>220</v>
      </c>
      <c r="AF892" s="151">
        <v>0</v>
      </c>
      <c r="AG892" s="151">
        <v>0</v>
      </c>
      <c r="AH892" s="151">
        <v>0</v>
      </c>
      <c r="AI892" s="151">
        <v>0</v>
      </c>
      <c r="AJ892" s="151">
        <v>0</v>
      </c>
    </row>
    <row r="893" spans="1:36" x14ac:dyDescent="0.25">
      <c r="A893" s="68" t="s">
        <v>1411</v>
      </c>
      <c r="B893" s="68" t="s">
        <v>1412</v>
      </c>
      <c r="C893" s="146">
        <v>45457</v>
      </c>
      <c r="D893" s="141">
        <v>45457</v>
      </c>
      <c r="E893">
        <f>Tabela4[[#This Row],[DATA FATURAMENTO]]-Tabela4[[#This Row],[DATA ORÇAMENTO]]</f>
        <v>0</v>
      </c>
      <c r="F893" s="68">
        <v>11775</v>
      </c>
      <c r="G893" s="15" t="s">
        <v>22</v>
      </c>
      <c r="H893" s="25"/>
      <c r="I893" s="151">
        <v>1152.8</v>
      </c>
      <c r="J893" s="151">
        <v>0</v>
      </c>
      <c r="K893" s="153">
        <f>Tabela4[[#This Row],[PECAS]]+Tabela4[[#This Row],[SERVICOS]]</f>
        <v>1152.8</v>
      </c>
      <c r="L893" s="151">
        <v>0</v>
      </c>
      <c r="M893" s="151">
        <v>0</v>
      </c>
      <c r="N893" s="24"/>
      <c r="O893" s="151">
        <v>0</v>
      </c>
      <c r="P893" s="151">
        <v>0</v>
      </c>
      <c r="Q893" s="151">
        <v>0</v>
      </c>
      <c r="R893" s="151">
        <v>0</v>
      </c>
      <c r="S893" s="154">
        <v>0</v>
      </c>
      <c r="T893" s="151">
        <v>0</v>
      </c>
      <c r="U893" s="151">
        <v>1152.8</v>
      </c>
      <c r="V893" s="15" t="s">
        <v>642</v>
      </c>
      <c r="W893" s="22">
        <v>0</v>
      </c>
      <c r="X893" s="149">
        <v>0</v>
      </c>
      <c r="Y893" s="15"/>
      <c r="Z893" s="151">
        <v>0</v>
      </c>
      <c r="AA893" s="149">
        <f>Tabela4[[#This Row],[VALOR]]-Tabela4[[#This Row],[PNEUS]]-Tabela4[[#This Row],[BATERIA]]</f>
        <v>0</v>
      </c>
      <c r="AB893" s="19" t="s">
        <v>6</v>
      </c>
      <c r="AC893" s="30">
        <v>0</v>
      </c>
      <c r="AD893" s="162">
        <v>0</v>
      </c>
      <c r="AE893" s="151">
        <v>0</v>
      </c>
      <c r="AF893" s="151">
        <v>0</v>
      </c>
      <c r="AG893" s="151">
        <v>0</v>
      </c>
      <c r="AH893" s="151">
        <v>0</v>
      </c>
      <c r="AI893" s="151">
        <v>0</v>
      </c>
      <c r="AJ893" s="151">
        <v>0</v>
      </c>
    </row>
    <row r="894" spans="1:36" x14ac:dyDescent="0.25">
      <c r="A894" s="68" t="s">
        <v>200</v>
      </c>
      <c r="B894" s="68" t="s">
        <v>885</v>
      </c>
      <c r="C894" s="146">
        <v>45457</v>
      </c>
      <c r="D894" s="141">
        <v>45457</v>
      </c>
      <c r="E894">
        <f>Tabela4[[#This Row],[DATA FATURAMENTO]]-Tabela4[[#This Row],[DATA ORÇAMENTO]]</f>
        <v>0</v>
      </c>
      <c r="F894" s="68">
        <v>11777</v>
      </c>
      <c r="G894" s="15" t="s">
        <v>31</v>
      </c>
      <c r="H894" s="25"/>
      <c r="I894" s="151">
        <v>170</v>
      </c>
      <c r="J894" s="151">
        <v>122</v>
      </c>
      <c r="K894" s="153">
        <f>Tabela4[[#This Row],[PECAS]]+Tabela4[[#This Row],[SERVICOS]]</f>
        <v>292</v>
      </c>
      <c r="L894" s="151">
        <v>0</v>
      </c>
      <c r="M894" s="151">
        <v>0</v>
      </c>
      <c r="N894" s="24"/>
      <c r="O894" s="151">
        <v>0</v>
      </c>
      <c r="P894" s="151">
        <v>0</v>
      </c>
      <c r="Q894" s="151">
        <v>0</v>
      </c>
      <c r="R894" s="151">
        <v>0</v>
      </c>
      <c r="S894" s="154">
        <v>0</v>
      </c>
      <c r="T894" s="151">
        <v>0</v>
      </c>
      <c r="U894" s="151">
        <v>0</v>
      </c>
      <c r="V894" s="15"/>
      <c r="W894" s="22">
        <v>0</v>
      </c>
      <c r="X894" s="149">
        <v>0</v>
      </c>
      <c r="Y894" s="15"/>
      <c r="Z894" s="151">
        <v>0</v>
      </c>
      <c r="AA894" s="149">
        <f>Tabela4[[#This Row],[VALOR]]-Tabela4[[#This Row],[PNEUS]]-Tabela4[[#This Row],[BATERIA]]</f>
        <v>292</v>
      </c>
      <c r="AB894" s="19" t="s">
        <v>34</v>
      </c>
      <c r="AC894" s="30">
        <v>0</v>
      </c>
      <c r="AD894" s="162">
        <v>0</v>
      </c>
      <c r="AE894" s="151">
        <v>292</v>
      </c>
      <c r="AF894" s="151">
        <v>0</v>
      </c>
      <c r="AG894" s="151">
        <v>0</v>
      </c>
      <c r="AH894" s="151">
        <v>0</v>
      </c>
      <c r="AI894" s="151">
        <v>0</v>
      </c>
      <c r="AJ894" s="151">
        <v>0</v>
      </c>
    </row>
    <row r="895" spans="1:36" x14ac:dyDescent="0.25">
      <c r="A895" s="68" t="s">
        <v>1413</v>
      </c>
      <c r="B895" s="68" t="s">
        <v>1147</v>
      </c>
      <c r="C895" s="146">
        <v>45457</v>
      </c>
      <c r="D895" s="141">
        <v>45457</v>
      </c>
      <c r="E895">
        <f>Tabela4[[#This Row],[DATA FATURAMENTO]]-Tabela4[[#This Row],[DATA ORÇAMENTO]]</f>
        <v>0</v>
      </c>
      <c r="F895" s="68">
        <v>11779</v>
      </c>
      <c r="G895" s="15" t="s">
        <v>31</v>
      </c>
      <c r="H895" s="25"/>
      <c r="I895" s="151">
        <v>55</v>
      </c>
      <c r="J895" s="151">
        <v>35</v>
      </c>
      <c r="K895" s="153">
        <f>Tabela4[[#This Row],[PECAS]]+Tabela4[[#This Row],[SERVICOS]]</f>
        <v>90</v>
      </c>
      <c r="L895" s="151">
        <v>0</v>
      </c>
      <c r="M895" s="151">
        <v>0</v>
      </c>
      <c r="N895" s="24"/>
      <c r="O895" s="151">
        <v>0</v>
      </c>
      <c r="P895" s="151">
        <v>0</v>
      </c>
      <c r="Q895" s="151">
        <v>0</v>
      </c>
      <c r="R895" s="151">
        <v>0</v>
      </c>
      <c r="S895" s="154">
        <v>0</v>
      </c>
      <c r="T895" s="151">
        <v>0</v>
      </c>
      <c r="U895" s="151">
        <v>0</v>
      </c>
      <c r="V895" s="15"/>
      <c r="W895" s="22">
        <v>0</v>
      </c>
      <c r="X895" s="149">
        <v>0</v>
      </c>
      <c r="Y895" s="15"/>
      <c r="Z895" s="151">
        <v>0</v>
      </c>
      <c r="AA895" s="149">
        <f>Tabela4[[#This Row],[VALOR]]-Tabela4[[#This Row],[PNEUS]]-Tabela4[[#This Row],[BATERIA]]</f>
        <v>90</v>
      </c>
      <c r="AB895" s="19" t="s">
        <v>38</v>
      </c>
      <c r="AC895" s="30">
        <v>0</v>
      </c>
      <c r="AD895" s="162">
        <v>0</v>
      </c>
      <c r="AE895" s="151">
        <v>0</v>
      </c>
      <c r="AF895" s="151">
        <v>0</v>
      </c>
      <c r="AG895" s="151">
        <v>0</v>
      </c>
      <c r="AH895" s="151">
        <v>90</v>
      </c>
      <c r="AI895" s="151">
        <v>0</v>
      </c>
      <c r="AJ895" s="151">
        <v>0</v>
      </c>
    </row>
    <row r="896" spans="1:36" x14ac:dyDescent="0.25">
      <c r="A896" s="68" t="s">
        <v>1414</v>
      </c>
      <c r="B896" s="68" t="s">
        <v>1415</v>
      </c>
      <c r="C896" s="146">
        <v>45457</v>
      </c>
      <c r="D896" s="141">
        <v>45457</v>
      </c>
      <c r="E896">
        <f>Tabela4[[#This Row],[DATA FATURAMENTO]]-Tabela4[[#This Row],[DATA ORÇAMENTO]]</f>
        <v>0</v>
      </c>
      <c r="F896" s="68">
        <v>11786</v>
      </c>
      <c r="G896" s="15" t="s">
        <v>39</v>
      </c>
      <c r="H896" s="25" t="s">
        <v>44</v>
      </c>
      <c r="I896" s="151">
        <v>0</v>
      </c>
      <c r="J896" s="151">
        <v>120.01</v>
      </c>
      <c r="K896" s="153">
        <f>Tabela4[[#This Row],[PECAS]]+Tabela4[[#This Row],[SERVICOS]]</f>
        <v>120.01</v>
      </c>
      <c r="L896" s="151">
        <v>0</v>
      </c>
      <c r="M896" s="151">
        <v>0</v>
      </c>
      <c r="N896" s="24"/>
      <c r="O896" s="151">
        <v>0</v>
      </c>
      <c r="P896" s="151">
        <v>0</v>
      </c>
      <c r="Q896" s="151">
        <v>0</v>
      </c>
      <c r="R896" s="151">
        <v>0</v>
      </c>
      <c r="S896" s="154">
        <v>0</v>
      </c>
      <c r="T896" s="151">
        <v>0</v>
      </c>
      <c r="U896" s="151">
        <v>0</v>
      </c>
      <c r="V896" s="15"/>
      <c r="W896" s="22">
        <v>0</v>
      </c>
      <c r="X896" s="149">
        <v>0</v>
      </c>
      <c r="Y896" s="15"/>
      <c r="Z896" s="151">
        <v>0</v>
      </c>
      <c r="AA896" s="149">
        <f>Tabela4[[#This Row],[VALOR]]-Tabela4[[#This Row],[PNEUS]]-Tabela4[[#This Row],[BATERIA]]</f>
        <v>120.01</v>
      </c>
      <c r="AB896" s="19" t="s">
        <v>24</v>
      </c>
      <c r="AC896" s="30">
        <v>0</v>
      </c>
      <c r="AD896" s="162">
        <v>0</v>
      </c>
      <c r="AE896" s="151">
        <v>120.01</v>
      </c>
      <c r="AF896" s="151">
        <v>0</v>
      </c>
      <c r="AG896" s="151">
        <v>0</v>
      </c>
      <c r="AH896" s="151">
        <v>0</v>
      </c>
      <c r="AI896" s="151">
        <v>0</v>
      </c>
      <c r="AJ896" s="151">
        <v>0</v>
      </c>
    </row>
    <row r="897" spans="1:36" x14ac:dyDescent="0.25">
      <c r="A897" s="68" t="s">
        <v>1416</v>
      </c>
      <c r="B897" s="68" t="s">
        <v>938</v>
      </c>
      <c r="C897" s="146">
        <v>45457</v>
      </c>
      <c r="D897" s="141">
        <v>45457</v>
      </c>
      <c r="E897">
        <f>Tabela4[[#This Row],[DATA FATURAMENTO]]-Tabela4[[#This Row],[DATA ORÇAMENTO]]</f>
        <v>0</v>
      </c>
      <c r="F897" s="68">
        <v>11787</v>
      </c>
      <c r="G897" s="15" t="s">
        <v>37</v>
      </c>
      <c r="H897" s="25"/>
      <c r="I897" s="151">
        <v>333</v>
      </c>
      <c r="J897" s="151">
        <v>293.60000000000002</v>
      </c>
      <c r="K897" s="153">
        <f>Tabela4[[#This Row],[PECAS]]+Tabela4[[#This Row],[SERVICOS]]</f>
        <v>626.6</v>
      </c>
      <c r="L897" s="151">
        <v>0</v>
      </c>
      <c r="M897" s="151">
        <v>0</v>
      </c>
      <c r="N897" s="24"/>
      <c r="O897" s="151">
        <v>0</v>
      </c>
      <c r="P897" s="151">
        <v>0</v>
      </c>
      <c r="Q897" s="151">
        <v>0</v>
      </c>
      <c r="R897" s="151">
        <v>0</v>
      </c>
      <c r="S897" s="154">
        <v>0</v>
      </c>
      <c r="T897" s="151">
        <v>0</v>
      </c>
      <c r="U897" s="151">
        <v>0</v>
      </c>
      <c r="V897" s="15"/>
      <c r="W897" s="22">
        <v>0</v>
      </c>
      <c r="X897" s="149">
        <v>0</v>
      </c>
      <c r="Y897" s="15"/>
      <c r="Z897" s="151">
        <v>0</v>
      </c>
      <c r="AA897" s="149">
        <f>Tabela4[[#This Row],[VALOR]]-Tabela4[[#This Row],[PNEUS]]-Tabela4[[#This Row],[BATERIA]]</f>
        <v>626.6</v>
      </c>
      <c r="AB897" s="19" t="s">
        <v>38</v>
      </c>
      <c r="AC897" s="30">
        <v>0</v>
      </c>
      <c r="AD897" s="162">
        <v>0</v>
      </c>
      <c r="AE897" s="151">
        <v>0</v>
      </c>
      <c r="AF897" s="151">
        <v>0</v>
      </c>
      <c r="AG897" s="151">
        <v>0</v>
      </c>
      <c r="AH897" s="151">
        <v>626.6</v>
      </c>
      <c r="AI897" s="151">
        <v>0</v>
      </c>
      <c r="AJ897" s="151">
        <v>0</v>
      </c>
    </row>
    <row r="898" spans="1:36" ht="15.75" x14ac:dyDescent="0.25">
      <c r="A898" s="68" t="s">
        <v>1417</v>
      </c>
      <c r="B898" s="68" t="s">
        <v>1418</v>
      </c>
      <c r="C898" s="147">
        <v>45457</v>
      </c>
      <c r="D898" s="141">
        <v>45458</v>
      </c>
      <c r="E898">
        <f>Tabela4[[#This Row],[DATA FATURAMENTO]]-Tabela4[[#This Row],[DATA ORÇAMENTO]]</f>
        <v>1</v>
      </c>
      <c r="F898" s="68">
        <v>11780</v>
      </c>
      <c r="G898" s="15" t="s">
        <v>39</v>
      </c>
      <c r="H898" s="25"/>
      <c r="I898" s="151">
        <v>0</v>
      </c>
      <c r="J898" s="151">
        <f>K898-I898</f>
        <v>120.01</v>
      </c>
      <c r="K898" s="158">
        <v>120.01</v>
      </c>
      <c r="L898" s="151">
        <v>0</v>
      </c>
      <c r="M898" s="151">
        <v>0</v>
      </c>
      <c r="N898" s="24"/>
      <c r="O898" s="151">
        <v>0</v>
      </c>
      <c r="P898" s="151">
        <v>0</v>
      </c>
      <c r="Q898" s="151">
        <v>0</v>
      </c>
      <c r="R898" s="151">
        <v>0</v>
      </c>
      <c r="S898" s="154">
        <v>0</v>
      </c>
      <c r="T898" s="151">
        <v>0</v>
      </c>
      <c r="U898" s="151">
        <v>0</v>
      </c>
      <c r="V898" s="15"/>
      <c r="W898" s="22">
        <v>0</v>
      </c>
      <c r="X898" s="149">
        <v>0</v>
      </c>
      <c r="Y898" s="15"/>
      <c r="Z898" s="151">
        <v>0</v>
      </c>
      <c r="AA898" s="149">
        <f>Tabela4[[#This Row],[VALOR]]-Tabela4[[#This Row],[PNEUS]]-Tabela4[[#This Row],[BATERIA]]</f>
        <v>120.01</v>
      </c>
      <c r="AB898" s="19" t="s">
        <v>34</v>
      </c>
      <c r="AC898" s="30">
        <v>0</v>
      </c>
      <c r="AD898" s="162">
        <v>0</v>
      </c>
      <c r="AE898" s="151">
        <v>120.01</v>
      </c>
      <c r="AF898" s="151">
        <v>0</v>
      </c>
      <c r="AG898" s="151">
        <v>0</v>
      </c>
      <c r="AH898" s="151">
        <v>0</v>
      </c>
      <c r="AI898" s="151">
        <v>0</v>
      </c>
      <c r="AJ898" s="151">
        <v>0</v>
      </c>
    </row>
    <row r="899" spans="1:36" x14ac:dyDescent="0.25">
      <c r="A899" s="68" t="s">
        <v>1419</v>
      </c>
      <c r="B899" s="68" t="s">
        <v>991</v>
      </c>
      <c r="C899" s="146">
        <v>45457</v>
      </c>
      <c r="D899" s="141">
        <v>45458</v>
      </c>
      <c r="E899">
        <f>Tabela4[[#This Row],[DATA FATURAMENTO]]-Tabela4[[#This Row],[DATA ORÇAMENTO]]</f>
        <v>1</v>
      </c>
      <c r="F899" s="68">
        <v>11784</v>
      </c>
      <c r="G899" s="15" t="s">
        <v>35</v>
      </c>
      <c r="H899" s="25"/>
      <c r="I899" s="151">
        <v>1189.3</v>
      </c>
      <c r="J899" s="151">
        <f t="shared" ref="J899:J929" si="0">K899-I899</f>
        <v>403.92000000000007</v>
      </c>
      <c r="K899" s="158">
        <v>1593.22</v>
      </c>
      <c r="L899" s="151">
        <v>0</v>
      </c>
      <c r="M899" s="151">
        <v>0</v>
      </c>
      <c r="N899" s="24"/>
      <c r="O899" s="151">
        <v>0</v>
      </c>
      <c r="P899" s="151">
        <v>0</v>
      </c>
      <c r="Q899" s="151">
        <v>0</v>
      </c>
      <c r="R899" s="151">
        <v>0</v>
      </c>
      <c r="S899" s="154">
        <v>0</v>
      </c>
      <c r="T899" s="151">
        <v>0</v>
      </c>
      <c r="U899" s="151">
        <v>0</v>
      </c>
      <c r="V899" s="15"/>
      <c r="W899" s="22">
        <v>0</v>
      </c>
      <c r="X899" s="149">
        <v>0</v>
      </c>
      <c r="Y899" s="15"/>
      <c r="Z899" s="151">
        <v>0</v>
      </c>
      <c r="AA899" s="149">
        <f>Tabela4[[#This Row],[VALOR]]-Tabela4[[#This Row],[PNEUS]]-Tabela4[[#This Row],[BATERIA]]</f>
        <v>1593.22</v>
      </c>
      <c r="AB899" s="19" t="s">
        <v>32</v>
      </c>
      <c r="AC899" s="30">
        <v>0</v>
      </c>
      <c r="AD899" s="151">
        <v>1593.22</v>
      </c>
      <c r="AE899" s="151">
        <v>0</v>
      </c>
      <c r="AF899" s="151">
        <v>0</v>
      </c>
      <c r="AG899" s="151">
        <v>0</v>
      </c>
      <c r="AH899" s="151">
        <v>0</v>
      </c>
      <c r="AI899" s="151">
        <v>0</v>
      </c>
      <c r="AJ899" s="151">
        <v>0</v>
      </c>
    </row>
    <row r="900" spans="1:36" x14ac:dyDescent="0.25">
      <c r="A900" s="68" t="s">
        <v>1420</v>
      </c>
      <c r="B900" s="68" t="s">
        <v>1421</v>
      </c>
      <c r="C900" s="146">
        <v>45457</v>
      </c>
      <c r="D900" s="141">
        <v>45458</v>
      </c>
      <c r="E900">
        <f>Tabela4[[#This Row],[DATA FATURAMENTO]]-Tabela4[[#This Row],[DATA ORÇAMENTO]]</f>
        <v>1</v>
      </c>
      <c r="F900" s="68">
        <v>11792</v>
      </c>
      <c r="G900" s="15" t="s">
        <v>39</v>
      </c>
      <c r="H900" s="25" t="s">
        <v>44</v>
      </c>
      <c r="I900" s="151">
        <v>0</v>
      </c>
      <c r="J900" s="151">
        <f t="shared" si="0"/>
        <v>220.01</v>
      </c>
      <c r="K900" s="158">
        <v>220.01</v>
      </c>
      <c r="L900" s="151">
        <v>0</v>
      </c>
      <c r="M900" s="151">
        <v>0</v>
      </c>
      <c r="N900" s="24"/>
      <c r="O900" s="151">
        <v>0</v>
      </c>
      <c r="P900" s="151">
        <v>0</v>
      </c>
      <c r="Q900" s="151">
        <v>0</v>
      </c>
      <c r="R900" s="151">
        <v>0</v>
      </c>
      <c r="S900" s="154">
        <v>0</v>
      </c>
      <c r="T900" s="151">
        <v>0</v>
      </c>
      <c r="U900" s="151">
        <v>0</v>
      </c>
      <c r="V900" s="15"/>
      <c r="W900" s="22">
        <v>0</v>
      </c>
      <c r="X900" s="149">
        <v>0</v>
      </c>
      <c r="Y900" s="15"/>
      <c r="Z900" s="151">
        <v>0</v>
      </c>
      <c r="AA900" s="149">
        <f>Tabela4[[#This Row],[VALOR]]-Tabela4[[#This Row],[PNEUS]]-Tabela4[[#This Row],[BATERIA]]</f>
        <v>220.01</v>
      </c>
      <c r="AB900" s="19" t="s">
        <v>34</v>
      </c>
      <c r="AC900" s="30">
        <v>0</v>
      </c>
      <c r="AD900" s="162">
        <v>0</v>
      </c>
      <c r="AE900" s="151">
        <v>220.01</v>
      </c>
      <c r="AF900" s="151">
        <v>0</v>
      </c>
      <c r="AG900" s="151">
        <v>0</v>
      </c>
      <c r="AH900" s="151">
        <v>0</v>
      </c>
      <c r="AI900" s="151">
        <v>0</v>
      </c>
      <c r="AJ900" s="151">
        <v>0</v>
      </c>
    </row>
    <row r="901" spans="1:36" x14ac:dyDescent="0.25">
      <c r="A901" s="68" t="s">
        <v>1422</v>
      </c>
      <c r="B901" s="68" t="s">
        <v>1423</v>
      </c>
      <c r="C901" s="146">
        <v>45458</v>
      </c>
      <c r="D901" s="141">
        <v>45458</v>
      </c>
      <c r="E901">
        <f>Tabela4[[#This Row],[DATA FATURAMENTO]]-Tabela4[[#This Row],[DATA ORÇAMENTO]]</f>
        <v>0</v>
      </c>
      <c r="F901" s="68">
        <v>11794</v>
      </c>
      <c r="G901" s="15" t="s">
        <v>22</v>
      </c>
      <c r="H901" s="25"/>
      <c r="I901" s="151">
        <v>195</v>
      </c>
      <c r="J901" s="151">
        <f t="shared" si="0"/>
        <v>355</v>
      </c>
      <c r="K901" s="158">
        <v>550</v>
      </c>
      <c r="L901" s="151">
        <v>0</v>
      </c>
      <c r="M901" s="151">
        <v>0</v>
      </c>
      <c r="N901" s="24"/>
      <c r="O901" s="151">
        <v>0</v>
      </c>
      <c r="P901" s="151">
        <v>0</v>
      </c>
      <c r="Q901" s="151">
        <v>0</v>
      </c>
      <c r="R901" s="151">
        <v>0</v>
      </c>
      <c r="S901" s="154">
        <v>149.96</v>
      </c>
      <c r="T901" s="151">
        <v>0</v>
      </c>
      <c r="U901" s="151">
        <v>0</v>
      </c>
      <c r="V901" s="15"/>
      <c r="W901" s="22">
        <v>0</v>
      </c>
      <c r="X901" s="149">
        <v>0</v>
      </c>
      <c r="Y901" s="15"/>
      <c r="Z901" s="151">
        <v>0</v>
      </c>
      <c r="AA901" s="149">
        <f>Tabela4[[#This Row],[VALOR]]-Tabela4[[#This Row],[PNEUS]]-Tabela4[[#This Row],[BATERIA]]</f>
        <v>550</v>
      </c>
      <c r="AB901" s="19" t="s">
        <v>27</v>
      </c>
      <c r="AC901" s="30">
        <v>0</v>
      </c>
      <c r="AD901" s="151">
        <f>140+110</f>
        <v>250</v>
      </c>
      <c r="AE901" s="151">
        <v>0</v>
      </c>
      <c r="AF901" s="151">
        <v>0</v>
      </c>
      <c r="AG901" s="151">
        <f>55+95.04</f>
        <v>150.04000000000002</v>
      </c>
      <c r="AH901" s="151">
        <f>149.96</f>
        <v>149.96</v>
      </c>
      <c r="AI901" s="151">
        <v>0</v>
      </c>
      <c r="AJ901" s="151">
        <v>0</v>
      </c>
    </row>
    <row r="902" spans="1:36" x14ac:dyDescent="0.25">
      <c r="A902" s="68" t="s">
        <v>1424</v>
      </c>
      <c r="B902" s="68" t="s">
        <v>1013</v>
      </c>
      <c r="C902" s="146">
        <v>45458</v>
      </c>
      <c r="D902" s="141">
        <v>45458</v>
      </c>
      <c r="E902">
        <f>Tabela4[[#This Row],[DATA FATURAMENTO]]-Tabela4[[#This Row],[DATA ORÇAMENTO]]</f>
        <v>0</v>
      </c>
      <c r="F902" s="68">
        <v>11796</v>
      </c>
      <c r="G902" s="15" t="s">
        <v>39</v>
      </c>
      <c r="H902" s="25" t="s">
        <v>44</v>
      </c>
      <c r="I902" s="151">
        <v>40</v>
      </c>
      <c r="J902" s="151">
        <f t="shared" si="0"/>
        <v>220.01</v>
      </c>
      <c r="K902" s="158">
        <v>260.01</v>
      </c>
      <c r="L902" s="151">
        <v>0</v>
      </c>
      <c r="M902" s="151">
        <v>0</v>
      </c>
      <c r="N902" s="24"/>
      <c r="O902" s="151">
        <v>0</v>
      </c>
      <c r="P902" s="151">
        <v>0</v>
      </c>
      <c r="Q902" s="151">
        <v>0</v>
      </c>
      <c r="R902" s="151">
        <v>0</v>
      </c>
      <c r="S902" s="154">
        <v>0</v>
      </c>
      <c r="T902" s="151">
        <v>0</v>
      </c>
      <c r="U902" s="151">
        <v>0</v>
      </c>
      <c r="V902" s="15"/>
      <c r="W902" s="22">
        <v>0</v>
      </c>
      <c r="X902" s="149">
        <v>0</v>
      </c>
      <c r="Y902" s="15"/>
      <c r="Z902" s="151">
        <v>0</v>
      </c>
      <c r="AA902" s="149">
        <f>Tabela4[[#This Row],[VALOR]]-Tabela4[[#This Row],[PNEUS]]-Tabela4[[#This Row],[BATERIA]]</f>
        <v>260.01</v>
      </c>
      <c r="AB902" s="19" t="s">
        <v>24</v>
      </c>
      <c r="AC902" s="30">
        <v>0</v>
      </c>
      <c r="AD902" s="162">
        <v>0</v>
      </c>
      <c r="AE902" s="151">
        <v>220.01</v>
      </c>
      <c r="AF902" s="151">
        <v>0</v>
      </c>
      <c r="AG902" s="151">
        <v>0</v>
      </c>
      <c r="AH902" s="151">
        <v>40</v>
      </c>
      <c r="AI902" s="151">
        <v>0</v>
      </c>
      <c r="AJ902" s="151">
        <v>0</v>
      </c>
    </row>
    <row r="903" spans="1:36" x14ac:dyDescent="0.25">
      <c r="A903" s="68" t="s">
        <v>1425</v>
      </c>
      <c r="B903" s="68" t="s">
        <v>1426</v>
      </c>
      <c r="C903" s="146">
        <v>45458</v>
      </c>
      <c r="D903" s="141">
        <v>45458</v>
      </c>
      <c r="E903">
        <f>Tabela4[[#This Row],[DATA FATURAMENTO]]-Tabela4[[#This Row],[DATA ORÇAMENTO]]</f>
        <v>0</v>
      </c>
      <c r="F903" s="68">
        <v>11797</v>
      </c>
      <c r="G903" s="15" t="s">
        <v>35</v>
      </c>
      <c r="H903" s="25"/>
      <c r="I903" s="151">
        <v>435</v>
      </c>
      <c r="J903" s="151">
        <f t="shared" si="0"/>
        <v>115</v>
      </c>
      <c r="K903" s="158">
        <v>550</v>
      </c>
      <c r="L903" s="151">
        <v>0</v>
      </c>
      <c r="M903" s="151">
        <v>0</v>
      </c>
      <c r="N903" s="24"/>
      <c r="O903" s="151">
        <v>0</v>
      </c>
      <c r="P903" s="151">
        <v>0</v>
      </c>
      <c r="Q903" s="151">
        <v>0</v>
      </c>
      <c r="R903" s="151">
        <v>0</v>
      </c>
      <c r="S903" s="154">
        <v>115</v>
      </c>
      <c r="T903" s="151">
        <v>0</v>
      </c>
      <c r="U903" s="151">
        <v>0</v>
      </c>
      <c r="V903" s="15"/>
      <c r="W903" s="22">
        <v>5</v>
      </c>
      <c r="X903" s="149">
        <v>55</v>
      </c>
      <c r="Y903" s="15" t="s">
        <v>1344</v>
      </c>
      <c r="Z903" s="151">
        <v>0</v>
      </c>
      <c r="AA903" s="149">
        <f>Tabela4[[#This Row],[VALOR]]-Tabela4[[#This Row],[PNEUS]]-Tabela4[[#This Row],[BATERIA]]</f>
        <v>550</v>
      </c>
      <c r="AB903" s="19" t="s">
        <v>27</v>
      </c>
      <c r="AC903" s="30">
        <v>0</v>
      </c>
      <c r="AD903" s="162">
        <v>0</v>
      </c>
      <c r="AE903" s="151">
        <v>0</v>
      </c>
      <c r="AF903" s="151">
        <v>0</v>
      </c>
      <c r="AG903" s="151">
        <f>40+54.5+18+47.5</f>
        <v>160</v>
      </c>
      <c r="AH903" s="151">
        <v>115</v>
      </c>
      <c r="AI903" s="151">
        <v>275</v>
      </c>
      <c r="AJ903" s="151">
        <v>0</v>
      </c>
    </row>
    <row r="904" spans="1:36" x14ac:dyDescent="0.25">
      <c r="A904" s="68" t="s">
        <v>1401</v>
      </c>
      <c r="B904" s="68" t="s">
        <v>1427</v>
      </c>
      <c r="C904" s="146">
        <v>45458</v>
      </c>
      <c r="D904" s="141">
        <v>45458</v>
      </c>
      <c r="E904">
        <f>Tabela4[[#This Row],[DATA FATURAMENTO]]-Tabela4[[#This Row],[DATA ORÇAMENTO]]</f>
        <v>0</v>
      </c>
      <c r="F904" s="68">
        <v>11798</v>
      </c>
      <c r="G904" s="15" t="s">
        <v>22</v>
      </c>
      <c r="H904" s="25"/>
      <c r="I904" s="151">
        <v>110</v>
      </c>
      <c r="J904" s="151">
        <f t="shared" si="0"/>
        <v>90</v>
      </c>
      <c r="K904" s="158">
        <v>200</v>
      </c>
      <c r="L904" s="151">
        <v>0</v>
      </c>
      <c r="M904" s="151">
        <v>0</v>
      </c>
      <c r="N904" s="24"/>
      <c r="O904" s="151">
        <v>0</v>
      </c>
      <c r="P904" s="151">
        <v>0</v>
      </c>
      <c r="Q904" s="151">
        <v>0</v>
      </c>
      <c r="R904" s="151">
        <v>0</v>
      </c>
      <c r="S904" s="154">
        <v>0</v>
      </c>
      <c r="T904" s="151">
        <v>0</v>
      </c>
      <c r="U904" s="151">
        <v>0</v>
      </c>
      <c r="V904" s="15"/>
      <c r="W904" s="22">
        <v>0</v>
      </c>
      <c r="X904" s="149">
        <v>0</v>
      </c>
      <c r="Y904" s="15"/>
      <c r="Z904" s="151">
        <v>0</v>
      </c>
      <c r="AA904" s="149">
        <f>Tabela4[[#This Row],[VALOR]]-Tabela4[[#This Row],[PNEUS]]-Tabela4[[#This Row],[BATERIA]]</f>
        <v>200</v>
      </c>
      <c r="AB904" s="19" t="s">
        <v>32</v>
      </c>
      <c r="AC904" s="30">
        <v>0</v>
      </c>
      <c r="AD904" s="162">
        <v>0</v>
      </c>
      <c r="AE904" s="151">
        <v>200</v>
      </c>
      <c r="AF904" s="151">
        <v>0</v>
      </c>
      <c r="AG904" s="151">
        <v>0</v>
      </c>
      <c r="AH904" s="151">
        <v>0</v>
      </c>
      <c r="AI904" s="151">
        <v>0</v>
      </c>
      <c r="AJ904" s="151">
        <v>0</v>
      </c>
    </row>
    <row r="905" spans="1:36" x14ac:dyDescent="0.25">
      <c r="A905" s="68" t="s">
        <v>1348</v>
      </c>
      <c r="B905" s="68" t="s">
        <v>1026</v>
      </c>
      <c r="C905" s="146">
        <v>45458</v>
      </c>
      <c r="D905" s="141">
        <v>45458</v>
      </c>
      <c r="E905">
        <f>Tabela4[[#This Row],[DATA FATURAMENTO]]-Tabela4[[#This Row],[DATA ORÇAMENTO]]</f>
        <v>0</v>
      </c>
      <c r="F905" s="68">
        <v>11799</v>
      </c>
      <c r="G905" s="15" t="s">
        <v>22</v>
      </c>
      <c r="H905" s="25"/>
      <c r="I905" s="151">
        <v>0</v>
      </c>
      <c r="J905" s="151">
        <f t="shared" si="0"/>
        <v>70</v>
      </c>
      <c r="K905" s="158">
        <v>70</v>
      </c>
      <c r="L905" s="151">
        <v>0</v>
      </c>
      <c r="M905" s="151">
        <v>0</v>
      </c>
      <c r="N905" s="24"/>
      <c r="O905" s="151">
        <v>0</v>
      </c>
      <c r="P905" s="151">
        <v>0</v>
      </c>
      <c r="Q905" s="151">
        <v>0</v>
      </c>
      <c r="R905" s="151">
        <v>0</v>
      </c>
      <c r="S905" s="154">
        <v>70</v>
      </c>
      <c r="T905" s="151">
        <v>0</v>
      </c>
      <c r="U905" s="151">
        <v>0</v>
      </c>
      <c r="V905" s="15"/>
      <c r="W905" s="22">
        <v>0</v>
      </c>
      <c r="X905" s="149">
        <v>0</v>
      </c>
      <c r="Y905" s="15"/>
      <c r="Z905" s="151">
        <v>70</v>
      </c>
      <c r="AA905" s="149">
        <f>Tabela4[[#This Row],[VALOR]]-Tabela4[[#This Row],[PNEUS]]-Tabela4[[#This Row],[BATERIA]]</f>
        <v>70</v>
      </c>
      <c r="AB905" s="19" t="s">
        <v>38</v>
      </c>
      <c r="AC905" s="30">
        <v>0</v>
      </c>
      <c r="AD905" s="162">
        <v>0</v>
      </c>
      <c r="AE905" s="151">
        <v>0</v>
      </c>
      <c r="AF905" s="151">
        <v>0</v>
      </c>
      <c r="AG905" s="151">
        <v>0</v>
      </c>
      <c r="AH905" s="151">
        <v>70</v>
      </c>
      <c r="AI905" s="151">
        <v>0</v>
      </c>
      <c r="AJ905" s="151">
        <v>0</v>
      </c>
    </row>
    <row r="906" spans="1:36" x14ac:dyDescent="0.25">
      <c r="A906" s="68" t="s">
        <v>538</v>
      </c>
      <c r="B906" s="68" t="s">
        <v>854</v>
      </c>
      <c r="C906" s="146">
        <v>45447</v>
      </c>
      <c r="D906" s="141">
        <v>45460</v>
      </c>
      <c r="E906">
        <f>Tabela4[[#This Row],[DATA FATURAMENTO]]-Tabela4[[#This Row],[DATA ORÇAMENTO]]</f>
        <v>13</v>
      </c>
      <c r="F906" s="68">
        <v>11681</v>
      </c>
      <c r="G906" s="15" t="s">
        <v>28</v>
      </c>
      <c r="H906" s="25"/>
      <c r="I906" s="151">
        <v>2188.85</v>
      </c>
      <c r="J906" s="151">
        <f t="shared" si="0"/>
        <v>933.5</v>
      </c>
      <c r="K906" s="158">
        <v>3122.35</v>
      </c>
      <c r="L906" s="151">
        <v>0</v>
      </c>
      <c r="M906" s="151">
        <v>87.8</v>
      </c>
      <c r="N906" s="24">
        <v>4</v>
      </c>
      <c r="O906" s="151">
        <v>0</v>
      </c>
      <c r="P906" s="151">
        <v>0</v>
      </c>
      <c r="Q906" s="151">
        <v>0</v>
      </c>
      <c r="R906" s="151">
        <v>0</v>
      </c>
      <c r="S906" s="154">
        <v>0</v>
      </c>
      <c r="T906" s="151">
        <v>0</v>
      </c>
      <c r="U906" s="151">
        <v>0</v>
      </c>
      <c r="V906" s="15"/>
      <c r="W906" s="22">
        <v>0</v>
      </c>
      <c r="X906" s="149">
        <v>0</v>
      </c>
      <c r="Y906" s="15"/>
      <c r="Z906" s="151">
        <v>0</v>
      </c>
      <c r="AA906" s="149">
        <f>Tabela4[[#This Row],[VALOR]]-Tabela4[[#This Row],[PNEUS]]-Tabela4[[#This Row],[BATERIA]]</f>
        <v>3122.35</v>
      </c>
      <c r="AB906" s="19" t="s">
        <v>36</v>
      </c>
      <c r="AC906" s="30">
        <v>0</v>
      </c>
      <c r="AD906" s="162">
        <v>0</v>
      </c>
      <c r="AE906" s="151">
        <v>37.5</v>
      </c>
      <c r="AF906" s="151">
        <f>259.8+49+176</f>
        <v>484.8</v>
      </c>
      <c r="AG906" s="151">
        <f>436.8+209.75+87.8+80+140</f>
        <v>954.34999999999991</v>
      </c>
      <c r="AH906" s="151">
        <f>57+80</f>
        <v>137</v>
      </c>
      <c r="AI906" s="151">
        <v>187</v>
      </c>
      <c r="AJ906" s="151">
        <f>790+111.7+420</f>
        <v>1321.7</v>
      </c>
    </row>
    <row r="907" spans="1:36" x14ac:dyDescent="0.25">
      <c r="A907" s="68" t="s">
        <v>1428</v>
      </c>
      <c r="B907" s="68" t="s">
        <v>1429</v>
      </c>
      <c r="C907" s="146">
        <v>45448</v>
      </c>
      <c r="D907" s="141">
        <v>45460</v>
      </c>
      <c r="E907">
        <f>Tabela4[[#This Row],[DATA FATURAMENTO]]-Tabela4[[#This Row],[DATA ORÇAMENTO]]</f>
        <v>12</v>
      </c>
      <c r="F907" s="68">
        <v>11697</v>
      </c>
      <c r="G907" s="15" t="s">
        <v>25</v>
      </c>
      <c r="H907" s="25"/>
      <c r="I907" s="151">
        <v>5068.0600000000004</v>
      </c>
      <c r="J907" s="151">
        <f t="shared" si="0"/>
        <v>2559.2399999999998</v>
      </c>
      <c r="K907" s="158">
        <v>7627.3</v>
      </c>
      <c r="L907" s="151">
        <v>0</v>
      </c>
      <c r="M907" s="151">
        <v>87.8</v>
      </c>
      <c r="N907" s="24">
        <v>4</v>
      </c>
      <c r="O907" s="151">
        <v>230</v>
      </c>
      <c r="P907" s="151">
        <v>0</v>
      </c>
      <c r="Q907" s="151">
        <v>150</v>
      </c>
      <c r="R907" s="151">
        <v>0</v>
      </c>
      <c r="S907" s="154">
        <v>69.900000000000006</v>
      </c>
      <c r="T907" s="151">
        <v>0</v>
      </c>
      <c r="U907" s="151">
        <v>0</v>
      </c>
      <c r="V907" s="15"/>
      <c r="W907" s="22">
        <v>4</v>
      </c>
      <c r="X907" s="149">
        <v>37.28</v>
      </c>
      <c r="Y907" s="15" t="s">
        <v>654</v>
      </c>
      <c r="Z907" s="151">
        <v>0</v>
      </c>
      <c r="AA907" s="149">
        <f>Tabela4[[#This Row],[VALOR]]-Tabela4[[#This Row],[PNEUS]]-Tabela4[[#This Row],[BATERIA]]</f>
        <v>7627.3</v>
      </c>
      <c r="AB907" s="19" t="s">
        <v>36</v>
      </c>
      <c r="AC907" s="30">
        <v>0</v>
      </c>
      <c r="AD907" s="151">
        <f>38.8+340+102.4+1125.43+168+80+150+230</f>
        <v>2234.63</v>
      </c>
      <c r="AE907" s="151">
        <f>423.36+691.38+206.7+123.4+496.42+100+299.73+96+201.91+360</f>
        <v>2998.9</v>
      </c>
      <c r="AF907" s="151">
        <f>22</f>
        <v>22</v>
      </c>
      <c r="AG907" s="151">
        <f>87.8+18.5+19.9+33.98+190+70+20</f>
        <v>440.17999999999995</v>
      </c>
      <c r="AH907" s="151">
        <f>19.42+13.6+69.9</f>
        <v>102.92000000000002</v>
      </c>
      <c r="AI907" s="151">
        <v>149.12</v>
      </c>
      <c r="AJ907" s="151">
        <f>267.84+831.71+580</f>
        <v>1679.55</v>
      </c>
    </row>
    <row r="908" spans="1:36" x14ac:dyDescent="0.25">
      <c r="A908" s="68" t="s">
        <v>1430</v>
      </c>
      <c r="B908" s="68" t="s">
        <v>1431</v>
      </c>
      <c r="C908" s="146">
        <v>45453</v>
      </c>
      <c r="D908" s="141">
        <v>45460</v>
      </c>
      <c r="E908">
        <f>Tabela4[[#This Row],[DATA FATURAMENTO]]-Tabela4[[#This Row],[DATA ORÇAMENTO]]</f>
        <v>7</v>
      </c>
      <c r="F908" s="68">
        <v>11735</v>
      </c>
      <c r="G908" s="15" t="s">
        <v>25</v>
      </c>
      <c r="H908" s="25"/>
      <c r="I908" s="151">
        <v>1535.87</v>
      </c>
      <c r="J908" s="151">
        <f t="shared" si="0"/>
        <v>890.02</v>
      </c>
      <c r="K908" s="158">
        <v>2425.89</v>
      </c>
      <c r="L908" s="151">
        <v>0</v>
      </c>
      <c r="M908" s="151">
        <v>87.78</v>
      </c>
      <c r="N908" s="24">
        <v>3</v>
      </c>
      <c r="O908" s="151">
        <f>230+48</f>
        <v>278</v>
      </c>
      <c r="P908" s="151">
        <v>0</v>
      </c>
      <c r="Q908" s="151">
        <v>0</v>
      </c>
      <c r="R908" s="151">
        <v>0</v>
      </c>
      <c r="S908" s="154">
        <v>79.900000000000006</v>
      </c>
      <c r="T908" s="151">
        <v>0</v>
      </c>
      <c r="U908" s="151">
        <v>0</v>
      </c>
      <c r="V908" s="15"/>
      <c r="W908" s="22">
        <v>4</v>
      </c>
      <c r="X908" s="149">
        <v>35</v>
      </c>
      <c r="Y908" s="15" t="s">
        <v>1366</v>
      </c>
      <c r="Z908" s="151">
        <v>0</v>
      </c>
      <c r="AA908" s="149">
        <f>Tabela4[[#This Row],[VALOR]]-Tabela4[[#This Row],[PNEUS]]-Tabela4[[#This Row],[BATERIA]]</f>
        <v>2425.89</v>
      </c>
      <c r="AB908" s="19" t="s">
        <v>27</v>
      </c>
      <c r="AC908" s="30">
        <v>0</v>
      </c>
      <c r="AD908" s="151">
        <f>48+230</f>
        <v>278</v>
      </c>
      <c r="AE908" s="151">
        <f>105.6+189.9+560+80.02+120+40</f>
        <v>1095.52</v>
      </c>
      <c r="AF908" s="151">
        <f>49+145.29+80</f>
        <v>274.28999999999996</v>
      </c>
      <c r="AG908" s="151">
        <f>87.78+63.5+47+19.9+190+150</f>
        <v>558.18000000000006</v>
      </c>
      <c r="AH908" s="151">
        <v>79.900000000000006</v>
      </c>
      <c r="AI908" s="151">
        <v>140</v>
      </c>
      <c r="AJ908" s="151">
        <v>0</v>
      </c>
    </row>
    <row r="909" spans="1:36" x14ac:dyDescent="0.25">
      <c r="A909" s="68" t="s">
        <v>1432</v>
      </c>
      <c r="B909" s="68" t="s">
        <v>1080</v>
      </c>
      <c r="C909" s="146">
        <v>45457</v>
      </c>
      <c r="D909" s="141">
        <v>45460</v>
      </c>
      <c r="E909">
        <f>Tabela4[[#This Row],[DATA FATURAMENTO]]-Tabela4[[#This Row],[DATA ORÇAMENTO]]</f>
        <v>3</v>
      </c>
      <c r="F909" s="68">
        <v>11782</v>
      </c>
      <c r="G909" s="15" t="s">
        <v>22</v>
      </c>
      <c r="H909" s="25"/>
      <c r="I909" s="151">
        <v>1460.3</v>
      </c>
      <c r="J909" s="151">
        <f t="shared" si="0"/>
        <v>1318.7</v>
      </c>
      <c r="K909" s="158">
        <v>2779</v>
      </c>
      <c r="L909" s="151">
        <v>0</v>
      </c>
      <c r="M909" s="151">
        <v>0</v>
      </c>
      <c r="N909" s="24"/>
      <c r="O909" s="151">
        <v>0</v>
      </c>
      <c r="P909" s="151">
        <v>0</v>
      </c>
      <c r="Q909" s="151">
        <v>0</v>
      </c>
      <c r="R909" s="151">
        <v>0</v>
      </c>
      <c r="S909" s="154">
        <v>170</v>
      </c>
      <c r="T909" s="151">
        <v>0</v>
      </c>
      <c r="U909" s="151">
        <v>0</v>
      </c>
      <c r="V909" s="15"/>
      <c r="W909" s="22">
        <v>4</v>
      </c>
      <c r="X909" s="149">
        <v>64.8</v>
      </c>
      <c r="Y909" s="15" t="s">
        <v>635</v>
      </c>
      <c r="Z909" s="151">
        <v>170</v>
      </c>
      <c r="AA909" s="149">
        <f>Tabela4[[#This Row],[VALOR]]-Tabela4[[#This Row],[PNEUS]]-Tabela4[[#This Row],[BATERIA]]</f>
        <v>2779</v>
      </c>
      <c r="AB909" s="19" t="s">
        <v>34</v>
      </c>
      <c r="AC909" s="30">
        <v>0</v>
      </c>
      <c r="AD909" s="151">
        <f>348.8+145.8+221.76</f>
        <v>716.36</v>
      </c>
      <c r="AE909" s="151">
        <v>0</v>
      </c>
      <c r="AF909" s="151">
        <f>46.7+142+234.42+145+104</f>
        <v>672.12</v>
      </c>
      <c r="AG909" s="151">
        <f>27.7+36.5+247.6+17.4+168.7+19.9+443.52</f>
        <v>961.31999999999994</v>
      </c>
      <c r="AH909" s="151">
        <v>170</v>
      </c>
      <c r="AI909" s="151">
        <v>259.2</v>
      </c>
      <c r="AJ909" s="151">
        <v>0</v>
      </c>
    </row>
    <row r="910" spans="1:36" x14ac:dyDescent="0.25">
      <c r="A910" s="68" t="s">
        <v>564</v>
      </c>
      <c r="B910" s="68" t="s">
        <v>1042</v>
      </c>
      <c r="C910" s="146">
        <v>45460</v>
      </c>
      <c r="D910" s="141">
        <v>45460</v>
      </c>
      <c r="E910">
        <f>Tabela4[[#This Row],[DATA FATURAMENTO]]-Tabela4[[#This Row],[DATA ORÇAMENTO]]</f>
        <v>0</v>
      </c>
      <c r="F910" s="68">
        <v>11808</v>
      </c>
      <c r="G910" s="15" t="s">
        <v>31</v>
      </c>
      <c r="H910" s="25"/>
      <c r="I910" s="151">
        <v>729.92</v>
      </c>
      <c r="J910" s="151">
        <f t="shared" si="0"/>
        <v>170.08000000000004</v>
      </c>
      <c r="K910" s="158">
        <v>900</v>
      </c>
      <c r="L910" s="151">
        <v>0</v>
      </c>
      <c r="M910" s="151">
        <v>0</v>
      </c>
      <c r="N910" s="24"/>
      <c r="O910" s="151">
        <v>32</v>
      </c>
      <c r="P910" s="151">
        <v>0</v>
      </c>
      <c r="Q910" s="151">
        <v>0</v>
      </c>
      <c r="R910" s="151">
        <v>0</v>
      </c>
      <c r="S910" s="154">
        <v>0</v>
      </c>
      <c r="T910" s="151">
        <v>0</v>
      </c>
      <c r="U910" s="151">
        <v>0</v>
      </c>
      <c r="V910" s="15"/>
      <c r="W910" s="22">
        <v>4</v>
      </c>
      <c r="X910" s="149">
        <v>98.5</v>
      </c>
      <c r="Y910" s="15" t="s">
        <v>1344</v>
      </c>
      <c r="Z910" s="151">
        <v>0</v>
      </c>
      <c r="AA910" s="149">
        <f>Tabela4[[#This Row],[VALOR]]-Tabela4[[#This Row],[PNEUS]]-Tabela4[[#This Row],[BATERIA]]</f>
        <v>900</v>
      </c>
      <c r="AB910" s="19" t="s">
        <v>24</v>
      </c>
      <c r="AC910" s="30">
        <v>0</v>
      </c>
      <c r="AD910" s="151">
        <f>139.12+32+170.08</f>
        <v>341.20000000000005</v>
      </c>
      <c r="AE910" s="151">
        <v>0</v>
      </c>
      <c r="AF910" s="151">
        <v>47</v>
      </c>
      <c r="AG910" s="151">
        <f>49.8+48+20</f>
        <v>117.8</v>
      </c>
      <c r="AH910" s="151">
        <v>0</v>
      </c>
      <c r="AI910" s="151">
        <v>394</v>
      </c>
      <c r="AJ910" s="151">
        <v>0</v>
      </c>
    </row>
    <row r="911" spans="1:36" x14ac:dyDescent="0.25">
      <c r="A911" s="68" t="s">
        <v>1433</v>
      </c>
      <c r="B911" s="68" t="s">
        <v>914</v>
      </c>
      <c r="C911" s="146">
        <v>45457</v>
      </c>
      <c r="D911" s="141">
        <v>45461</v>
      </c>
      <c r="E911">
        <f>Tabela4[[#This Row],[DATA FATURAMENTO]]-Tabela4[[#This Row],[DATA ORÇAMENTO]]</f>
        <v>4</v>
      </c>
      <c r="F911" s="68">
        <v>11790</v>
      </c>
      <c r="G911" s="15" t="s">
        <v>22</v>
      </c>
      <c r="H911" s="25"/>
      <c r="I911" s="151">
        <v>578.5</v>
      </c>
      <c r="J911" s="151">
        <f t="shared" si="0"/>
        <v>520.51</v>
      </c>
      <c r="K911" s="158">
        <v>1099.01</v>
      </c>
      <c r="L911" s="151">
        <v>0</v>
      </c>
      <c r="M911" s="151">
        <v>0</v>
      </c>
      <c r="N911" s="24"/>
      <c r="O911" s="151">
        <v>0</v>
      </c>
      <c r="P911" s="151">
        <v>0</v>
      </c>
      <c r="Q911" s="151">
        <v>0</v>
      </c>
      <c r="R911" s="151">
        <v>0</v>
      </c>
      <c r="S911" s="154">
        <v>190</v>
      </c>
      <c r="T911" s="151">
        <v>0</v>
      </c>
      <c r="U911" s="151">
        <v>0</v>
      </c>
      <c r="V911" s="15"/>
      <c r="W911" s="22">
        <v>4</v>
      </c>
      <c r="X911" s="149">
        <v>64.8</v>
      </c>
      <c r="Y911" s="15" t="s">
        <v>1366</v>
      </c>
      <c r="Z911" s="151">
        <v>0</v>
      </c>
      <c r="AA911" s="149">
        <f>Tabela4[[#This Row],[VALOR]]-Tabela4[[#This Row],[PNEUS]]-Tabela4[[#This Row],[BATERIA]]</f>
        <v>1099.01</v>
      </c>
      <c r="AB911" s="19" t="s">
        <v>32</v>
      </c>
      <c r="AC911" s="30">
        <v>0</v>
      </c>
      <c r="AD911" s="162">
        <v>0</v>
      </c>
      <c r="AE911" s="151">
        <v>0</v>
      </c>
      <c r="AF911" s="151">
        <f>178.5+160.51+170+45.5</f>
        <v>554.51</v>
      </c>
      <c r="AG911" s="151">
        <f>28.7+58.9+7.7</f>
        <v>95.3</v>
      </c>
      <c r="AH911" s="151">
        <v>190</v>
      </c>
      <c r="AI911" s="151">
        <v>259.2</v>
      </c>
      <c r="AJ911" s="151">
        <v>0</v>
      </c>
    </row>
    <row r="912" spans="1:36" x14ac:dyDescent="0.25">
      <c r="A912" s="68" t="s">
        <v>1434</v>
      </c>
      <c r="B912" s="68" t="s">
        <v>851</v>
      </c>
      <c r="C912" s="146">
        <v>45461</v>
      </c>
      <c r="D912" s="141">
        <v>45461</v>
      </c>
      <c r="E912">
        <f>Tabela4[[#This Row],[DATA FATURAMENTO]]-Tabela4[[#This Row],[DATA ORÇAMENTO]]</f>
        <v>0</v>
      </c>
      <c r="F912" s="68">
        <v>11817</v>
      </c>
      <c r="G912" s="15" t="s">
        <v>22</v>
      </c>
      <c r="H912" s="25"/>
      <c r="I912" s="151">
        <v>1323.8</v>
      </c>
      <c r="J912" s="151">
        <f t="shared" si="0"/>
        <v>561.20000000000005</v>
      </c>
      <c r="K912" s="158">
        <v>1885</v>
      </c>
      <c r="L912" s="151">
        <v>0</v>
      </c>
      <c r="M912" s="151">
        <f>84.8+21.4</f>
        <v>106.19999999999999</v>
      </c>
      <c r="N912" s="24">
        <v>4</v>
      </c>
      <c r="O912" s="151">
        <v>0</v>
      </c>
      <c r="P912" s="151">
        <v>0</v>
      </c>
      <c r="Q912" s="151">
        <v>0</v>
      </c>
      <c r="R912" s="151">
        <v>0</v>
      </c>
      <c r="S912" s="154">
        <v>270</v>
      </c>
      <c r="T912" s="151">
        <v>0</v>
      </c>
      <c r="U912" s="151">
        <v>0</v>
      </c>
      <c r="V912" s="15"/>
      <c r="W912" s="22">
        <v>5</v>
      </c>
      <c r="X912" s="149">
        <v>78.8</v>
      </c>
      <c r="Y912" s="15" t="s">
        <v>1251</v>
      </c>
      <c r="Z912" s="151">
        <v>0</v>
      </c>
      <c r="AA912" s="149">
        <f>Tabela4[[#This Row],[VALOR]]-Tabela4[[#This Row],[PNEUS]]-Tabela4[[#This Row],[BATERIA]]</f>
        <v>1885</v>
      </c>
      <c r="AB912" s="19" t="s">
        <v>36</v>
      </c>
      <c r="AC912" s="30">
        <v>0</v>
      </c>
      <c r="AD912" s="162">
        <v>0</v>
      </c>
      <c r="AE912" s="151">
        <v>0</v>
      </c>
      <c r="AF912" s="151">
        <f>47.7+639.6+177.41</f>
        <v>864.71</v>
      </c>
      <c r="AG912" s="151">
        <f>84.8+21.4+37.4+68.9+30+114.05</f>
        <v>356.55</v>
      </c>
      <c r="AH912" s="151">
        <v>270</v>
      </c>
      <c r="AI912" s="151">
        <v>394</v>
      </c>
      <c r="AJ912" s="151">
        <v>0</v>
      </c>
    </row>
    <row r="913" spans="1:36" x14ac:dyDescent="0.25">
      <c r="A913" s="68" t="s">
        <v>263</v>
      </c>
      <c r="B913" s="68" t="s">
        <v>951</v>
      </c>
      <c r="C913" s="146">
        <v>45461</v>
      </c>
      <c r="D913" s="141">
        <v>45461</v>
      </c>
      <c r="E913">
        <f>Tabela4[[#This Row],[DATA FATURAMENTO]]-Tabela4[[#This Row],[DATA ORÇAMENTO]]</f>
        <v>0</v>
      </c>
      <c r="F913" s="68">
        <v>11820</v>
      </c>
      <c r="G913" s="15" t="s">
        <v>22</v>
      </c>
      <c r="H913" s="25"/>
      <c r="I913" s="151">
        <v>343.9</v>
      </c>
      <c r="J913" s="151">
        <f t="shared" si="0"/>
        <v>116.10000000000002</v>
      </c>
      <c r="K913" s="158">
        <v>460</v>
      </c>
      <c r="L913" s="151">
        <v>0</v>
      </c>
      <c r="M913" s="151">
        <v>0</v>
      </c>
      <c r="N913" s="24"/>
      <c r="O913" s="151">
        <v>0</v>
      </c>
      <c r="P913" s="151">
        <v>0</v>
      </c>
      <c r="Q913" s="151">
        <v>0</v>
      </c>
      <c r="R913" s="151">
        <v>0</v>
      </c>
      <c r="S913" s="154">
        <v>0</v>
      </c>
      <c r="T913" s="151">
        <v>0</v>
      </c>
      <c r="U913" s="151">
        <v>0</v>
      </c>
      <c r="V913" s="15"/>
      <c r="W913" s="22">
        <v>0</v>
      </c>
      <c r="X913" s="149">
        <v>0</v>
      </c>
      <c r="Y913" s="15"/>
      <c r="Z913" s="151">
        <v>0</v>
      </c>
      <c r="AA913" s="149">
        <f>Tabela4[[#This Row],[VALOR]]-Tabela4[[#This Row],[PNEUS]]-Tabela4[[#This Row],[BATERIA]]</f>
        <v>460</v>
      </c>
      <c r="AB913" s="19" t="s">
        <v>34</v>
      </c>
      <c r="AC913" s="30">
        <v>0</v>
      </c>
      <c r="AD913" s="162">
        <v>0</v>
      </c>
      <c r="AE913" s="151">
        <v>0</v>
      </c>
      <c r="AF913" s="151">
        <v>460</v>
      </c>
      <c r="AG913" s="151">
        <v>0</v>
      </c>
      <c r="AH913" s="151">
        <v>0</v>
      </c>
      <c r="AI913" s="151">
        <v>0</v>
      </c>
      <c r="AJ913" s="151">
        <v>0</v>
      </c>
    </row>
    <row r="914" spans="1:36" x14ac:dyDescent="0.25">
      <c r="A914" s="68" t="s">
        <v>1435</v>
      </c>
      <c r="B914" s="68" t="s">
        <v>1047</v>
      </c>
      <c r="C914" s="146">
        <v>45461</v>
      </c>
      <c r="D914" s="141">
        <v>45461</v>
      </c>
      <c r="E914">
        <f>Tabela4[[#This Row],[DATA FATURAMENTO]]-Tabela4[[#This Row],[DATA ORÇAMENTO]]</f>
        <v>0</v>
      </c>
      <c r="F914" s="68">
        <v>11824</v>
      </c>
      <c r="G914" s="15" t="s">
        <v>31</v>
      </c>
      <c r="H914" s="25"/>
      <c r="I914" s="151">
        <v>400</v>
      </c>
      <c r="J914" s="151">
        <f t="shared" si="0"/>
        <v>0</v>
      </c>
      <c r="K914" s="158">
        <v>400</v>
      </c>
      <c r="L914" s="151">
        <v>0</v>
      </c>
      <c r="M914" s="151">
        <v>0</v>
      </c>
      <c r="N914" s="24"/>
      <c r="O914" s="151">
        <v>0</v>
      </c>
      <c r="P914" s="151">
        <v>0</v>
      </c>
      <c r="Q914" s="151">
        <v>0</v>
      </c>
      <c r="R914" s="151">
        <v>0</v>
      </c>
      <c r="S914" s="154">
        <v>0</v>
      </c>
      <c r="T914" s="151">
        <v>0</v>
      </c>
      <c r="U914" s="151">
        <v>0</v>
      </c>
      <c r="V914" s="15"/>
      <c r="W914" s="22">
        <v>4</v>
      </c>
      <c r="X914" s="149">
        <v>60.4</v>
      </c>
      <c r="Y914" s="15" t="s">
        <v>1344</v>
      </c>
      <c r="Z914" s="151">
        <v>0</v>
      </c>
      <c r="AA914" s="149">
        <f>Tabela4[[#This Row],[VALOR]]-Tabela4[[#This Row],[PNEUS]]-Tabela4[[#This Row],[BATERIA]]</f>
        <v>400</v>
      </c>
      <c r="AB914" s="19" t="s">
        <v>34</v>
      </c>
      <c r="AC914" s="30">
        <v>0</v>
      </c>
      <c r="AD914" s="162">
        <v>0</v>
      </c>
      <c r="AE914" s="151">
        <v>0</v>
      </c>
      <c r="AF914" s="151">
        <v>47.7</v>
      </c>
      <c r="AG914" s="151">
        <f>19+37+54.7</f>
        <v>110.7</v>
      </c>
      <c r="AH914" s="151">
        <v>0</v>
      </c>
      <c r="AI914" s="151">
        <v>241.6</v>
      </c>
      <c r="AJ914" s="151">
        <v>0</v>
      </c>
    </row>
    <row r="915" spans="1:36" x14ac:dyDescent="0.25">
      <c r="A915" s="68" t="s">
        <v>564</v>
      </c>
      <c r="B915" s="68" t="s">
        <v>1042</v>
      </c>
      <c r="C915" s="146">
        <v>45461</v>
      </c>
      <c r="D915" s="141">
        <v>45461</v>
      </c>
      <c r="E915">
        <f>Tabela4[[#This Row],[DATA FATURAMENTO]]-Tabela4[[#This Row],[DATA ORÇAMENTO]]</f>
        <v>0</v>
      </c>
      <c r="F915" s="70">
        <v>11826</v>
      </c>
      <c r="G915" s="15" t="s">
        <v>31</v>
      </c>
      <c r="H915" s="25"/>
      <c r="I915" s="151">
        <v>0</v>
      </c>
      <c r="J915" s="151">
        <f t="shared" si="0"/>
        <v>0.04</v>
      </c>
      <c r="K915" s="158">
        <v>0.04</v>
      </c>
      <c r="L915" s="151">
        <v>0</v>
      </c>
      <c r="M915" s="151">
        <v>0</v>
      </c>
      <c r="N915" s="24"/>
      <c r="O915" s="151">
        <v>0</v>
      </c>
      <c r="P915" s="151">
        <v>0</v>
      </c>
      <c r="Q915" s="151">
        <v>0</v>
      </c>
      <c r="R915" s="151">
        <v>0</v>
      </c>
      <c r="S915" s="154">
        <v>0</v>
      </c>
      <c r="T915" s="151">
        <v>0</v>
      </c>
      <c r="U915" s="151">
        <v>0</v>
      </c>
      <c r="V915" s="15"/>
      <c r="W915" s="22">
        <v>0</v>
      </c>
      <c r="X915" s="149">
        <v>0</v>
      </c>
      <c r="Y915" s="15"/>
      <c r="Z915" s="151">
        <v>0</v>
      </c>
      <c r="AA915" s="149">
        <f>Tabela4[[#This Row],[VALOR]]-Tabela4[[#This Row],[PNEUS]]-Tabela4[[#This Row],[BATERIA]]</f>
        <v>0.04</v>
      </c>
      <c r="AB915" s="19" t="s">
        <v>38</v>
      </c>
      <c r="AC915" s="30">
        <v>0</v>
      </c>
      <c r="AD915" s="162">
        <v>0</v>
      </c>
      <c r="AE915" s="151">
        <v>0</v>
      </c>
      <c r="AF915" s="151">
        <v>0</v>
      </c>
      <c r="AG915" s="151">
        <v>0</v>
      </c>
      <c r="AH915" s="151">
        <v>0</v>
      </c>
      <c r="AI915" s="151">
        <v>0</v>
      </c>
      <c r="AJ915" s="151">
        <v>0</v>
      </c>
    </row>
    <row r="916" spans="1:36" x14ac:dyDescent="0.25">
      <c r="A916" s="68" t="s">
        <v>1436</v>
      </c>
      <c r="B916" s="68" t="s">
        <v>1437</v>
      </c>
      <c r="C916" s="148">
        <v>45461</v>
      </c>
      <c r="D916" s="141">
        <v>45461</v>
      </c>
      <c r="E916">
        <f>Tabela4[[#This Row],[DATA FATURAMENTO]]-Tabela4[[#This Row],[DATA ORÇAMENTO]]</f>
        <v>0</v>
      </c>
      <c r="F916" s="68">
        <v>11828</v>
      </c>
      <c r="G916" s="15" t="s">
        <v>22</v>
      </c>
      <c r="H916" s="25"/>
      <c r="I916" s="151">
        <v>98</v>
      </c>
      <c r="J916" s="151">
        <f t="shared" si="0"/>
        <v>0</v>
      </c>
      <c r="K916" s="158">
        <v>98</v>
      </c>
      <c r="L916" s="151">
        <v>0</v>
      </c>
      <c r="M916" s="151">
        <v>0</v>
      </c>
      <c r="N916" s="24"/>
      <c r="O916" s="151">
        <v>0</v>
      </c>
      <c r="P916" s="151">
        <v>98</v>
      </c>
      <c r="Q916" s="151">
        <v>0</v>
      </c>
      <c r="R916" s="151">
        <v>0</v>
      </c>
      <c r="S916" s="154">
        <v>0</v>
      </c>
      <c r="T916" s="151">
        <v>0</v>
      </c>
      <c r="U916" s="151">
        <v>0</v>
      </c>
      <c r="V916" s="15"/>
      <c r="W916" s="22">
        <v>0</v>
      </c>
      <c r="X916" s="149">
        <v>0</v>
      </c>
      <c r="Y916" s="15"/>
      <c r="Z916" s="151">
        <v>0</v>
      </c>
      <c r="AA916" s="149">
        <f>Tabela4[[#This Row],[VALOR]]-Tabela4[[#This Row],[PNEUS]]-Tabela4[[#This Row],[BATERIA]]</f>
        <v>98</v>
      </c>
      <c r="AB916" s="19" t="s">
        <v>38</v>
      </c>
      <c r="AC916" s="30">
        <v>0</v>
      </c>
      <c r="AD916" s="162">
        <v>0</v>
      </c>
      <c r="AE916" s="151">
        <v>0</v>
      </c>
      <c r="AF916" s="151">
        <v>0</v>
      </c>
      <c r="AG916" s="151">
        <v>0</v>
      </c>
      <c r="AH916" s="151">
        <v>98</v>
      </c>
      <c r="AI916" s="151">
        <v>0</v>
      </c>
      <c r="AJ916" s="151">
        <v>0</v>
      </c>
    </row>
    <row r="917" spans="1:36" x14ac:dyDescent="0.25">
      <c r="A917" s="68" t="s">
        <v>1438</v>
      </c>
      <c r="B917" s="68" t="s">
        <v>868</v>
      </c>
      <c r="C917" s="146">
        <v>45461</v>
      </c>
      <c r="D917" s="141">
        <v>45462</v>
      </c>
      <c r="E917">
        <f>Tabela4[[#This Row],[DATA FATURAMENTO]]-Tabela4[[#This Row],[DATA ORÇAMENTO]]</f>
        <v>1</v>
      </c>
      <c r="F917" s="68">
        <v>11821</v>
      </c>
      <c r="G917" s="15" t="s">
        <v>22</v>
      </c>
      <c r="H917" s="25"/>
      <c r="I917" s="151">
        <v>772.4</v>
      </c>
      <c r="J917" s="151">
        <f t="shared" si="0"/>
        <v>677.68</v>
      </c>
      <c r="K917" s="158">
        <v>1450.08</v>
      </c>
      <c r="L917" s="151">
        <v>0</v>
      </c>
      <c r="M917" s="151">
        <v>0</v>
      </c>
      <c r="N917" s="24"/>
      <c r="O917" s="151">
        <v>0</v>
      </c>
      <c r="P917" s="151">
        <v>0</v>
      </c>
      <c r="Q917" s="151">
        <v>0</v>
      </c>
      <c r="R917" s="151">
        <v>0</v>
      </c>
      <c r="S917" s="154">
        <v>162</v>
      </c>
      <c r="T917" s="151">
        <v>0</v>
      </c>
      <c r="U917" s="151">
        <v>0</v>
      </c>
      <c r="V917" s="15"/>
      <c r="W917" s="22">
        <v>4</v>
      </c>
      <c r="X917" s="149">
        <v>58.7</v>
      </c>
      <c r="Y917" s="15" t="s">
        <v>1292</v>
      </c>
      <c r="Z917" s="151">
        <v>0</v>
      </c>
      <c r="AA917" s="149">
        <f>Tabela4[[#This Row],[VALOR]]-Tabela4[[#This Row],[PNEUS]]-Tabela4[[#This Row],[BATERIA]]</f>
        <v>1450.08</v>
      </c>
      <c r="AB917" s="19" t="s">
        <v>32</v>
      </c>
      <c r="AC917" s="30">
        <v>0</v>
      </c>
      <c r="AD917" s="162">
        <v>0</v>
      </c>
      <c r="AE917" s="151">
        <v>220</v>
      </c>
      <c r="AF917" s="151">
        <f>47.8+200.4+147.84</f>
        <v>396.03999999999996</v>
      </c>
      <c r="AG917" s="151">
        <f>32.9+47.5+76.5+76.5+20+147.84</f>
        <v>401.24</v>
      </c>
      <c r="AH917" s="151">
        <f>36+162</f>
        <v>198</v>
      </c>
      <c r="AI917" s="151">
        <v>234.8</v>
      </c>
      <c r="AJ917" s="151">
        <v>0</v>
      </c>
    </row>
    <row r="918" spans="1:36" x14ac:dyDescent="0.25">
      <c r="A918" s="68" t="s">
        <v>1439</v>
      </c>
      <c r="B918" s="68" t="s">
        <v>1440</v>
      </c>
      <c r="C918" s="146">
        <v>45462</v>
      </c>
      <c r="D918" s="141">
        <v>45462</v>
      </c>
      <c r="E918">
        <f>Tabela4[[#This Row],[DATA FATURAMENTO]]-Tabela4[[#This Row],[DATA ORÇAMENTO]]</f>
        <v>0</v>
      </c>
      <c r="F918" s="68">
        <v>11842</v>
      </c>
      <c r="G918" s="15" t="s">
        <v>39</v>
      </c>
      <c r="H918" s="25" t="s">
        <v>44</v>
      </c>
      <c r="I918" s="151">
        <v>60</v>
      </c>
      <c r="J918" s="151">
        <f t="shared" si="0"/>
        <v>220</v>
      </c>
      <c r="K918" s="158">
        <v>280</v>
      </c>
      <c r="L918" s="151">
        <v>0</v>
      </c>
      <c r="M918" s="151">
        <v>0</v>
      </c>
      <c r="N918" s="24"/>
      <c r="O918" s="151">
        <v>0</v>
      </c>
      <c r="P918" s="151">
        <v>0</v>
      </c>
      <c r="Q918" s="151">
        <v>0</v>
      </c>
      <c r="R918" s="151">
        <v>0</v>
      </c>
      <c r="S918" s="154">
        <v>0</v>
      </c>
      <c r="T918" s="151">
        <v>0</v>
      </c>
      <c r="U918" s="151">
        <v>0</v>
      </c>
      <c r="V918" s="15"/>
      <c r="W918" s="22">
        <v>0</v>
      </c>
      <c r="X918" s="149">
        <v>0</v>
      </c>
      <c r="Y918" s="15"/>
      <c r="Z918" s="151">
        <v>0</v>
      </c>
      <c r="AA918" s="149">
        <f>Tabela4[[#This Row],[VALOR]]-Tabela4[[#This Row],[PNEUS]]-Tabela4[[#This Row],[BATERIA]]</f>
        <v>280</v>
      </c>
      <c r="AB918" s="19" t="s">
        <v>32</v>
      </c>
      <c r="AC918" s="30">
        <v>0</v>
      </c>
      <c r="AD918" s="162">
        <v>0</v>
      </c>
      <c r="AE918" s="151">
        <v>220</v>
      </c>
      <c r="AF918" s="151">
        <v>0</v>
      </c>
      <c r="AG918" s="151">
        <v>0</v>
      </c>
      <c r="AH918" s="151">
        <v>60</v>
      </c>
      <c r="AI918" s="151">
        <v>0</v>
      </c>
      <c r="AJ918" s="151">
        <v>0</v>
      </c>
    </row>
    <row r="919" spans="1:36" x14ac:dyDescent="0.25">
      <c r="A919" s="68" t="s">
        <v>1441</v>
      </c>
      <c r="B919" s="68" t="s">
        <v>1442</v>
      </c>
      <c r="C919" s="146">
        <v>45462</v>
      </c>
      <c r="D919" s="141">
        <v>45462</v>
      </c>
      <c r="E919">
        <f>Tabela4[[#This Row],[DATA FATURAMENTO]]-Tabela4[[#This Row],[DATA ORÇAMENTO]]</f>
        <v>0</v>
      </c>
      <c r="F919" s="68">
        <v>11839</v>
      </c>
      <c r="G919" s="15" t="s">
        <v>35</v>
      </c>
      <c r="H919" s="25"/>
      <c r="I919" s="151">
        <v>735.1</v>
      </c>
      <c r="J919" s="151">
        <f t="shared" si="0"/>
        <v>191.25</v>
      </c>
      <c r="K919" s="158">
        <v>926.35</v>
      </c>
      <c r="L919" s="151">
        <v>0</v>
      </c>
      <c r="M919" s="151">
        <v>0</v>
      </c>
      <c r="N919" s="24"/>
      <c r="O919" s="151">
        <v>0</v>
      </c>
      <c r="P919" s="151">
        <v>0</v>
      </c>
      <c r="Q919" s="151">
        <v>0</v>
      </c>
      <c r="R919" s="151">
        <v>0</v>
      </c>
      <c r="S919" s="154">
        <v>281.25</v>
      </c>
      <c r="T919" s="151">
        <v>0</v>
      </c>
      <c r="U919" s="151">
        <v>0</v>
      </c>
      <c r="V919" s="15"/>
      <c r="W919" s="22">
        <v>6</v>
      </c>
      <c r="X919" s="149">
        <v>81.25</v>
      </c>
      <c r="Y919" s="15" t="s">
        <v>1251</v>
      </c>
      <c r="Z919" s="151">
        <v>0</v>
      </c>
      <c r="AA919" s="149">
        <f>Tabela4[[#This Row],[VALOR]]-Tabela4[[#This Row],[PNEUS]]-Tabela4[[#This Row],[BATERIA]]</f>
        <v>926.35</v>
      </c>
      <c r="AB919" s="19" t="s">
        <v>36</v>
      </c>
      <c r="AC919" s="30">
        <v>0</v>
      </c>
      <c r="AD919" s="162">
        <v>0</v>
      </c>
      <c r="AE919" s="151">
        <v>0</v>
      </c>
      <c r="AF919" s="151">
        <v>0</v>
      </c>
      <c r="AG919" s="151">
        <f>85.7+71.9</f>
        <v>157.60000000000002</v>
      </c>
      <c r="AH919" s="151">
        <f>191.25+90</f>
        <v>281.25</v>
      </c>
      <c r="AI919" s="151">
        <v>487.5</v>
      </c>
      <c r="AJ919" s="151">
        <v>0</v>
      </c>
    </row>
    <row r="920" spans="1:36" x14ac:dyDescent="0.25">
      <c r="A920" s="68" t="s">
        <v>1443</v>
      </c>
      <c r="B920" s="68" t="s">
        <v>1444</v>
      </c>
      <c r="C920" s="146">
        <v>45419</v>
      </c>
      <c r="D920" s="141">
        <v>45463</v>
      </c>
      <c r="E920">
        <f>Tabela4[[#This Row],[DATA FATURAMENTO]]-Tabela4[[#This Row],[DATA ORÇAMENTO]]</f>
        <v>44</v>
      </c>
      <c r="F920" s="68">
        <v>11424</v>
      </c>
      <c r="G920" s="15" t="s">
        <v>25</v>
      </c>
      <c r="H920" s="25"/>
      <c r="I920" s="151">
        <v>5745.9</v>
      </c>
      <c r="J920" s="151">
        <f t="shared" si="0"/>
        <v>447.60000000000036</v>
      </c>
      <c r="K920" s="158">
        <v>6193.5</v>
      </c>
      <c r="L920" s="151">
        <v>0</v>
      </c>
      <c r="M920" s="151">
        <v>0</v>
      </c>
      <c r="N920" s="24"/>
      <c r="O920" s="151">
        <v>0</v>
      </c>
      <c r="P920" s="151">
        <v>0</v>
      </c>
      <c r="Q920" s="151">
        <v>0</v>
      </c>
      <c r="R920" s="151">
        <v>0</v>
      </c>
      <c r="S920" s="154">
        <v>0</v>
      </c>
      <c r="T920" s="151">
        <v>5745.9</v>
      </c>
      <c r="U920" s="151">
        <v>0</v>
      </c>
      <c r="V920" s="15"/>
      <c r="W920" s="22">
        <v>0</v>
      </c>
      <c r="X920" s="149">
        <v>0</v>
      </c>
      <c r="Y920" s="15"/>
      <c r="Z920" s="151">
        <v>0</v>
      </c>
      <c r="AA920" s="149">
        <f>Tabela4[[#This Row],[VALOR]]-Tabela4[[#This Row],[PNEUS]]-Tabela4[[#This Row],[BATERIA]]</f>
        <v>447.60000000000036</v>
      </c>
      <c r="AB920" s="19" t="s">
        <v>38</v>
      </c>
      <c r="AC920" s="30">
        <v>0</v>
      </c>
      <c r="AD920" s="162">
        <v>0</v>
      </c>
      <c r="AE920" s="151">
        <v>447.6</v>
      </c>
      <c r="AF920" s="151">
        <v>0</v>
      </c>
      <c r="AG920" s="151">
        <v>0</v>
      </c>
      <c r="AH920" s="151">
        <v>0</v>
      </c>
      <c r="AI920" s="151">
        <v>0</v>
      </c>
      <c r="AJ920" s="151">
        <v>0</v>
      </c>
    </row>
    <row r="921" spans="1:36" x14ac:dyDescent="0.25">
      <c r="A921" s="68" t="s">
        <v>1445</v>
      </c>
      <c r="B921" s="68" t="s">
        <v>1102</v>
      </c>
      <c r="C921" s="146">
        <v>45463</v>
      </c>
      <c r="D921" s="141">
        <v>45463</v>
      </c>
      <c r="E921">
        <f>Tabela4[[#This Row],[DATA FATURAMENTO]]-Tabela4[[#This Row],[DATA ORÇAMENTO]]</f>
        <v>0</v>
      </c>
      <c r="F921" s="68">
        <v>11857</v>
      </c>
      <c r="G921" s="15" t="s">
        <v>599</v>
      </c>
      <c r="H921" s="25"/>
      <c r="I921" s="151">
        <v>430.3</v>
      </c>
      <c r="J921" s="151">
        <f t="shared" si="0"/>
        <v>292.50999999999993</v>
      </c>
      <c r="K921" s="158">
        <v>722.81</v>
      </c>
      <c r="L921" s="151">
        <v>0</v>
      </c>
      <c r="M921" s="151">
        <v>0</v>
      </c>
      <c r="N921" s="24"/>
      <c r="O921" s="151">
        <v>0</v>
      </c>
      <c r="P921" s="151">
        <v>0</v>
      </c>
      <c r="Q921" s="151">
        <v>0</v>
      </c>
      <c r="R921" s="151">
        <v>0</v>
      </c>
      <c r="S921" s="154">
        <v>79.900000000000006</v>
      </c>
      <c r="T921" s="151">
        <v>0</v>
      </c>
      <c r="U921" s="151">
        <v>0</v>
      </c>
      <c r="V921" s="15"/>
      <c r="W921" s="22">
        <v>4</v>
      </c>
      <c r="X921" s="149">
        <v>42.75</v>
      </c>
      <c r="Y921" s="15" t="s">
        <v>654</v>
      </c>
      <c r="Z921" s="151">
        <v>0</v>
      </c>
      <c r="AA921" s="149">
        <f>Tabela4[[#This Row],[VALOR]]-Tabela4[[#This Row],[PNEUS]]-Tabela4[[#This Row],[BATERIA]]</f>
        <v>722.81</v>
      </c>
      <c r="AB921" s="19" t="s">
        <v>36</v>
      </c>
      <c r="AC921" s="30">
        <v>0</v>
      </c>
      <c r="AD921" s="151">
        <f>292.5</f>
        <v>292.5</v>
      </c>
      <c r="AE921" s="151">
        <v>0</v>
      </c>
      <c r="AF921" s="151">
        <v>47</v>
      </c>
      <c r="AG921" s="151">
        <f>63.5+49+19.9+292.5</f>
        <v>424.9</v>
      </c>
      <c r="AH921" s="151">
        <f>79.9+0.01</f>
        <v>79.910000000000011</v>
      </c>
      <c r="AI921" s="151">
        <v>171</v>
      </c>
      <c r="AJ921" s="151">
        <v>0</v>
      </c>
    </row>
    <row r="922" spans="1:36" x14ac:dyDescent="0.25">
      <c r="A922" s="68" t="s">
        <v>1446</v>
      </c>
      <c r="B922" s="68" t="s">
        <v>1447</v>
      </c>
      <c r="C922" s="146">
        <v>45456</v>
      </c>
      <c r="D922" s="141">
        <v>45463</v>
      </c>
      <c r="E922">
        <f>Tabela4[[#This Row],[DATA FATURAMENTO]]-Tabela4[[#This Row],[DATA ORÇAMENTO]]</f>
        <v>7</v>
      </c>
      <c r="F922" s="68">
        <v>11760</v>
      </c>
      <c r="G922" s="15" t="s">
        <v>25</v>
      </c>
      <c r="H922" s="25"/>
      <c r="I922" s="151">
        <v>230.1</v>
      </c>
      <c r="J922" s="151">
        <f t="shared" si="0"/>
        <v>120.00000000000003</v>
      </c>
      <c r="K922" s="158">
        <v>350.1</v>
      </c>
      <c r="L922" s="151">
        <v>0</v>
      </c>
      <c r="M922" s="151">
        <v>0</v>
      </c>
      <c r="N922" s="24"/>
      <c r="O922" s="151">
        <v>0</v>
      </c>
      <c r="P922" s="151">
        <v>0</v>
      </c>
      <c r="Q922" s="151">
        <v>0</v>
      </c>
      <c r="R922" s="151">
        <v>0</v>
      </c>
      <c r="S922" s="154">
        <v>0</v>
      </c>
      <c r="T922" s="151">
        <v>0</v>
      </c>
      <c r="U922" s="151">
        <v>0</v>
      </c>
      <c r="V922" s="15"/>
      <c r="W922" s="22">
        <v>4</v>
      </c>
      <c r="X922" s="149">
        <v>29.8</v>
      </c>
      <c r="Y922" s="15" t="s">
        <v>654</v>
      </c>
      <c r="Z922" s="151">
        <v>0</v>
      </c>
      <c r="AA922" s="149">
        <f>Tabela4[[#This Row],[VALOR]]-Tabela4[[#This Row],[PNEUS]]-Tabela4[[#This Row],[BATERIA]]</f>
        <v>350.1</v>
      </c>
      <c r="AB922" s="19" t="s">
        <v>27</v>
      </c>
      <c r="AC922" s="30">
        <v>0</v>
      </c>
      <c r="AD922" s="162">
        <v>0</v>
      </c>
      <c r="AE922" s="151">
        <v>0</v>
      </c>
      <c r="AF922" s="151">
        <v>49</v>
      </c>
      <c r="AG922" s="151">
        <f>47+14.9+100+20</f>
        <v>181.9</v>
      </c>
      <c r="AH922" s="151">
        <v>0</v>
      </c>
      <c r="AI922" s="151">
        <v>119.2</v>
      </c>
      <c r="AJ922" s="151">
        <v>0</v>
      </c>
    </row>
    <row r="923" spans="1:36" x14ac:dyDescent="0.25">
      <c r="A923" s="68" t="s">
        <v>1448</v>
      </c>
      <c r="B923" s="68" t="s">
        <v>1449</v>
      </c>
      <c r="C923" s="146">
        <v>45457</v>
      </c>
      <c r="D923" s="141">
        <v>45463</v>
      </c>
      <c r="E923">
        <f>Tabela4[[#This Row],[DATA FATURAMENTO]]-Tabela4[[#This Row],[DATA ORÇAMENTO]]</f>
        <v>6</v>
      </c>
      <c r="F923" s="68">
        <v>11789</v>
      </c>
      <c r="G923" s="15" t="s">
        <v>37</v>
      </c>
      <c r="H923" s="25"/>
      <c r="I923" s="151">
        <v>1600.55</v>
      </c>
      <c r="J923" s="151">
        <f t="shared" si="0"/>
        <v>826.01</v>
      </c>
      <c r="K923" s="158">
        <v>2426.56</v>
      </c>
      <c r="L923" s="151">
        <v>0</v>
      </c>
      <c r="M923" s="151">
        <v>22.95</v>
      </c>
      <c r="N923" s="24">
        <v>1</v>
      </c>
      <c r="O923" s="151">
        <f>20.4+150</f>
        <v>170.4</v>
      </c>
      <c r="P923" s="151">
        <v>0</v>
      </c>
      <c r="Q923" s="151">
        <v>180</v>
      </c>
      <c r="R923" s="151">
        <v>0</v>
      </c>
      <c r="S923" s="154">
        <v>0</v>
      </c>
      <c r="T923" s="151">
        <v>0</v>
      </c>
      <c r="U923" s="151">
        <v>0</v>
      </c>
      <c r="V923" s="15"/>
      <c r="W923" s="22">
        <v>0</v>
      </c>
      <c r="X923" s="149">
        <v>0</v>
      </c>
      <c r="Y923" s="15"/>
      <c r="Z923" s="151">
        <v>0</v>
      </c>
      <c r="AA923" s="149">
        <f>Tabela4[[#This Row],[VALOR]]-Tabela4[[#This Row],[PNEUS]]-Tabela4[[#This Row],[BATERIA]]</f>
        <v>2426.56</v>
      </c>
      <c r="AB923" s="19" t="s">
        <v>24</v>
      </c>
      <c r="AC923" s="30">
        <v>0</v>
      </c>
      <c r="AD923" s="151">
        <f>20.4+180+150</f>
        <v>350.4</v>
      </c>
      <c r="AE923" s="151">
        <v>0</v>
      </c>
      <c r="AF923" s="151">
        <f>1437.3+119.9+150+186.01+150</f>
        <v>2043.21</v>
      </c>
      <c r="AG923" s="151">
        <f>22.95+10</f>
        <v>32.950000000000003</v>
      </c>
      <c r="AH923" s="151">
        <v>0</v>
      </c>
      <c r="AI923" s="151">
        <v>0</v>
      </c>
      <c r="AJ923" s="151">
        <v>0</v>
      </c>
    </row>
    <row r="924" spans="1:36" x14ac:dyDescent="0.25">
      <c r="A924" s="68" t="s">
        <v>1450</v>
      </c>
      <c r="B924" s="68" t="s">
        <v>1451</v>
      </c>
      <c r="C924" s="146">
        <v>45463</v>
      </c>
      <c r="D924" s="141">
        <v>45463</v>
      </c>
      <c r="E924">
        <f>Tabela4[[#This Row],[DATA FATURAMENTO]]-Tabela4[[#This Row],[DATA ORÇAMENTO]]</f>
        <v>0</v>
      </c>
      <c r="F924" s="68">
        <v>11855</v>
      </c>
      <c r="G924" s="15" t="s">
        <v>22</v>
      </c>
      <c r="H924" s="25"/>
      <c r="I924" s="151">
        <v>1218.17</v>
      </c>
      <c r="J924" s="151">
        <f t="shared" si="0"/>
        <v>650.42999999999984</v>
      </c>
      <c r="K924" s="158">
        <v>1868.6</v>
      </c>
      <c r="L924" s="151">
        <v>0</v>
      </c>
      <c r="M924" s="151">
        <v>0</v>
      </c>
      <c r="N924" s="24"/>
      <c r="O924" s="151">
        <v>0</v>
      </c>
      <c r="P924" s="151">
        <v>0</v>
      </c>
      <c r="Q924" s="151">
        <v>0</v>
      </c>
      <c r="R924" s="151">
        <v>0</v>
      </c>
      <c r="S924" s="154">
        <v>0</v>
      </c>
      <c r="T924" s="151">
        <v>0</v>
      </c>
      <c r="U924" s="151">
        <v>0</v>
      </c>
      <c r="V924" s="15"/>
      <c r="W924" s="22">
        <v>0</v>
      </c>
      <c r="X924" s="149">
        <v>0</v>
      </c>
      <c r="Y924" s="15"/>
      <c r="Z924" s="151">
        <v>0</v>
      </c>
      <c r="AA924" s="149">
        <f>Tabela4[[#This Row],[VALOR]]-Tabela4[[#This Row],[PNEUS]]-Tabela4[[#This Row],[BATERIA]]</f>
        <v>1868.6</v>
      </c>
      <c r="AB924" s="19" t="s">
        <v>27</v>
      </c>
      <c r="AC924" s="30">
        <v>0</v>
      </c>
      <c r="AD924" s="162">
        <v>0</v>
      </c>
      <c r="AE924" s="151">
        <v>0</v>
      </c>
      <c r="AF924" s="151">
        <v>0</v>
      </c>
      <c r="AG924" s="151">
        <f>1218.17+650.43</f>
        <v>1868.6</v>
      </c>
      <c r="AH924" s="151">
        <v>0</v>
      </c>
      <c r="AI924" s="151">
        <v>0</v>
      </c>
      <c r="AJ924" s="151">
        <v>0</v>
      </c>
    </row>
    <row r="925" spans="1:36" x14ac:dyDescent="0.25">
      <c r="A925" s="68" t="s">
        <v>1452</v>
      </c>
      <c r="B925" s="68" t="s">
        <v>1030</v>
      </c>
      <c r="C925" s="146">
        <v>45460</v>
      </c>
      <c r="D925" s="141">
        <v>45463</v>
      </c>
      <c r="E925">
        <f>Tabela4[[#This Row],[DATA FATURAMENTO]]-Tabela4[[#This Row],[DATA ORÇAMENTO]]</f>
        <v>3</v>
      </c>
      <c r="F925" s="68">
        <v>11811</v>
      </c>
      <c r="G925" s="15" t="s">
        <v>37</v>
      </c>
      <c r="H925" s="25"/>
      <c r="I925" s="151">
        <v>1152.8</v>
      </c>
      <c r="J925" s="151">
        <f t="shared" si="0"/>
        <v>4.0099999999999909</v>
      </c>
      <c r="K925" s="158">
        <v>1156.81</v>
      </c>
      <c r="L925" s="151">
        <v>0</v>
      </c>
      <c r="M925" s="151">
        <v>0</v>
      </c>
      <c r="N925" s="24"/>
      <c r="O925" s="151">
        <v>0</v>
      </c>
      <c r="P925" s="151">
        <v>0</v>
      </c>
      <c r="Q925" s="151">
        <v>0</v>
      </c>
      <c r="R925" s="151">
        <v>0</v>
      </c>
      <c r="S925" s="154">
        <v>0</v>
      </c>
      <c r="T925" s="151">
        <v>0</v>
      </c>
      <c r="U925" s="151">
        <v>1152.8</v>
      </c>
      <c r="V925" s="15" t="s">
        <v>642</v>
      </c>
      <c r="W925" s="22">
        <v>0</v>
      </c>
      <c r="X925" s="149">
        <v>0</v>
      </c>
      <c r="Y925" s="15"/>
      <c r="Z925" s="151">
        <v>0</v>
      </c>
      <c r="AA925" s="149">
        <f>Tabela4[[#This Row],[VALOR]]-Tabela4[[#This Row],[PNEUS]]-Tabela4[[#This Row],[BATERIA]]</f>
        <v>4.0099999999999909</v>
      </c>
      <c r="AB925" s="19" t="s">
        <v>6</v>
      </c>
      <c r="AC925" s="30">
        <v>0</v>
      </c>
      <c r="AD925" s="162">
        <v>0</v>
      </c>
      <c r="AE925" s="151">
        <v>0</v>
      </c>
      <c r="AF925" s="151">
        <v>4.01</v>
      </c>
      <c r="AG925" s="151">
        <v>0</v>
      </c>
      <c r="AH925" s="151">
        <v>0</v>
      </c>
      <c r="AI925" s="151">
        <v>0</v>
      </c>
      <c r="AJ925" s="151">
        <v>0</v>
      </c>
    </row>
    <row r="926" spans="1:36" x14ac:dyDescent="0.25">
      <c r="A926" s="68" t="s">
        <v>1453</v>
      </c>
      <c r="B926" s="68" t="s">
        <v>1084</v>
      </c>
      <c r="C926" s="146">
        <v>45460</v>
      </c>
      <c r="D926" s="141">
        <v>45463</v>
      </c>
      <c r="E926">
        <f>Tabela4[[#This Row],[DATA FATURAMENTO]]-Tabela4[[#This Row],[DATA ORÇAMENTO]]</f>
        <v>3</v>
      </c>
      <c r="F926" s="68">
        <v>11812</v>
      </c>
      <c r="G926" s="15" t="s">
        <v>22</v>
      </c>
      <c r="H926" s="25"/>
      <c r="I926" s="151">
        <v>374.8</v>
      </c>
      <c r="J926" s="151">
        <f t="shared" si="0"/>
        <v>660.2</v>
      </c>
      <c r="K926" s="158">
        <v>1035</v>
      </c>
      <c r="L926" s="151">
        <v>0</v>
      </c>
      <c r="M926" s="151">
        <v>0</v>
      </c>
      <c r="N926" s="24"/>
      <c r="O926" s="151">
        <v>0</v>
      </c>
      <c r="P926" s="151">
        <v>0</v>
      </c>
      <c r="Q926" s="151">
        <v>0</v>
      </c>
      <c r="R926" s="151">
        <v>0</v>
      </c>
      <c r="S926" s="154">
        <v>0</v>
      </c>
      <c r="T926" s="151">
        <v>0</v>
      </c>
      <c r="U926" s="151">
        <v>0</v>
      </c>
      <c r="V926" s="15"/>
      <c r="W926" s="22">
        <v>0</v>
      </c>
      <c r="X926" s="149">
        <v>0</v>
      </c>
      <c r="Y926" s="15"/>
      <c r="Z926" s="151">
        <v>0</v>
      </c>
      <c r="AA926" s="149">
        <f>Tabela4[[#This Row],[VALOR]]-Tabela4[[#This Row],[PNEUS]]-Tabela4[[#This Row],[BATERIA]]</f>
        <v>1035</v>
      </c>
      <c r="AB926" s="19" t="s">
        <v>34</v>
      </c>
      <c r="AC926" s="30">
        <v>0</v>
      </c>
      <c r="AD926" s="162">
        <v>0</v>
      </c>
      <c r="AE926" s="151">
        <v>220</v>
      </c>
      <c r="AF926" s="151">
        <v>0</v>
      </c>
      <c r="AG926" s="151">
        <f>374.8+440.2</f>
        <v>815</v>
      </c>
      <c r="AH926" s="151">
        <v>0</v>
      </c>
      <c r="AI926" s="151">
        <v>0</v>
      </c>
      <c r="AJ926" s="151">
        <v>0</v>
      </c>
    </row>
    <row r="927" spans="1:36" x14ac:dyDescent="0.25">
      <c r="A927" s="68" t="s">
        <v>1428</v>
      </c>
      <c r="B927" s="68" t="s">
        <v>1429</v>
      </c>
      <c r="C927" s="146">
        <v>45460</v>
      </c>
      <c r="D927" s="141">
        <v>45463</v>
      </c>
      <c r="E927">
        <f>Tabela4[[#This Row],[DATA FATURAMENTO]]-Tabela4[[#This Row],[DATA ORÇAMENTO]]</f>
        <v>3</v>
      </c>
      <c r="F927" s="68">
        <v>11815</v>
      </c>
      <c r="G927" s="15" t="s">
        <v>25</v>
      </c>
      <c r="H927" s="25"/>
      <c r="I927" s="151">
        <v>438.9</v>
      </c>
      <c r="J927" s="151">
        <f t="shared" si="0"/>
        <v>24</v>
      </c>
      <c r="K927" s="158">
        <v>462.9</v>
      </c>
      <c r="L927" s="151">
        <v>0</v>
      </c>
      <c r="M927" s="151">
        <v>0</v>
      </c>
      <c r="N927" s="24"/>
      <c r="O927" s="151">
        <v>0</v>
      </c>
      <c r="P927" s="151">
        <v>0</v>
      </c>
      <c r="Q927" s="151">
        <v>0</v>
      </c>
      <c r="R927" s="151">
        <v>0</v>
      </c>
      <c r="S927" s="154">
        <v>0</v>
      </c>
      <c r="T927" s="151">
        <v>0</v>
      </c>
      <c r="U927" s="151">
        <v>359</v>
      </c>
      <c r="V927" s="15" t="s">
        <v>1134</v>
      </c>
      <c r="W927" s="22">
        <v>0</v>
      </c>
      <c r="X927" s="149">
        <v>0</v>
      </c>
      <c r="Y927" s="15"/>
      <c r="Z927" s="151">
        <v>0</v>
      </c>
      <c r="AA927" s="149">
        <f>Tabela4[[#This Row],[VALOR]]-Tabela4[[#This Row],[PNEUS]]-Tabela4[[#This Row],[BATERIA]]</f>
        <v>103.89999999999998</v>
      </c>
      <c r="AB927" s="19" t="s">
        <v>24</v>
      </c>
      <c r="AC927" s="30">
        <v>0</v>
      </c>
      <c r="AD927" s="162">
        <v>0</v>
      </c>
      <c r="AE927" s="151">
        <v>0</v>
      </c>
      <c r="AF927" s="151">
        <v>0</v>
      </c>
      <c r="AG927" s="151">
        <f>438.9+24</f>
        <v>462.9</v>
      </c>
      <c r="AH927" s="151">
        <v>0</v>
      </c>
      <c r="AI927" s="151">
        <v>0</v>
      </c>
      <c r="AJ927" s="151">
        <v>0</v>
      </c>
    </row>
    <row r="928" spans="1:36" x14ac:dyDescent="0.25">
      <c r="A928" s="68" t="s">
        <v>756</v>
      </c>
      <c r="B928" s="68" t="s">
        <v>1454</v>
      </c>
      <c r="C928" s="146">
        <v>45463</v>
      </c>
      <c r="D928" s="141">
        <v>45463</v>
      </c>
      <c r="E928">
        <f>Tabela4[[#This Row],[DATA FATURAMENTO]]-Tabela4[[#This Row],[DATA ORÇAMENTO]]</f>
        <v>0</v>
      </c>
      <c r="F928" s="68">
        <v>11847</v>
      </c>
      <c r="G928" s="25" t="s">
        <v>31</v>
      </c>
      <c r="H928" s="25"/>
      <c r="I928" s="155">
        <v>1168</v>
      </c>
      <c r="J928" s="151">
        <f t="shared" si="0"/>
        <v>532</v>
      </c>
      <c r="K928" s="158">
        <v>1700</v>
      </c>
      <c r="L928" s="155">
        <v>0</v>
      </c>
      <c r="M928" s="155">
        <v>0</v>
      </c>
      <c r="N928" s="67"/>
      <c r="O928" s="155">
        <v>266</v>
      </c>
      <c r="P928" s="155">
        <v>0</v>
      </c>
      <c r="Q928" s="155">
        <v>0</v>
      </c>
      <c r="R928" s="155">
        <v>0</v>
      </c>
      <c r="S928" s="154">
        <v>0</v>
      </c>
      <c r="T928" s="155">
        <v>0</v>
      </c>
      <c r="U928" s="155">
        <v>0</v>
      </c>
      <c r="V928" s="25"/>
      <c r="W928" s="28">
        <v>4</v>
      </c>
      <c r="X928" s="154">
        <v>78.8</v>
      </c>
      <c r="Y928" s="25" t="s">
        <v>1251</v>
      </c>
      <c r="Z928" s="155">
        <v>0</v>
      </c>
      <c r="AA928" s="149">
        <f>Tabela4[[#This Row],[VALOR]]-Tabela4[[#This Row],[PNEUS]]-Tabela4[[#This Row],[BATERIA]]</f>
        <v>1700</v>
      </c>
      <c r="AB928" s="27" t="s">
        <v>36</v>
      </c>
      <c r="AC928" s="30">
        <v>0</v>
      </c>
      <c r="AD928" s="155">
        <f>238.3+266+489.4+266</f>
        <v>1259.7</v>
      </c>
      <c r="AE928" s="155">
        <v>0</v>
      </c>
      <c r="AF928" s="155">
        <v>45</v>
      </c>
      <c r="AG928" s="155">
        <f>26.7+43.4+10</f>
        <v>80.099999999999994</v>
      </c>
      <c r="AH928" s="155">
        <v>0</v>
      </c>
      <c r="AI928" s="155">
        <v>315.2</v>
      </c>
      <c r="AJ928" s="155">
        <v>0</v>
      </c>
    </row>
    <row r="929" spans="1:36" x14ac:dyDescent="0.25">
      <c r="A929" s="68" t="s">
        <v>184</v>
      </c>
      <c r="B929" s="68" t="s">
        <v>888</v>
      </c>
      <c r="C929" s="148">
        <v>45463</v>
      </c>
      <c r="D929" s="141">
        <v>45463</v>
      </c>
      <c r="E929">
        <f>Tabela4[[#This Row],[DATA FATURAMENTO]]-Tabela4[[#This Row],[DATA ORÇAMENTO]]</f>
        <v>0</v>
      </c>
      <c r="F929" s="68">
        <v>11853</v>
      </c>
      <c r="G929" s="15" t="s">
        <v>37</v>
      </c>
      <c r="H929" s="25"/>
      <c r="I929" s="151">
        <v>659.75</v>
      </c>
      <c r="J929" s="151">
        <f t="shared" si="0"/>
        <v>609.11999999999989</v>
      </c>
      <c r="K929" s="158">
        <v>1268.8699999999999</v>
      </c>
      <c r="L929" s="151">
        <v>0</v>
      </c>
      <c r="M929" s="151">
        <v>91.8</v>
      </c>
      <c r="N929" s="24">
        <v>3</v>
      </c>
      <c r="O929" s="151">
        <f>40.8+170</f>
        <v>210.8</v>
      </c>
      <c r="P929" s="151">
        <v>82.59</v>
      </c>
      <c r="Q929" s="151">
        <v>0</v>
      </c>
      <c r="R929" s="151">
        <v>0</v>
      </c>
      <c r="S929" s="154">
        <v>187.34</v>
      </c>
      <c r="T929" s="151">
        <v>0</v>
      </c>
      <c r="U929" s="151">
        <v>0</v>
      </c>
      <c r="V929" s="15"/>
      <c r="W929" s="22">
        <v>4</v>
      </c>
      <c r="X929" s="149">
        <v>34</v>
      </c>
      <c r="Y929" s="15" t="s">
        <v>654</v>
      </c>
      <c r="Z929" s="151">
        <v>0</v>
      </c>
      <c r="AA929" s="149">
        <f>Tabela4[[#This Row],[VALOR]]-Tabela4[[#This Row],[PNEUS]]-Tabela4[[#This Row],[BATERIA]]</f>
        <v>1268.8699999999999</v>
      </c>
      <c r="AB929" s="19" t="s">
        <v>36</v>
      </c>
      <c r="AC929" s="30">
        <v>0</v>
      </c>
      <c r="AD929" s="151">
        <f>40.8+170</f>
        <v>210.8</v>
      </c>
      <c r="AE929" s="151">
        <v>187.5</v>
      </c>
      <c r="AF929" s="151">
        <f>177.99+19.8+8</f>
        <v>205.79000000000002</v>
      </c>
      <c r="AG929" s="151">
        <f>91.8+40.7+32.81+9.92+10+72+0.02</f>
        <v>257.25</v>
      </c>
      <c r="AH929" s="151">
        <f>27.32+160.02+1.6+82.59</f>
        <v>271.52999999999997</v>
      </c>
      <c r="AI929" s="151">
        <v>136</v>
      </c>
      <c r="AJ929" s="151">
        <v>0</v>
      </c>
    </row>
    <row r="930" spans="1:36" x14ac:dyDescent="0.25">
      <c r="A930" s="68" t="s">
        <v>1455</v>
      </c>
      <c r="B930" s="68" t="s">
        <v>1021</v>
      </c>
      <c r="C930" s="148">
        <v>45463</v>
      </c>
      <c r="D930" s="141">
        <v>45463</v>
      </c>
      <c r="E930">
        <f>Tabela4[[#This Row],[DATA FATURAMENTO]]-Tabela4[[#This Row],[DATA ORÇAMENTO]]</f>
        <v>0</v>
      </c>
      <c r="F930" s="68">
        <v>11858</v>
      </c>
      <c r="G930" s="15" t="s">
        <v>25</v>
      </c>
      <c r="H930" s="54"/>
      <c r="I930" s="151">
        <v>132.4</v>
      </c>
      <c r="J930" s="151">
        <f>K930-I930</f>
        <v>0</v>
      </c>
      <c r="K930" s="158">
        <v>132.4</v>
      </c>
      <c r="L930" s="151">
        <v>0</v>
      </c>
      <c r="M930" s="151">
        <v>0</v>
      </c>
      <c r="N930" s="24"/>
      <c r="O930" s="151">
        <v>0</v>
      </c>
      <c r="P930" s="151">
        <v>0</v>
      </c>
      <c r="Q930" s="151">
        <v>0</v>
      </c>
      <c r="R930" s="151">
        <v>0</v>
      </c>
      <c r="S930" s="154">
        <v>0</v>
      </c>
      <c r="T930" s="151">
        <v>0</v>
      </c>
      <c r="U930" s="151">
        <v>0</v>
      </c>
      <c r="V930" s="15"/>
      <c r="W930" s="22">
        <v>0</v>
      </c>
      <c r="X930" s="149">
        <v>0</v>
      </c>
      <c r="Y930" s="15"/>
      <c r="Z930" s="151">
        <v>0</v>
      </c>
      <c r="AA930" s="149">
        <f>Tabela4[[#This Row],[VALOR]]-Tabela4[[#This Row],[PNEUS]]-Tabela4[[#This Row],[BATERIA]]</f>
        <v>132.4</v>
      </c>
      <c r="AB930" s="19" t="s">
        <v>24</v>
      </c>
      <c r="AC930" s="30">
        <v>0</v>
      </c>
      <c r="AD930" s="162">
        <v>0</v>
      </c>
      <c r="AE930" s="151">
        <v>132.4</v>
      </c>
      <c r="AF930" s="151">
        <v>0</v>
      </c>
      <c r="AG930" s="151">
        <v>0</v>
      </c>
      <c r="AH930" s="151">
        <v>0</v>
      </c>
      <c r="AI930" s="151">
        <v>0</v>
      </c>
      <c r="AJ930" s="151">
        <v>0</v>
      </c>
    </row>
    <row r="931" spans="1:36" x14ac:dyDescent="0.25">
      <c r="A931" s="68" t="s">
        <v>1456</v>
      </c>
      <c r="B931" s="68" t="s">
        <v>1457</v>
      </c>
      <c r="C931" s="146">
        <v>45464</v>
      </c>
      <c r="D931" s="141">
        <v>45464</v>
      </c>
      <c r="E931">
        <f>Tabela4[[#This Row],[DATA FATURAMENTO]]-Tabela4[[#This Row],[DATA ORÇAMENTO]]</f>
        <v>0</v>
      </c>
      <c r="F931" s="68">
        <v>11878</v>
      </c>
      <c r="G931" s="15" t="s">
        <v>25</v>
      </c>
      <c r="H931" s="25"/>
      <c r="I931" s="151">
        <v>1044.3</v>
      </c>
      <c r="J931" s="151">
        <f t="shared" ref="J931:J945" si="1">K931-I931</f>
        <v>145</v>
      </c>
      <c r="K931" s="158">
        <v>1189.3</v>
      </c>
      <c r="L931" s="151">
        <v>0</v>
      </c>
      <c r="M931" s="151">
        <v>0</v>
      </c>
      <c r="N931" s="24"/>
      <c r="O931" s="151">
        <v>0</v>
      </c>
      <c r="P931" s="151">
        <v>0</v>
      </c>
      <c r="Q931" s="151">
        <v>0</v>
      </c>
      <c r="R931" s="151">
        <v>0</v>
      </c>
      <c r="S931" s="154">
        <v>0</v>
      </c>
      <c r="T931" s="151">
        <v>0</v>
      </c>
      <c r="U931" s="151">
        <v>0</v>
      </c>
      <c r="V931" s="15"/>
      <c r="W931" s="22">
        <v>0</v>
      </c>
      <c r="X931" s="149">
        <v>0</v>
      </c>
      <c r="Y931" s="15"/>
      <c r="Z931" s="151">
        <v>0</v>
      </c>
      <c r="AA931" s="149">
        <f>Tabela4[[#This Row],[VALOR]]-Tabela4[[#This Row],[PNEUS]]-Tabela4[[#This Row],[BATERIA]]</f>
        <v>1189.3</v>
      </c>
      <c r="AB931" s="19" t="s">
        <v>38</v>
      </c>
      <c r="AC931" s="30">
        <v>0</v>
      </c>
      <c r="AD931" s="162">
        <v>0</v>
      </c>
      <c r="AE931" s="151">
        <v>0</v>
      </c>
      <c r="AF931" s="151">
        <v>0</v>
      </c>
      <c r="AG931" s="151">
        <v>0</v>
      </c>
      <c r="AH931" s="151">
        <f>1044.3+145</f>
        <v>1189.3</v>
      </c>
      <c r="AI931" s="151">
        <v>0</v>
      </c>
      <c r="AJ931" s="151">
        <v>0</v>
      </c>
    </row>
    <row r="932" spans="1:36" x14ac:dyDescent="0.25">
      <c r="A932" s="68" t="s">
        <v>1298</v>
      </c>
      <c r="B932" s="68" t="s">
        <v>1269</v>
      </c>
      <c r="C932" s="146">
        <v>45464</v>
      </c>
      <c r="D932" s="141">
        <v>45464</v>
      </c>
      <c r="E932">
        <f>Tabela4[[#This Row],[DATA FATURAMENTO]]-Tabela4[[#This Row],[DATA ORÇAMENTO]]</f>
        <v>0</v>
      </c>
      <c r="F932" s="68">
        <v>11866</v>
      </c>
      <c r="G932" s="15" t="s">
        <v>35</v>
      </c>
      <c r="H932" s="25"/>
      <c r="I932" s="151">
        <v>623</v>
      </c>
      <c r="J932" s="151">
        <f t="shared" si="1"/>
        <v>0</v>
      </c>
      <c r="K932" s="158">
        <v>623</v>
      </c>
      <c r="L932" s="151">
        <v>0</v>
      </c>
      <c r="M932" s="151">
        <v>0</v>
      </c>
      <c r="N932" s="24"/>
      <c r="O932" s="151">
        <v>0</v>
      </c>
      <c r="P932" s="151">
        <v>0</v>
      </c>
      <c r="Q932" s="151">
        <v>0</v>
      </c>
      <c r="R932" s="151">
        <v>0</v>
      </c>
      <c r="S932" s="154">
        <v>88.6</v>
      </c>
      <c r="T932" s="151">
        <v>0</v>
      </c>
      <c r="U932" s="151">
        <v>0</v>
      </c>
      <c r="V932" s="15"/>
      <c r="W932" s="22">
        <v>5</v>
      </c>
      <c r="X932" s="149">
        <v>68.8</v>
      </c>
      <c r="Y932" s="15" t="s">
        <v>1344</v>
      </c>
      <c r="Z932" s="151">
        <v>0</v>
      </c>
      <c r="AA932" s="149">
        <f>Tabela4[[#This Row],[VALOR]]-Tabela4[[#This Row],[PNEUS]]-Tabela4[[#This Row],[BATERIA]]</f>
        <v>623</v>
      </c>
      <c r="AB932" s="19" t="s">
        <v>27</v>
      </c>
      <c r="AC932" s="30">
        <v>0</v>
      </c>
      <c r="AD932" s="162">
        <v>0</v>
      </c>
      <c r="AE932" s="151">
        <v>0</v>
      </c>
      <c r="AF932" s="151">
        <v>45</v>
      </c>
      <c r="AG932" s="151">
        <f>47+78.4+20</f>
        <v>145.4</v>
      </c>
      <c r="AH932" s="151">
        <v>88.6</v>
      </c>
      <c r="AI932" s="151">
        <v>344</v>
      </c>
      <c r="AJ932" s="151">
        <v>0</v>
      </c>
    </row>
    <row r="933" spans="1:36" x14ac:dyDescent="0.25">
      <c r="A933" s="68" t="s">
        <v>1458</v>
      </c>
      <c r="B933" s="68" t="s">
        <v>1459</v>
      </c>
      <c r="C933" s="146">
        <v>45464</v>
      </c>
      <c r="D933" s="141">
        <v>45464</v>
      </c>
      <c r="E933">
        <f>Tabela4[[#This Row],[DATA FATURAMENTO]]-Tabela4[[#This Row],[DATA ORÇAMENTO]]</f>
        <v>0</v>
      </c>
      <c r="F933" s="68">
        <v>11859</v>
      </c>
      <c r="G933" s="15" t="s">
        <v>35</v>
      </c>
      <c r="H933" s="25"/>
      <c r="I933" s="151">
        <v>0</v>
      </c>
      <c r="J933" s="151">
        <f t="shared" si="1"/>
        <v>255</v>
      </c>
      <c r="K933" s="158">
        <v>255</v>
      </c>
      <c r="L933" s="151">
        <v>0</v>
      </c>
      <c r="M933" s="151">
        <v>0</v>
      </c>
      <c r="N933" s="24"/>
      <c r="O933" s="151">
        <v>0</v>
      </c>
      <c r="P933" s="151">
        <v>0</v>
      </c>
      <c r="Q933" s="151">
        <v>0</v>
      </c>
      <c r="R933" s="151">
        <v>0</v>
      </c>
      <c r="S933" s="154">
        <v>0</v>
      </c>
      <c r="T933" s="151">
        <v>0</v>
      </c>
      <c r="U933" s="151">
        <v>0</v>
      </c>
      <c r="V933" s="15"/>
      <c r="W933" s="22">
        <v>0</v>
      </c>
      <c r="X933" s="149">
        <v>0</v>
      </c>
      <c r="Y933" s="15"/>
      <c r="Z933" s="151">
        <v>0</v>
      </c>
      <c r="AA933" s="149">
        <f>Tabela4[[#This Row],[VALOR]]-Tabela4[[#This Row],[PNEUS]]-Tabela4[[#This Row],[BATERIA]]</f>
        <v>255</v>
      </c>
      <c r="AB933" s="19" t="s">
        <v>34</v>
      </c>
      <c r="AC933" s="30">
        <v>0</v>
      </c>
      <c r="AD933" s="162">
        <v>0</v>
      </c>
      <c r="AE933" s="151">
        <v>255</v>
      </c>
      <c r="AF933" s="151">
        <v>0</v>
      </c>
      <c r="AG933" s="151">
        <v>0</v>
      </c>
      <c r="AH933" s="151">
        <v>0</v>
      </c>
      <c r="AI933" s="151">
        <v>0</v>
      </c>
      <c r="AJ933" s="151">
        <v>0</v>
      </c>
    </row>
    <row r="934" spans="1:36" x14ac:dyDescent="0.25">
      <c r="A934" s="68" t="s">
        <v>467</v>
      </c>
      <c r="B934" s="68" t="s">
        <v>1026</v>
      </c>
      <c r="C934" s="146">
        <v>45458</v>
      </c>
      <c r="D934" s="141">
        <v>45464</v>
      </c>
      <c r="E934">
        <f>Tabela4[[#This Row],[DATA FATURAMENTO]]-Tabela4[[#This Row],[DATA ORÇAMENTO]]</f>
        <v>6</v>
      </c>
      <c r="F934" s="68">
        <v>11801</v>
      </c>
      <c r="G934" s="15" t="s">
        <v>22</v>
      </c>
      <c r="H934" s="25"/>
      <c r="I934" s="151">
        <v>345.6</v>
      </c>
      <c r="J934" s="151">
        <f t="shared" si="1"/>
        <v>354.4</v>
      </c>
      <c r="K934" s="158">
        <v>700</v>
      </c>
      <c r="L934" s="151">
        <v>0</v>
      </c>
      <c r="M934" s="151">
        <v>0</v>
      </c>
      <c r="N934" s="24"/>
      <c r="O934" s="151">
        <v>246.4</v>
      </c>
      <c r="P934" s="151">
        <v>0</v>
      </c>
      <c r="Q934" s="151">
        <v>0</v>
      </c>
      <c r="R934" s="151">
        <v>0</v>
      </c>
      <c r="S934" s="154">
        <v>0</v>
      </c>
      <c r="T934" s="151">
        <v>0</v>
      </c>
      <c r="U934" s="151">
        <v>0</v>
      </c>
      <c r="V934" s="15"/>
      <c r="W934" s="22">
        <v>0</v>
      </c>
      <c r="X934" s="149">
        <v>0</v>
      </c>
      <c r="Y934" s="15"/>
      <c r="Z934" s="151">
        <v>0</v>
      </c>
      <c r="AA934" s="149">
        <f>Tabela4[[#This Row],[VALOR]]-Tabela4[[#This Row],[PNEUS]]-Tabela4[[#This Row],[BATERIA]]</f>
        <v>700</v>
      </c>
      <c r="AB934" s="19" t="s">
        <v>27</v>
      </c>
      <c r="AC934" s="30">
        <v>0</v>
      </c>
      <c r="AD934" s="151">
        <v>700</v>
      </c>
      <c r="AE934" s="151">
        <v>0</v>
      </c>
      <c r="AF934" s="151">
        <v>0</v>
      </c>
      <c r="AG934" s="151">
        <v>0</v>
      </c>
      <c r="AH934" s="151">
        <v>0</v>
      </c>
      <c r="AI934" s="151">
        <v>0</v>
      </c>
      <c r="AJ934" s="151">
        <v>0</v>
      </c>
    </row>
    <row r="935" spans="1:36" x14ac:dyDescent="0.25">
      <c r="A935" s="68" t="s">
        <v>1460</v>
      </c>
      <c r="B935" s="68" t="s">
        <v>1461</v>
      </c>
      <c r="C935" s="146">
        <v>45464</v>
      </c>
      <c r="D935" s="141">
        <v>45464</v>
      </c>
      <c r="E935">
        <f>Tabela4[[#This Row],[DATA FATURAMENTO]]-Tabela4[[#This Row],[DATA ORÇAMENTO]]</f>
        <v>0</v>
      </c>
      <c r="F935" s="68">
        <v>11871</v>
      </c>
      <c r="G935" s="15" t="s">
        <v>22</v>
      </c>
      <c r="H935" s="25"/>
      <c r="I935" s="151">
        <v>20</v>
      </c>
      <c r="J935" s="151">
        <f t="shared" si="1"/>
        <v>390</v>
      </c>
      <c r="K935" s="158">
        <v>410</v>
      </c>
      <c r="L935" s="151">
        <v>0</v>
      </c>
      <c r="M935" s="151">
        <v>0</v>
      </c>
      <c r="N935" s="24"/>
      <c r="O935" s="151">
        <v>0</v>
      </c>
      <c r="P935" s="151">
        <v>0</v>
      </c>
      <c r="Q935" s="151">
        <v>0</v>
      </c>
      <c r="R935" s="151">
        <v>0</v>
      </c>
      <c r="S935" s="154">
        <v>0</v>
      </c>
      <c r="T935" s="151">
        <v>0</v>
      </c>
      <c r="U935" s="151">
        <v>0</v>
      </c>
      <c r="V935" s="15"/>
      <c r="W935" s="22">
        <v>0</v>
      </c>
      <c r="X935" s="149">
        <v>0</v>
      </c>
      <c r="Y935" s="15"/>
      <c r="Z935" s="151">
        <v>0</v>
      </c>
      <c r="AA935" s="149">
        <f>Tabela4[[#This Row],[VALOR]]-Tabela4[[#This Row],[PNEUS]]-Tabela4[[#This Row],[BATERIA]]</f>
        <v>410</v>
      </c>
      <c r="AB935" s="19" t="s">
        <v>32</v>
      </c>
      <c r="AC935" s="30">
        <v>0</v>
      </c>
      <c r="AD935" s="162">
        <v>0</v>
      </c>
      <c r="AE935" s="151">
        <v>410</v>
      </c>
      <c r="AF935" s="151">
        <v>0</v>
      </c>
      <c r="AG935" s="151">
        <v>0</v>
      </c>
      <c r="AH935" s="151">
        <v>0</v>
      </c>
      <c r="AI935" s="151">
        <v>0</v>
      </c>
      <c r="AJ935" s="151">
        <v>0</v>
      </c>
    </row>
    <row r="936" spans="1:36" x14ac:dyDescent="0.25">
      <c r="A936" s="68" t="s">
        <v>1462</v>
      </c>
      <c r="B936" s="68" t="s">
        <v>911</v>
      </c>
      <c r="C936" s="146">
        <v>45464</v>
      </c>
      <c r="D936" s="141">
        <v>45464</v>
      </c>
      <c r="E936">
        <f>Tabela4[[#This Row],[DATA FATURAMENTO]]-Tabela4[[#This Row],[DATA ORÇAMENTO]]</f>
        <v>0</v>
      </c>
      <c r="F936" s="68">
        <v>11864</v>
      </c>
      <c r="G936" s="15" t="s">
        <v>22</v>
      </c>
      <c r="H936" s="25"/>
      <c r="I936" s="151">
        <f>75+1343.15+211.8+25</f>
        <v>1654.95</v>
      </c>
      <c r="J936" s="151">
        <f t="shared" si="1"/>
        <v>945.05</v>
      </c>
      <c r="K936" s="158">
        <v>2600</v>
      </c>
      <c r="L936" s="151">
        <v>0</v>
      </c>
      <c r="M936" s="151">
        <v>0</v>
      </c>
      <c r="N936" s="24"/>
      <c r="O936" s="151">
        <v>75</v>
      </c>
      <c r="P936" s="151">
        <v>0</v>
      </c>
      <c r="Q936" s="151">
        <v>0</v>
      </c>
      <c r="R936" s="151">
        <v>0</v>
      </c>
      <c r="S936" s="154">
        <v>0</v>
      </c>
      <c r="T936" s="151">
        <v>0</v>
      </c>
      <c r="U936" s="151">
        <v>0</v>
      </c>
      <c r="V936" s="15"/>
      <c r="W936" s="22">
        <v>0</v>
      </c>
      <c r="X936" s="149">
        <v>0</v>
      </c>
      <c r="Y936" s="15"/>
      <c r="Z936" s="151">
        <v>0</v>
      </c>
      <c r="AA936" s="149">
        <f>Tabela4[[#This Row],[VALOR]]-Tabela4[[#This Row],[PNEUS]]-Tabela4[[#This Row],[BATERIA]]</f>
        <v>2600</v>
      </c>
      <c r="AB936" s="19" t="s">
        <v>34</v>
      </c>
      <c r="AC936" s="30">
        <v>0</v>
      </c>
      <c r="AD936" s="151">
        <f>75</f>
        <v>75</v>
      </c>
      <c r="AE936" s="151">
        <v>0</v>
      </c>
      <c r="AF936" s="151">
        <v>0</v>
      </c>
      <c r="AG936" s="151">
        <v>0</v>
      </c>
      <c r="AH936" s="151">
        <f>25</f>
        <v>25</v>
      </c>
      <c r="AI936" s="151">
        <v>211.8</v>
      </c>
      <c r="AJ936" s="151">
        <f>1343.15+945.05</f>
        <v>2288.1999999999998</v>
      </c>
    </row>
    <row r="937" spans="1:36" x14ac:dyDescent="0.25">
      <c r="A937" s="68" t="s">
        <v>1463</v>
      </c>
      <c r="B937" s="68" t="s">
        <v>1012</v>
      </c>
      <c r="C937" s="146">
        <v>45464</v>
      </c>
      <c r="D937" s="141">
        <v>45464</v>
      </c>
      <c r="E937">
        <f>Tabela4[[#This Row],[DATA FATURAMENTO]]-Tabela4[[#This Row],[DATA ORÇAMENTO]]</f>
        <v>0</v>
      </c>
      <c r="F937" s="68">
        <v>11875</v>
      </c>
      <c r="G937" s="15" t="s">
        <v>35</v>
      </c>
      <c r="H937" s="25"/>
      <c r="I937" s="151">
        <v>4142.96</v>
      </c>
      <c r="J937" s="151">
        <f t="shared" si="1"/>
        <v>2857.04</v>
      </c>
      <c r="K937" s="158">
        <v>7000</v>
      </c>
      <c r="L937" s="151">
        <v>220</v>
      </c>
      <c r="M937" s="151">
        <v>0</v>
      </c>
      <c r="N937" s="24"/>
      <c r="O937" s="151">
        <v>330</v>
      </c>
      <c r="P937" s="151">
        <v>0</v>
      </c>
      <c r="Q937" s="151">
        <v>290</v>
      </c>
      <c r="R937" s="151">
        <v>0</v>
      </c>
      <c r="S937" s="154">
        <v>260</v>
      </c>
      <c r="T937" s="151">
        <v>0</v>
      </c>
      <c r="U937" s="151">
        <v>0</v>
      </c>
      <c r="V937" s="15"/>
      <c r="W937" s="22">
        <v>4</v>
      </c>
      <c r="X937" s="149">
        <v>83.9</v>
      </c>
      <c r="Y937" s="15" t="s">
        <v>1366</v>
      </c>
      <c r="Z937" s="151">
        <v>0</v>
      </c>
      <c r="AA937" s="149">
        <f>Tabela4[[#This Row],[VALOR]]-Tabela4[[#This Row],[PNEUS]]-Tabela4[[#This Row],[BATERIA]]</f>
        <v>7000</v>
      </c>
      <c r="AB937" s="19" t="s">
        <v>27</v>
      </c>
      <c r="AC937" s="30">
        <v>0</v>
      </c>
      <c r="AD937" s="151">
        <f>358+170+290+330</f>
        <v>1148</v>
      </c>
      <c r="AE937" s="151">
        <f>675+250+590</f>
        <v>1515</v>
      </c>
      <c r="AF937" s="151">
        <f>289+290.24+362.12+1519.52+330+417.04</f>
        <v>3207.92</v>
      </c>
      <c r="AG937" s="151">
        <f>48+88.7+47.98</f>
        <v>184.67999999999998</v>
      </c>
      <c r="AH937" s="151">
        <f>260+220+128.8</f>
        <v>608.79999999999995</v>
      </c>
      <c r="AI937" s="151">
        <v>335.6</v>
      </c>
      <c r="AJ937" s="151">
        <v>0</v>
      </c>
    </row>
    <row r="938" spans="1:36" x14ac:dyDescent="0.25">
      <c r="A938" s="68" t="s">
        <v>1464</v>
      </c>
      <c r="B938" s="68" t="s">
        <v>1065</v>
      </c>
      <c r="C938" s="146">
        <v>45463</v>
      </c>
      <c r="D938" s="141">
        <v>45464</v>
      </c>
      <c r="E938">
        <f>Tabela4[[#This Row],[DATA FATURAMENTO]]-Tabela4[[#This Row],[DATA ORÇAMENTO]]</f>
        <v>1</v>
      </c>
      <c r="F938" s="68">
        <v>11854</v>
      </c>
      <c r="G938" s="15" t="s">
        <v>22</v>
      </c>
      <c r="H938" s="25"/>
      <c r="I938" s="151">
        <v>1207.9100000000001</v>
      </c>
      <c r="J938" s="151">
        <f t="shared" si="1"/>
        <v>442.08999999999992</v>
      </c>
      <c r="K938" s="158">
        <v>1650</v>
      </c>
      <c r="L938" s="151">
        <v>0</v>
      </c>
      <c r="M938" s="151">
        <v>0</v>
      </c>
      <c r="N938" s="24"/>
      <c r="O938" s="151">
        <v>0</v>
      </c>
      <c r="P938" s="151">
        <v>0</v>
      </c>
      <c r="Q938" s="151">
        <v>0</v>
      </c>
      <c r="R938" s="151">
        <v>0</v>
      </c>
      <c r="S938" s="154">
        <v>0</v>
      </c>
      <c r="T938" s="151">
        <v>0</v>
      </c>
      <c r="U938" s="151">
        <v>0</v>
      </c>
      <c r="V938" s="15"/>
      <c r="W938" s="22">
        <v>4</v>
      </c>
      <c r="X938" s="149">
        <v>52.8</v>
      </c>
      <c r="Y938" s="15" t="s">
        <v>635</v>
      </c>
      <c r="Z938" s="151">
        <v>0</v>
      </c>
      <c r="AA938" s="149">
        <f>Tabela4[[#This Row],[VALOR]]-Tabela4[[#This Row],[PNEUS]]-Tabela4[[#This Row],[BATERIA]]</f>
        <v>1650</v>
      </c>
      <c r="AB938" s="19" t="s">
        <v>24</v>
      </c>
      <c r="AC938" s="30">
        <v>0</v>
      </c>
      <c r="AD938" s="162">
        <v>0</v>
      </c>
      <c r="AE938" s="151">
        <v>0</v>
      </c>
      <c r="AF938" s="151">
        <v>147.08000000000001</v>
      </c>
      <c r="AG938" s="151">
        <f>25+24.9+47.7+7</f>
        <v>104.6</v>
      </c>
      <c r="AH938" s="151">
        <v>0.01</v>
      </c>
      <c r="AI938" s="151">
        <v>211.2</v>
      </c>
      <c r="AJ938" s="151">
        <f>405.56+486.55+295</f>
        <v>1187.1100000000001</v>
      </c>
    </row>
    <row r="939" spans="1:36" x14ac:dyDescent="0.25">
      <c r="A939" s="68" t="s">
        <v>1239</v>
      </c>
      <c r="B939" s="68" t="s">
        <v>986</v>
      </c>
      <c r="C939" s="146">
        <v>45463</v>
      </c>
      <c r="D939" s="141">
        <v>45464</v>
      </c>
      <c r="E939">
        <f>Tabela4[[#This Row],[DATA FATURAMENTO]]-Tabela4[[#This Row],[DATA ORÇAMENTO]]</f>
        <v>1</v>
      </c>
      <c r="F939" s="68">
        <v>11846</v>
      </c>
      <c r="G939" s="15" t="s">
        <v>35</v>
      </c>
      <c r="H939" s="25"/>
      <c r="I939" s="151">
        <v>0</v>
      </c>
      <c r="J939" s="151">
        <f t="shared" si="1"/>
        <v>255</v>
      </c>
      <c r="K939" s="158">
        <v>255</v>
      </c>
      <c r="L939" s="151">
        <v>0</v>
      </c>
      <c r="M939" s="151">
        <v>0</v>
      </c>
      <c r="N939" s="24"/>
      <c r="O939" s="151">
        <v>0</v>
      </c>
      <c r="P939" s="151">
        <v>0</v>
      </c>
      <c r="Q939" s="151">
        <v>0</v>
      </c>
      <c r="R939" s="151">
        <v>0</v>
      </c>
      <c r="S939" s="154">
        <v>0</v>
      </c>
      <c r="T939" s="151">
        <v>0</v>
      </c>
      <c r="U939" s="151">
        <v>0</v>
      </c>
      <c r="V939" s="15"/>
      <c r="W939" s="22">
        <v>0</v>
      </c>
      <c r="X939" s="149">
        <v>0</v>
      </c>
      <c r="Y939" s="15"/>
      <c r="Z939" s="151">
        <v>0</v>
      </c>
      <c r="AA939" s="149">
        <f>Tabela4[[#This Row],[VALOR]]-Tabela4[[#This Row],[PNEUS]]-Tabela4[[#This Row],[BATERIA]]</f>
        <v>255</v>
      </c>
      <c r="AB939" s="19" t="s">
        <v>32</v>
      </c>
      <c r="AC939" s="30">
        <v>0</v>
      </c>
      <c r="AD939" s="162">
        <v>0</v>
      </c>
      <c r="AE939" s="151">
        <v>255</v>
      </c>
      <c r="AF939" s="151">
        <v>0</v>
      </c>
      <c r="AG939" s="151">
        <v>0</v>
      </c>
      <c r="AH939" s="151">
        <v>0</v>
      </c>
      <c r="AI939" s="151">
        <v>0</v>
      </c>
      <c r="AJ939" s="151">
        <v>0</v>
      </c>
    </row>
    <row r="940" spans="1:36" x14ac:dyDescent="0.25">
      <c r="A940" s="68" t="s">
        <v>1465</v>
      </c>
      <c r="B940" s="68" t="s">
        <v>951</v>
      </c>
      <c r="C940" s="146">
        <v>45464</v>
      </c>
      <c r="D940" s="141">
        <v>45464</v>
      </c>
      <c r="E940">
        <f>Tabela4[[#This Row],[DATA FATURAMENTO]]-Tabela4[[#This Row],[DATA ORÇAMENTO]]</f>
        <v>0</v>
      </c>
      <c r="F940" s="68">
        <v>11860</v>
      </c>
      <c r="G940" s="15" t="s">
        <v>22</v>
      </c>
      <c r="H940" s="25"/>
      <c r="I940" s="151">
        <v>0.01</v>
      </c>
      <c r="J940" s="151">
        <f t="shared" si="1"/>
        <v>0.01</v>
      </c>
      <c r="K940" s="158">
        <v>0.02</v>
      </c>
      <c r="L940" s="151">
        <v>0</v>
      </c>
      <c r="M940" s="151">
        <v>0</v>
      </c>
      <c r="N940" s="24"/>
      <c r="O940" s="151">
        <v>0</v>
      </c>
      <c r="P940" s="151">
        <v>0</v>
      </c>
      <c r="Q940" s="151">
        <v>0</v>
      </c>
      <c r="R940" s="151">
        <v>0</v>
      </c>
      <c r="S940" s="154">
        <v>0</v>
      </c>
      <c r="T940" s="151">
        <v>0</v>
      </c>
      <c r="U940" s="151">
        <v>0</v>
      </c>
      <c r="V940" s="15"/>
      <c r="W940" s="22">
        <v>0</v>
      </c>
      <c r="X940" s="149">
        <v>0</v>
      </c>
      <c r="Y940" s="15"/>
      <c r="Z940" s="151">
        <v>0</v>
      </c>
      <c r="AA940" s="149">
        <f>Tabela4[[#This Row],[VALOR]]-Tabela4[[#This Row],[PNEUS]]-Tabela4[[#This Row],[BATERIA]]</f>
        <v>0.02</v>
      </c>
      <c r="AB940" s="19" t="s">
        <v>24</v>
      </c>
      <c r="AC940" s="30">
        <v>0</v>
      </c>
      <c r="AD940" s="151">
        <v>0.02</v>
      </c>
      <c r="AE940" s="151">
        <v>0</v>
      </c>
      <c r="AF940" s="151">
        <v>0</v>
      </c>
      <c r="AG940" s="151">
        <v>0</v>
      </c>
      <c r="AH940" s="151">
        <v>0</v>
      </c>
      <c r="AI940" s="151">
        <v>0</v>
      </c>
      <c r="AJ940" s="151">
        <v>0</v>
      </c>
    </row>
    <row r="941" spans="1:36" x14ac:dyDescent="0.25">
      <c r="A941" s="68" t="s">
        <v>1466</v>
      </c>
      <c r="B941" s="68" t="s">
        <v>1467</v>
      </c>
      <c r="C941" s="146">
        <v>45464</v>
      </c>
      <c r="D941" s="141">
        <v>45464</v>
      </c>
      <c r="E941">
        <f>Tabela4[[#This Row],[DATA FATURAMENTO]]-Tabela4[[#This Row],[DATA ORÇAMENTO]]</f>
        <v>0</v>
      </c>
      <c r="F941" s="68">
        <v>11869</v>
      </c>
      <c r="G941" s="25" t="s">
        <v>22</v>
      </c>
      <c r="H941" s="25"/>
      <c r="I941" s="155">
        <v>1551</v>
      </c>
      <c r="J941" s="151">
        <f t="shared" si="1"/>
        <v>568</v>
      </c>
      <c r="K941" s="158">
        <v>2119</v>
      </c>
      <c r="L941" s="155">
        <v>0</v>
      </c>
      <c r="M941" s="155">
        <v>0</v>
      </c>
      <c r="N941" s="67"/>
      <c r="O941" s="155">
        <v>140</v>
      </c>
      <c r="P941" s="155">
        <v>0</v>
      </c>
      <c r="Q941" s="155">
        <v>0</v>
      </c>
      <c r="R941" s="155">
        <v>0</v>
      </c>
      <c r="S941" s="154">
        <v>0</v>
      </c>
      <c r="T941" s="155">
        <v>0</v>
      </c>
      <c r="U941" s="155">
        <v>0</v>
      </c>
      <c r="V941" s="25"/>
      <c r="W941" s="28">
        <v>4</v>
      </c>
      <c r="X941" s="154">
        <v>68</v>
      </c>
      <c r="Y941" s="25" t="s">
        <v>1251</v>
      </c>
      <c r="Z941" s="155">
        <v>0</v>
      </c>
      <c r="AA941" s="149">
        <f>Tabela4[[#This Row],[VALOR]]-Tabela4[[#This Row],[PNEUS]]-Tabela4[[#This Row],[BATERIA]]</f>
        <v>2119</v>
      </c>
      <c r="AB941" s="27" t="s">
        <v>36</v>
      </c>
      <c r="AC941" s="30">
        <v>0</v>
      </c>
      <c r="AD941" s="155">
        <f>119+268+629+150+150+140</f>
        <v>1456</v>
      </c>
      <c r="AE941" s="155">
        <f>160+9+129</f>
        <v>298</v>
      </c>
      <c r="AF941" s="155">
        <v>0</v>
      </c>
      <c r="AG941" s="155">
        <f>34+24+30+5</f>
        <v>93</v>
      </c>
      <c r="AH941" s="155">
        <v>0</v>
      </c>
      <c r="AI941" s="155">
        <v>272</v>
      </c>
      <c r="AJ941" s="155">
        <v>0</v>
      </c>
    </row>
    <row r="942" spans="1:36" x14ac:dyDescent="0.25">
      <c r="A942" s="68" t="s">
        <v>689</v>
      </c>
      <c r="B942" s="68" t="s">
        <v>1182</v>
      </c>
      <c r="C942" s="146">
        <v>45440</v>
      </c>
      <c r="D942" s="141">
        <v>45465</v>
      </c>
      <c r="E942">
        <f>Tabela4[[#This Row],[DATA FATURAMENTO]]-Tabela4[[#This Row],[DATA ORÇAMENTO]]</f>
        <v>25</v>
      </c>
      <c r="F942" s="68">
        <v>11622</v>
      </c>
      <c r="G942" s="15" t="s">
        <v>22</v>
      </c>
      <c r="H942" s="25"/>
      <c r="I942" s="151">
        <v>1297</v>
      </c>
      <c r="J942" s="151">
        <f t="shared" si="1"/>
        <v>803</v>
      </c>
      <c r="K942" s="158">
        <v>2100</v>
      </c>
      <c r="L942" s="151">
        <v>0</v>
      </c>
      <c r="M942" s="151">
        <v>0</v>
      </c>
      <c r="N942" s="24"/>
      <c r="O942" s="151">
        <v>0</v>
      </c>
      <c r="P942" s="151">
        <v>0</v>
      </c>
      <c r="Q942" s="151">
        <v>0</v>
      </c>
      <c r="R942" s="151">
        <v>0</v>
      </c>
      <c r="S942" s="154">
        <v>0</v>
      </c>
      <c r="T942" s="151">
        <v>0</v>
      </c>
      <c r="U942" s="151">
        <v>0</v>
      </c>
      <c r="V942" s="15"/>
      <c r="W942" s="22">
        <v>0</v>
      </c>
      <c r="X942" s="149">
        <v>0</v>
      </c>
      <c r="Y942" s="15"/>
      <c r="Z942" s="151">
        <v>0</v>
      </c>
      <c r="AA942" s="149">
        <f>Tabela4[[#This Row],[VALOR]]-Tabela4[[#This Row],[PNEUS]]-Tabela4[[#This Row],[BATERIA]]</f>
        <v>2100</v>
      </c>
      <c r="AB942" s="19" t="s">
        <v>24</v>
      </c>
      <c r="AC942" s="30">
        <v>0</v>
      </c>
      <c r="AD942" s="162">
        <v>0</v>
      </c>
      <c r="AE942" s="151">
        <f>1297+803</f>
        <v>2100</v>
      </c>
      <c r="AF942" s="151">
        <v>0</v>
      </c>
      <c r="AG942" s="151">
        <v>0</v>
      </c>
      <c r="AH942" s="151">
        <v>0</v>
      </c>
      <c r="AI942" s="151">
        <v>0</v>
      </c>
      <c r="AJ942" s="151">
        <v>0</v>
      </c>
    </row>
    <row r="943" spans="1:36" x14ac:dyDescent="0.25">
      <c r="A943" s="68" t="s">
        <v>1468</v>
      </c>
      <c r="B943" s="68" t="s">
        <v>1469</v>
      </c>
      <c r="C943" s="146">
        <v>45464</v>
      </c>
      <c r="D943" s="141">
        <v>45465</v>
      </c>
      <c r="E943">
        <f>Tabela4[[#This Row],[DATA FATURAMENTO]]-Tabela4[[#This Row],[DATA ORÇAMENTO]]</f>
        <v>1</v>
      </c>
      <c r="F943" s="68">
        <v>11870</v>
      </c>
      <c r="G943" s="15" t="s">
        <v>31</v>
      </c>
      <c r="H943" s="25"/>
      <c r="I943" s="151">
        <v>494</v>
      </c>
      <c r="J943" s="151">
        <f t="shared" si="1"/>
        <v>270</v>
      </c>
      <c r="K943" s="158">
        <v>764</v>
      </c>
      <c r="L943" s="151">
        <v>0</v>
      </c>
      <c r="M943" s="151">
        <v>0</v>
      </c>
      <c r="N943" s="24"/>
      <c r="O943" s="151">
        <v>0</v>
      </c>
      <c r="P943" s="151">
        <v>0</v>
      </c>
      <c r="Q943" s="151">
        <v>0</v>
      </c>
      <c r="R943" s="151">
        <v>0</v>
      </c>
      <c r="S943" s="154">
        <v>270</v>
      </c>
      <c r="T943" s="151">
        <v>0</v>
      </c>
      <c r="U943" s="151">
        <v>0</v>
      </c>
      <c r="V943" s="15"/>
      <c r="W943" s="22">
        <v>4</v>
      </c>
      <c r="X943" s="149">
        <v>68.400000000000006</v>
      </c>
      <c r="Y943" s="15" t="s">
        <v>1344</v>
      </c>
      <c r="Z943" s="151">
        <v>0</v>
      </c>
      <c r="AA943" s="149">
        <f>Tabela4[[#This Row],[VALOR]]-Tabela4[[#This Row],[PNEUS]]-Tabela4[[#This Row],[BATERIA]]</f>
        <v>764</v>
      </c>
      <c r="AB943" s="19" t="s">
        <v>32</v>
      </c>
      <c r="AC943" s="30">
        <v>0</v>
      </c>
      <c r="AD943" s="162">
        <v>0</v>
      </c>
      <c r="AE943" s="151">
        <v>0</v>
      </c>
      <c r="AF943" s="151">
        <v>0</v>
      </c>
      <c r="AG943" s="151">
        <f>20+107.9+47.7+44.8</f>
        <v>220.40000000000003</v>
      </c>
      <c r="AH943" s="151">
        <v>270</v>
      </c>
      <c r="AI943" s="151">
        <v>273.60000000000002</v>
      </c>
      <c r="AJ943" s="151">
        <v>0</v>
      </c>
    </row>
    <row r="944" spans="1:36" x14ac:dyDescent="0.25">
      <c r="A944" s="68" t="s">
        <v>1470</v>
      </c>
      <c r="B944" s="68" t="s">
        <v>1471</v>
      </c>
      <c r="C944" s="148">
        <v>45465</v>
      </c>
      <c r="D944" s="141">
        <v>45465</v>
      </c>
      <c r="E944">
        <f>Tabela4[[#This Row],[DATA FATURAMENTO]]-Tabela4[[#This Row],[DATA ORÇAMENTO]]</f>
        <v>0</v>
      </c>
      <c r="F944" s="68">
        <v>11880</v>
      </c>
      <c r="G944" s="15" t="s">
        <v>6</v>
      </c>
      <c r="H944" s="25"/>
      <c r="I944" s="151">
        <v>535</v>
      </c>
      <c r="J944" s="151">
        <f t="shared" si="1"/>
        <v>9.9999999999909051E-3</v>
      </c>
      <c r="K944" s="158">
        <v>535.01</v>
      </c>
      <c r="L944" s="151">
        <v>0</v>
      </c>
      <c r="M944" s="151">
        <v>0</v>
      </c>
      <c r="N944" s="24"/>
      <c r="O944" s="151">
        <v>0</v>
      </c>
      <c r="P944" s="151">
        <v>0</v>
      </c>
      <c r="Q944" s="151">
        <v>0</v>
      </c>
      <c r="R944" s="151">
        <v>0</v>
      </c>
      <c r="S944" s="154">
        <v>0</v>
      </c>
      <c r="T944" s="151">
        <v>0</v>
      </c>
      <c r="U944" s="151">
        <v>535.01</v>
      </c>
      <c r="V944" s="15" t="s">
        <v>684</v>
      </c>
      <c r="W944" s="22">
        <v>0</v>
      </c>
      <c r="X944" s="149">
        <v>0</v>
      </c>
      <c r="Y944" s="15"/>
      <c r="Z944" s="151">
        <v>0</v>
      </c>
      <c r="AA944" s="149">
        <f>Tabela4[[#This Row],[VALOR]]-Tabela4[[#This Row],[PNEUS]]-Tabela4[[#This Row],[BATERIA]]</f>
        <v>0</v>
      </c>
      <c r="AB944" s="19" t="s">
        <v>6</v>
      </c>
      <c r="AC944" s="30">
        <v>0</v>
      </c>
      <c r="AD944" s="162">
        <v>0</v>
      </c>
      <c r="AE944" s="151">
        <v>0</v>
      </c>
      <c r="AF944" s="151">
        <v>0</v>
      </c>
      <c r="AG944" s="151">
        <v>0</v>
      </c>
      <c r="AH944" s="151">
        <v>0</v>
      </c>
      <c r="AI944" s="151">
        <v>0</v>
      </c>
      <c r="AJ944" s="151">
        <v>0</v>
      </c>
    </row>
    <row r="945" spans="1:36" x14ac:dyDescent="0.25">
      <c r="A945" s="68" t="s">
        <v>1472</v>
      </c>
      <c r="B945" s="68" t="s">
        <v>956</v>
      </c>
      <c r="C945" s="148">
        <v>45465</v>
      </c>
      <c r="D945" s="141">
        <v>45465</v>
      </c>
      <c r="E945">
        <f>Tabela4[[#This Row],[DATA FATURAMENTO]]-Tabela4[[#This Row],[DATA ORÇAMENTO]]</f>
        <v>0</v>
      </c>
      <c r="F945" s="68">
        <v>11881</v>
      </c>
      <c r="G945" s="15" t="s">
        <v>6</v>
      </c>
      <c r="H945" s="54"/>
      <c r="I945" s="151">
        <v>535</v>
      </c>
      <c r="J945" s="151">
        <f t="shared" si="1"/>
        <v>9.9999999999909051E-3</v>
      </c>
      <c r="K945" s="158">
        <v>535.01</v>
      </c>
      <c r="L945" s="151">
        <v>0</v>
      </c>
      <c r="M945" s="151">
        <v>0</v>
      </c>
      <c r="N945" s="24"/>
      <c r="O945" s="151">
        <v>0</v>
      </c>
      <c r="P945" s="151">
        <v>0</v>
      </c>
      <c r="Q945" s="151">
        <v>0</v>
      </c>
      <c r="R945" s="151">
        <v>0</v>
      </c>
      <c r="S945" s="154">
        <v>0</v>
      </c>
      <c r="T945" s="151">
        <v>0</v>
      </c>
      <c r="U945" s="151">
        <v>535.01</v>
      </c>
      <c r="V945" s="15" t="s">
        <v>684</v>
      </c>
      <c r="W945" s="22">
        <v>0</v>
      </c>
      <c r="X945" s="149">
        <v>0</v>
      </c>
      <c r="Y945" s="15"/>
      <c r="Z945" s="151">
        <v>0</v>
      </c>
      <c r="AA945" s="149">
        <f>Tabela4[[#This Row],[VALOR]]-Tabela4[[#This Row],[PNEUS]]-Tabela4[[#This Row],[BATERIA]]</f>
        <v>0</v>
      </c>
      <c r="AB945" s="19" t="s">
        <v>6</v>
      </c>
      <c r="AC945" s="30">
        <v>0</v>
      </c>
      <c r="AD945" s="162">
        <v>0</v>
      </c>
      <c r="AE945" s="151">
        <v>0</v>
      </c>
      <c r="AF945" s="151">
        <v>0</v>
      </c>
      <c r="AG945" s="151">
        <v>0</v>
      </c>
      <c r="AH945" s="151">
        <v>0</v>
      </c>
      <c r="AI945" s="151">
        <v>0</v>
      </c>
      <c r="AJ945" s="151">
        <v>0</v>
      </c>
    </row>
    <row r="946" spans="1:36" x14ac:dyDescent="0.25">
      <c r="A946" s="68" t="s">
        <v>1473</v>
      </c>
      <c r="B946" s="68" t="s">
        <v>1474</v>
      </c>
      <c r="C946" s="148">
        <v>45465</v>
      </c>
      <c r="D946" s="141">
        <v>45465</v>
      </c>
      <c r="E946">
        <f>Tabela4[[#This Row],[DATA FATURAMENTO]]-Tabela4[[#This Row],[DATA ORÇAMENTO]]</f>
        <v>0</v>
      </c>
      <c r="F946" s="68">
        <v>11882</v>
      </c>
      <c r="G946" s="15" t="s">
        <v>35</v>
      </c>
      <c r="H946" s="54"/>
      <c r="I946" s="151">
        <v>585</v>
      </c>
      <c r="J946" s="151">
        <f>K946-I946</f>
        <v>0</v>
      </c>
      <c r="K946" s="158">
        <v>585</v>
      </c>
      <c r="L946" s="151">
        <v>0</v>
      </c>
      <c r="M946" s="151">
        <v>0</v>
      </c>
      <c r="N946" s="24"/>
      <c r="O946" s="151">
        <v>0</v>
      </c>
      <c r="P946" s="151">
        <v>0</v>
      </c>
      <c r="Q946" s="151">
        <v>0</v>
      </c>
      <c r="R946" s="151">
        <v>0</v>
      </c>
      <c r="S946" s="154">
        <v>0</v>
      </c>
      <c r="T946" s="154" t="e">
        <f>#REF!+#REF!</f>
        <v>#REF!</v>
      </c>
      <c r="U946" s="151">
        <v>585</v>
      </c>
      <c r="V946" s="15" t="s">
        <v>1087</v>
      </c>
      <c r="W946" s="22">
        <v>0</v>
      </c>
      <c r="X946" s="149">
        <v>0</v>
      </c>
      <c r="Y946" s="15"/>
      <c r="Z946" s="151">
        <v>0</v>
      </c>
      <c r="AA946" s="149" t="e">
        <f>Tabela4[[#This Row],[VALOR]]-Tabela4[[#This Row],[PNEUS]]-Tabela4[[#This Row],[BATERIA]]</f>
        <v>#REF!</v>
      </c>
      <c r="AB946" s="19" t="s">
        <v>6</v>
      </c>
      <c r="AC946" s="30">
        <v>0</v>
      </c>
      <c r="AD946" s="162">
        <v>0</v>
      </c>
      <c r="AE946" s="151">
        <v>0</v>
      </c>
      <c r="AF946" s="151">
        <v>0</v>
      </c>
      <c r="AG946" s="151">
        <v>0</v>
      </c>
      <c r="AH946" s="151">
        <v>0</v>
      </c>
      <c r="AI946" s="151">
        <v>0</v>
      </c>
      <c r="AJ946" s="151">
        <v>0</v>
      </c>
    </row>
    <row r="947" spans="1:36" x14ac:dyDescent="0.25">
      <c r="A947" s="68" t="s">
        <v>729</v>
      </c>
      <c r="B947" s="68" t="s">
        <v>1475</v>
      </c>
      <c r="C947" s="146">
        <v>45467</v>
      </c>
      <c r="D947" s="141">
        <v>45467</v>
      </c>
      <c r="E947">
        <f>Tabela4[[#This Row],[DATA FATURAMENTO]]-Tabela4[[#This Row],[DATA ORÇAMENTO]]</f>
        <v>0</v>
      </c>
      <c r="F947" s="68">
        <v>11885</v>
      </c>
      <c r="G947" s="15" t="s">
        <v>22</v>
      </c>
      <c r="H947" s="25"/>
      <c r="I947" s="151">
        <v>152.69999999999999</v>
      </c>
      <c r="J947" s="151">
        <f t="shared" ref="J947:J978" si="2">K947-I947</f>
        <v>64</v>
      </c>
      <c r="K947" s="158">
        <v>216.7</v>
      </c>
      <c r="L947" s="151">
        <v>0</v>
      </c>
      <c r="M947" s="151">
        <v>0</v>
      </c>
      <c r="N947" s="24"/>
      <c r="O947" s="151">
        <v>0</v>
      </c>
      <c r="P947" s="151">
        <v>0</v>
      </c>
      <c r="Q947" s="151">
        <v>0</v>
      </c>
      <c r="R947" s="151">
        <v>0</v>
      </c>
      <c r="S947" s="154">
        <v>0</v>
      </c>
      <c r="T947" s="151">
        <v>0</v>
      </c>
      <c r="U947" s="151">
        <v>0</v>
      </c>
      <c r="V947" s="15"/>
      <c r="W947" s="22">
        <v>0</v>
      </c>
      <c r="X947" s="149">
        <v>0</v>
      </c>
      <c r="Y947" s="15"/>
      <c r="Z947" s="151">
        <v>0</v>
      </c>
      <c r="AA947" s="149">
        <f>Tabela4[[#This Row],[VALOR]]-Tabela4[[#This Row],[PNEUS]]-Tabela4[[#This Row],[BATERIA]]</f>
        <v>216.7</v>
      </c>
      <c r="AB947" s="19" t="s">
        <v>34</v>
      </c>
      <c r="AC947" s="30">
        <v>0</v>
      </c>
      <c r="AD947" s="162">
        <v>0</v>
      </c>
      <c r="AE947" s="151">
        <v>0</v>
      </c>
      <c r="AF947" s="151">
        <v>0</v>
      </c>
      <c r="AG947" s="151">
        <f>152.7+64</f>
        <v>216.7</v>
      </c>
      <c r="AH947" s="151">
        <v>0</v>
      </c>
      <c r="AI947" s="151">
        <v>0</v>
      </c>
      <c r="AJ947" s="151">
        <v>0</v>
      </c>
    </row>
    <row r="948" spans="1:36" x14ac:dyDescent="0.25">
      <c r="A948" s="68" t="s">
        <v>1476</v>
      </c>
      <c r="B948" s="68" t="s">
        <v>912</v>
      </c>
      <c r="C948" s="146">
        <v>45428</v>
      </c>
      <c r="D948" s="141">
        <v>45468</v>
      </c>
      <c r="E948">
        <f>Tabela4[[#This Row],[DATA FATURAMENTO]]-Tabela4[[#This Row],[DATA ORÇAMENTO]]</f>
        <v>40</v>
      </c>
      <c r="F948" s="68">
        <v>11503</v>
      </c>
      <c r="G948" s="15" t="s">
        <v>22</v>
      </c>
      <c r="H948" s="25"/>
      <c r="I948" s="151">
        <v>5875.1</v>
      </c>
      <c r="J948" s="151">
        <f t="shared" si="2"/>
        <v>5124.8999999999996</v>
      </c>
      <c r="K948" s="158">
        <v>11000</v>
      </c>
      <c r="L948" s="151">
        <v>0</v>
      </c>
      <c r="M948" s="151">
        <f>76.8+20.8</f>
        <v>97.6</v>
      </c>
      <c r="N948" s="24">
        <v>4</v>
      </c>
      <c r="O948" s="151">
        <v>0</v>
      </c>
      <c r="P948" s="151">
        <v>0</v>
      </c>
      <c r="Q948" s="151">
        <v>0</v>
      </c>
      <c r="R948" s="151">
        <v>0</v>
      </c>
      <c r="S948" s="154">
        <v>0</v>
      </c>
      <c r="T948" s="151">
        <v>0</v>
      </c>
      <c r="U948" s="151">
        <v>0</v>
      </c>
      <c r="V948" s="15"/>
      <c r="W948" s="22">
        <v>4</v>
      </c>
      <c r="X948" s="149">
        <v>74.5</v>
      </c>
      <c r="Y948" s="15" t="s">
        <v>1251</v>
      </c>
      <c r="Z948" s="151">
        <v>0</v>
      </c>
      <c r="AA948" s="149">
        <f>Tabela4[[#This Row],[VALOR]]-Tabela4[[#This Row],[PNEUS]]-Tabela4[[#This Row],[BATERIA]]</f>
        <v>11000</v>
      </c>
      <c r="AB948" s="19" t="s">
        <v>32</v>
      </c>
      <c r="AC948" s="30">
        <v>0</v>
      </c>
      <c r="AD948" s="162">
        <v>0</v>
      </c>
      <c r="AE948" s="151">
        <v>0</v>
      </c>
      <c r="AF948" s="151">
        <f>230+310.38</f>
        <v>540.38</v>
      </c>
      <c r="AG948" s="151">
        <f>278.5+438.2+76.8+20.8+623.9+24.8+220+115+240+370.2+304+420+220+271.8+220+328+154+90+150.4+346.8+110+118.7+89.2+15+690+240+310.38+0.01+0.01+0.01+440+2474.48+800.01+170 -12.08</f>
        <v>10358.92</v>
      </c>
      <c r="AH948" s="151">
        <f>78.5+22.2</f>
        <v>100.7</v>
      </c>
      <c r="AI948" s="151">
        <v>0</v>
      </c>
      <c r="AJ948" s="151">
        <v>0</v>
      </c>
    </row>
    <row r="949" spans="1:36" x14ac:dyDescent="0.25">
      <c r="A949" s="68" t="s">
        <v>1477</v>
      </c>
      <c r="B949" s="68" t="s">
        <v>938</v>
      </c>
      <c r="C949" s="146">
        <v>45446</v>
      </c>
      <c r="D949" s="141">
        <v>45468</v>
      </c>
      <c r="E949">
        <f>Tabela4[[#This Row],[DATA FATURAMENTO]]-Tabela4[[#This Row],[DATA ORÇAMENTO]]</f>
        <v>22</v>
      </c>
      <c r="F949" s="68">
        <v>11673</v>
      </c>
      <c r="G949" s="15" t="s">
        <v>6</v>
      </c>
      <c r="H949" s="25"/>
      <c r="I949" s="151">
        <v>535</v>
      </c>
      <c r="J949" s="151">
        <f t="shared" si="2"/>
        <v>9.9999999999909051E-3</v>
      </c>
      <c r="K949" s="158">
        <v>535.01</v>
      </c>
      <c r="L949" s="151">
        <v>0</v>
      </c>
      <c r="M949" s="151">
        <v>0</v>
      </c>
      <c r="N949" s="24"/>
      <c r="O949" s="151">
        <v>0</v>
      </c>
      <c r="P949" s="151">
        <v>0</v>
      </c>
      <c r="Q949" s="151">
        <v>0</v>
      </c>
      <c r="R949" s="151">
        <v>0</v>
      </c>
      <c r="S949" s="154">
        <v>0</v>
      </c>
      <c r="T949" s="151">
        <v>0</v>
      </c>
      <c r="U949" s="151">
        <v>535.01</v>
      </c>
      <c r="V949" s="15" t="s">
        <v>1287</v>
      </c>
      <c r="W949" s="22">
        <v>0</v>
      </c>
      <c r="X949" s="149">
        <v>0</v>
      </c>
      <c r="Y949" s="15"/>
      <c r="Z949" s="151">
        <v>0</v>
      </c>
      <c r="AA949" s="149">
        <f>Tabela4[[#This Row],[VALOR]]-Tabela4[[#This Row],[PNEUS]]-Tabela4[[#This Row],[BATERIA]]</f>
        <v>0</v>
      </c>
      <c r="AB949" s="19" t="s">
        <v>6</v>
      </c>
      <c r="AC949" s="30">
        <v>0</v>
      </c>
      <c r="AD949" s="162">
        <v>0</v>
      </c>
      <c r="AE949" s="151">
        <v>0</v>
      </c>
      <c r="AF949" s="151">
        <v>0</v>
      </c>
      <c r="AG949" s="151">
        <v>0</v>
      </c>
      <c r="AH949" s="151">
        <v>0</v>
      </c>
      <c r="AI949" s="151">
        <v>0</v>
      </c>
      <c r="AJ949" s="151">
        <v>0</v>
      </c>
    </row>
    <row r="950" spans="1:36" x14ac:dyDescent="0.25">
      <c r="A950" s="68" t="s">
        <v>1478</v>
      </c>
      <c r="B950" s="68" t="s">
        <v>1479</v>
      </c>
      <c r="C950" s="146">
        <v>45457</v>
      </c>
      <c r="D950" s="141">
        <v>45468</v>
      </c>
      <c r="E950">
        <f>Tabela4[[#This Row],[DATA FATURAMENTO]]-Tabela4[[#This Row],[DATA ORÇAMENTO]]</f>
        <v>11</v>
      </c>
      <c r="F950" s="68">
        <v>11774</v>
      </c>
      <c r="G950" s="15" t="s">
        <v>39</v>
      </c>
      <c r="H950" s="25" t="s">
        <v>44</v>
      </c>
      <c r="I950" s="151">
        <v>0</v>
      </c>
      <c r="J950" s="151">
        <f t="shared" si="2"/>
        <v>220.01</v>
      </c>
      <c r="K950" s="158">
        <v>220.01</v>
      </c>
      <c r="L950" s="151">
        <v>0</v>
      </c>
      <c r="M950" s="151">
        <v>0</v>
      </c>
      <c r="N950" s="24"/>
      <c r="O950" s="151">
        <v>0</v>
      </c>
      <c r="P950" s="151">
        <v>0</v>
      </c>
      <c r="Q950" s="151">
        <v>0</v>
      </c>
      <c r="R950" s="151">
        <v>0</v>
      </c>
      <c r="S950" s="154">
        <v>0</v>
      </c>
      <c r="T950" s="151">
        <v>0</v>
      </c>
      <c r="U950" s="151">
        <v>0</v>
      </c>
      <c r="V950" s="15"/>
      <c r="W950" s="22">
        <v>0</v>
      </c>
      <c r="X950" s="149">
        <v>0</v>
      </c>
      <c r="Y950" s="15"/>
      <c r="Z950" s="151">
        <v>0</v>
      </c>
      <c r="AA950" s="149">
        <f>Tabela4[[#This Row],[VALOR]]-Tabela4[[#This Row],[PNEUS]]-Tabela4[[#This Row],[BATERIA]]</f>
        <v>220.01</v>
      </c>
      <c r="AB950" s="19" t="s">
        <v>27</v>
      </c>
      <c r="AC950" s="30">
        <v>0</v>
      </c>
      <c r="AD950" s="162">
        <v>0</v>
      </c>
      <c r="AE950" s="151">
        <v>220.01</v>
      </c>
      <c r="AF950" s="151">
        <v>0</v>
      </c>
      <c r="AG950" s="151">
        <v>0</v>
      </c>
      <c r="AH950" s="151">
        <v>0</v>
      </c>
      <c r="AI950" s="151">
        <v>0</v>
      </c>
      <c r="AJ950" s="151">
        <v>0</v>
      </c>
    </row>
    <row r="951" spans="1:36" x14ac:dyDescent="0.25">
      <c r="A951" s="68" t="s">
        <v>837</v>
      </c>
      <c r="B951" s="68" t="s">
        <v>1480</v>
      </c>
      <c r="C951" s="146">
        <v>45460</v>
      </c>
      <c r="D951" s="141">
        <v>45468</v>
      </c>
      <c r="E951">
        <f>Tabela4[[#This Row],[DATA FATURAMENTO]]-Tabela4[[#This Row],[DATA ORÇAMENTO]]</f>
        <v>8</v>
      </c>
      <c r="F951" s="68">
        <v>11806</v>
      </c>
      <c r="G951" s="15" t="s">
        <v>22</v>
      </c>
      <c r="H951" s="25"/>
      <c r="I951" s="151">
        <v>580</v>
      </c>
      <c r="J951" s="151">
        <f t="shared" si="2"/>
        <v>0</v>
      </c>
      <c r="K951" s="158">
        <v>580</v>
      </c>
      <c r="L951" s="151">
        <v>0</v>
      </c>
      <c r="M951" s="151">
        <v>0</v>
      </c>
      <c r="N951" s="24"/>
      <c r="O951" s="151">
        <v>0</v>
      </c>
      <c r="P951" s="151">
        <v>0</v>
      </c>
      <c r="Q951" s="151">
        <v>0</v>
      </c>
      <c r="R951" s="151">
        <v>0</v>
      </c>
      <c r="S951" s="154">
        <v>110</v>
      </c>
      <c r="T951" s="151">
        <v>0</v>
      </c>
      <c r="U951" s="151">
        <v>0</v>
      </c>
      <c r="V951" s="15"/>
      <c r="W951" s="22">
        <v>5</v>
      </c>
      <c r="X951" s="149">
        <v>60</v>
      </c>
      <c r="Y951" s="15" t="s">
        <v>1344</v>
      </c>
      <c r="Z951" s="151">
        <v>0</v>
      </c>
      <c r="AA951" s="149">
        <f>Tabela4[[#This Row],[VALOR]]-Tabela4[[#This Row],[PNEUS]]-Tabela4[[#This Row],[BATERIA]]</f>
        <v>580</v>
      </c>
      <c r="AB951" s="19" t="s">
        <v>27</v>
      </c>
      <c r="AC951" s="30">
        <v>0</v>
      </c>
      <c r="AD951" s="162">
        <v>0</v>
      </c>
      <c r="AE951" s="151">
        <v>0</v>
      </c>
      <c r="AF951" s="151">
        <v>0</v>
      </c>
      <c r="AG951" s="151">
        <f>28+122+20</f>
        <v>170</v>
      </c>
      <c r="AH951" s="151">
        <v>110</v>
      </c>
      <c r="AI951" s="151">
        <v>300</v>
      </c>
      <c r="AJ951" s="151">
        <v>0</v>
      </c>
    </row>
    <row r="952" spans="1:36" x14ac:dyDescent="0.25">
      <c r="A952" s="68" t="s">
        <v>1481</v>
      </c>
      <c r="B952" s="68" t="s">
        <v>1482</v>
      </c>
      <c r="C952" s="146">
        <v>45460</v>
      </c>
      <c r="D952" s="141">
        <v>45468</v>
      </c>
      <c r="E952">
        <f>Tabela4[[#This Row],[DATA FATURAMENTO]]-Tabela4[[#This Row],[DATA ORÇAMENTO]]</f>
        <v>8</v>
      </c>
      <c r="F952" s="68">
        <v>11813</v>
      </c>
      <c r="G952" s="15" t="s">
        <v>22</v>
      </c>
      <c r="H952" s="25"/>
      <c r="I952" s="151">
        <v>0.01</v>
      </c>
      <c r="J952" s="151">
        <f t="shared" si="2"/>
        <v>0.01</v>
      </c>
      <c r="K952" s="158">
        <v>0.02</v>
      </c>
      <c r="L952" s="151">
        <v>0</v>
      </c>
      <c r="M952" s="151">
        <v>0</v>
      </c>
      <c r="N952" s="24"/>
      <c r="O952" s="151">
        <v>0</v>
      </c>
      <c r="P952" s="151">
        <v>0</v>
      </c>
      <c r="Q952" s="151">
        <v>0</v>
      </c>
      <c r="R952" s="151">
        <v>0</v>
      </c>
      <c r="S952" s="154">
        <v>0</v>
      </c>
      <c r="T952" s="151">
        <v>0</v>
      </c>
      <c r="U952" s="151">
        <v>0</v>
      </c>
      <c r="V952" s="15"/>
      <c r="W952" s="22">
        <v>0</v>
      </c>
      <c r="X952" s="149">
        <v>0</v>
      </c>
      <c r="Y952" s="15"/>
      <c r="Z952" s="151">
        <v>0</v>
      </c>
      <c r="AA952" s="149">
        <f>Tabela4[[#This Row],[VALOR]]-Tabela4[[#This Row],[PNEUS]]-Tabela4[[#This Row],[BATERIA]]</f>
        <v>0.02</v>
      </c>
      <c r="AB952" s="19" t="s">
        <v>27</v>
      </c>
      <c r="AC952" s="30">
        <v>0</v>
      </c>
      <c r="AD952" s="162">
        <v>0</v>
      </c>
      <c r="AE952" s="151">
        <v>0</v>
      </c>
      <c r="AF952" s="151">
        <v>0</v>
      </c>
      <c r="AG952" s="151">
        <v>0</v>
      </c>
      <c r="AH952" s="151">
        <v>0</v>
      </c>
      <c r="AI952" s="151">
        <v>0</v>
      </c>
      <c r="AJ952" s="151">
        <v>0</v>
      </c>
    </row>
    <row r="953" spans="1:36" x14ac:dyDescent="0.25">
      <c r="A953" s="68" t="s">
        <v>829</v>
      </c>
      <c r="B953" s="68" t="s">
        <v>1086</v>
      </c>
      <c r="C953" s="146">
        <v>45463</v>
      </c>
      <c r="D953" s="141">
        <v>45468</v>
      </c>
      <c r="E953">
        <f>Tabela4[[#This Row],[DATA FATURAMENTO]]-Tabela4[[#This Row],[DATA ORÇAMENTO]]</f>
        <v>5</v>
      </c>
      <c r="F953" s="68">
        <v>11851</v>
      </c>
      <c r="G953" s="15" t="s">
        <v>39</v>
      </c>
      <c r="H953" s="25" t="s">
        <v>44</v>
      </c>
      <c r="I953" s="151">
        <v>0</v>
      </c>
      <c r="J953" s="151">
        <f t="shared" si="2"/>
        <v>120.01</v>
      </c>
      <c r="K953" s="158">
        <v>120.01</v>
      </c>
      <c r="L953" s="151">
        <v>0</v>
      </c>
      <c r="M953" s="151">
        <v>0</v>
      </c>
      <c r="N953" s="24"/>
      <c r="O953" s="151">
        <v>0</v>
      </c>
      <c r="P953" s="151">
        <v>0</v>
      </c>
      <c r="Q953" s="151">
        <v>0</v>
      </c>
      <c r="R953" s="151">
        <v>0</v>
      </c>
      <c r="S953" s="154">
        <v>0</v>
      </c>
      <c r="T953" s="151">
        <v>0</v>
      </c>
      <c r="U953" s="151">
        <v>0</v>
      </c>
      <c r="V953" s="15"/>
      <c r="W953" s="22">
        <v>0</v>
      </c>
      <c r="X953" s="149">
        <v>0</v>
      </c>
      <c r="Y953" s="15"/>
      <c r="Z953" s="151">
        <v>0</v>
      </c>
      <c r="AA953" s="149">
        <f>Tabela4[[#This Row],[VALOR]]-Tabela4[[#This Row],[PNEUS]]-Tabela4[[#This Row],[BATERIA]]</f>
        <v>120.01</v>
      </c>
      <c r="AB953" s="19" t="s">
        <v>24</v>
      </c>
      <c r="AC953" s="30">
        <v>0</v>
      </c>
      <c r="AD953" s="162">
        <v>0</v>
      </c>
      <c r="AE953" s="151">
        <v>120.01</v>
      </c>
      <c r="AF953" s="151">
        <v>0</v>
      </c>
      <c r="AG953" s="151">
        <v>0</v>
      </c>
      <c r="AH953" s="151">
        <v>0</v>
      </c>
      <c r="AI953" s="151">
        <v>0</v>
      </c>
      <c r="AJ953" s="151">
        <v>0</v>
      </c>
    </row>
    <row r="954" spans="1:36" x14ac:dyDescent="0.25">
      <c r="A954" s="68" t="s">
        <v>1483</v>
      </c>
      <c r="B954" s="68" t="s">
        <v>1391</v>
      </c>
      <c r="C954" s="146">
        <v>45464</v>
      </c>
      <c r="D954" s="141">
        <v>45468</v>
      </c>
      <c r="E954">
        <f>Tabela4[[#This Row],[DATA FATURAMENTO]]-Tabela4[[#This Row],[DATA ORÇAMENTO]]</f>
        <v>4</v>
      </c>
      <c r="F954" s="68">
        <v>11873</v>
      </c>
      <c r="G954" s="15" t="s">
        <v>35</v>
      </c>
      <c r="H954" s="25"/>
      <c r="I954" s="151">
        <v>1518.2</v>
      </c>
      <c r="J954" s="151">
        <f t="shared" si="2"/>
        <v>1041.8</v>
      </c>
      <c r="K954" s="158">
        <v>2560</v>
      </c>
      <c r="L954" s="151">
        <v>0</v>
      </c>
      <c r="M954" s="151">
        <v>0</v>
      </c>
      <c r="N954" s="24"/>
      <c r="O954" s="151">
        <v>220</v>
      </c>
      <c r="P954" s="151">
        <v>96</v>
      </c>
      <c r="Q954" s="151">
        <v>176.8</v>
      </c>
      <c r="R954" s="151">
        <v>0</v>
      </c>
      <c r="S954" s="154">
        <v>0</v>
      </c>
      <c r="T954" s="151">
        <v>0</v>
      </c>
      <c r="U954" s="151">
        <v>0</v>
      </c>
      <c r="V954" s="15"/>
      <c r="W954" s="22">
        <v>4</v>
      </c>
      <c r="X954" s="149">
        <v>54.8</v>
      </c>
      <c r="Y954" s="15" t="s">
        <v>635</v>
      </c>
      <c r="Z954" s="151">
        <v>0</v>
      </c>
      <c r="AA954" s="149">
        <f>Tabela4[[#This Row],[VALOR]]-Tabela4[[#This Row],[PNEUS]]-Tabela4[[#This Row],[BATERIA]]</f>
        <v>2560</v>
      </c>
      <c r="AB954" s="19" t="s">
        <v>27</v>
      </c>
      <c r="AC954" s="30">
        <v>0</v>
      </c>
      <c r="AD954" s="151">
        <f>208.8+157+176.8+220</f>
        <v>762.6</v>
      </c>
      <c r="AE954" s="151">
        <v>0</v>
      </c>
      <c r="AF954" s="151">
        <v>0</v>
      </c>
      <c r="AG954" s="151">
        <f>47+28.5+28.7+770+79.4+34+6.6+390</f>
        <v>1384.2</v>
      </c>
      <c r="AH954" s="151">
        <v>96</v>
      </c>
      <c r="AI954" s="151">
        <v>219.2</v>
      </c>
      <c r="AJ954" s="151">
        <v>0</v>
      </c>
    </row>
    <row r="955" spans="1:36" x14ac:dyDescent="0.25">
      <c r="A955" s="68" t="s">
        <v>1484</v>
      </c>
      <c r="B955" s="68" t="s">
        <v>1485</v>
      </c>
      <c r="C955" s="146">
        <v>45467</v>
      </c>
      <c r="D955" s="141">
        <v>45468</v>
      </c>
      <c r="E955">
        <f>Tabela4[[#This Row],[DATA FATURAMENTO]]-Tabela4[[#This Row],[DATA ORÇAMENTO]]</f>
        <v>1</v>
      </c>
      <c r="F955" s="68">
        <v>11896</v>
      </c>
      <c r="G955" s="15" t="s">
        <v>22</v>
      </c>
      <c r="H955" s="25"/>
      <c r="I955" s="151">
        <v>534.6</v>
      </c>
      <c r="J955" s="151">
        <f t="shared" si="2"/>
        <v>465.4</v>
      </c>
      <c r="K955" s="158">
        <v>1000</v>
      </c>
      <c r="L955" s="151">
        <v>0</v>
      </c>
      <c r="M955" s="151">
        <v>0</v>
      </c>
      <c r="N955" s="24"/>
      <c r="O955" s="151">
        <v>170</v>
      </c>
      <c r="P955" s="151">
        <v>0</v>
      </c>
      <c r="Q955" s="151">
        <v>0</v>
      </c>
      <c r="R955" s="151">
        <v>0</v>
      </c>
      <c r="S955" s="154">
        <v>0</v>
      </c>
      <c r="T955" s="151">
        <v>0</v>
      </c>
      <c r="U955" s="151">
        <v>0</v>
      </c>
      <c r="V955" s="15"/>
      <c r="W955" s="22">
        <v>0</v>
      </c>
      <c r="X955" s="149">
        <v>0</v>
      </c>
      <c r="Y955" s="15"/>
      <c r="Z955" s="151">
        <v>0</v>
      </c>
      <c r="AA955" s="149">
        <f>Tabela4[[#This Row],[VALOR]]-Tabela4[[#This Row],[PNEUS]]-Tabela4[[#This Row],[BATERIA]]</f>
        <v>1000</v>
      </c>
      <c r="AB955" s="19" t="s">
        <v>36</v>
      </c>
      <c r="AC955" s="19">
        <v>1000</v>
      </c>
      <c r="AD955" s="151">
        <f>534.6+465.4</f>
        <v>1000</v>
      </c>
      <c r="AE955" s="151">
        <v>0</v>
      </c>
      <c r="AF955" s="151">
        <v>0</v>
      </c>
      <c r="AG955" s="151">
        <v>0</v>
      </c>
      <c r="AH955" s="151">
        <v>0</v>
      </c>
      <c r="AI955" s="151">
        <v>0</v>
      </c>
      <c r="AJ955" s="151">
        <v>0</v>
      </c>
    </row>
    <row r="956" spans="1:36" x14ac:dyDescent="0.25">
      <c r="A956" s="68" t="s">
        <v>738</v>
      </c>
      <c r="B956" s="68" t="s">
        <v>1482</v>
      </c>
      <c r="C956" s="146">
        <v>45463</v>
      </c>
      <c r="D956" s="141">
        <v>45469</v>
      </c>
      <c r="E956">
        <f>Tabela4[[#This Row],[DATA FATURAMENTO]]-Tabela4[[#This Row],[DATA ORÇAMENTO]]</f>
        <v>6</v>
      </c>
      <c r="F956" s="68">
        <v>11852</v>
      </c>
      <c r="G956" s="15" t="s">
        <v>37</v>
      </c>
      <c r="H956" s="25"/>
      <c r="I956" s="151">
        <v>589.30999999999995</v>
      </c>
      <c r="J956" s="151">
        <f t="shared" si="2"/>
        <v>222</v>
      </c>
      <c r="K956" s="158">
        <v>811.31</v>
      </c>
      <c r="L956" s="151">
        <v>0</v>
      </c>
      <c r="M956" s="151">
        <v>0</v>
      </c>
      <c r="N956" s="24"/>
      <c r="O956" s="151">
        <v>0</v>
      </c>
      <c r="P956" s="151">
        <v>0</v>
      </c>
      <c r="Q956" s="151">
        <v>0</v>
      </c>
      <c r="R956" s="151">
        <v>0</v>
      </c>
      <c r="S956" s="154">
        <v>0</v>
      </c>
      <c r="T956" s="151">
        <v>0</v>
      </c>
      <c r="U956" s="151">
        <v>0</v>
      </c>
      <c r="V956" s="15"/>
      <c r="W956" s="22">
        <v>0</v>
      </c>
      <c r="X956" s="149">
        <v>0</v>
      </c>
      <c r="Y956" s="15"/>
      <c r="Z956" s="151">
        <v>0</v>
      </c>
      <c r="AA956" s="149">
        <f>Tabela4[[#This Row],[VALOR]]-Tabela4[[#This Row],[PNEUS]]-Tabela4[[#This Row],[BATERIA]]</f>
        <v>811.31</v>
      </c>
      <c r="AB956" s="19" t="s">
        <v>36</v>
      </c>
      <c r="AC956" s="30">
        <v>0</v>
      </c>
      <c r="AD956" s="151">
        <f>589.31+42</f>
        <v>631.30999999999995</v>
      </c>
      <c r="AE956" s="151">
        <v>0</v>
      </c>
      <c r="AF956" s="151">
        <v>180</v>
      </c>
      <c r="AG956" s="151">
        <v>0</v>
      </c>
      <c r="AH956" s="151">
        <v>0</v>
      </c>
      <c r="AI956" s="151">
        <v>0</v>
      </c>
      <c r="AJ956" s="151">
        <v>0</v>
      </c>
    </row>
    <row r="957" spans="1:36" x14ac:dyDescent="0.25">
      <c r="A957" s="68" t="s">
        <v>1486</v>
      </c>
      <c r="B957" s="68" t="s">
        <v>1306</v>
      </c>
      <c r="C957" s="146">
        <v>45469</v>
      </c>
      <c r="D957" s="141">
        <v>45469</v>
      </c>
      <c r="E957">
        <f>Tabela4[[#This Row],[DATA FATURAMENTO]]-Tabela4[[#This Row],[DATA ORÇAMENTO]]</f>
        <v>0</v>
      </c>
      <c r="F957" s="68">
        <v>11901</v>
      </c>
      <c r="G957" s="15" t="s">
        <v>31</v>
      </c>
      <c r="H957" s="25"/>
      <c r="I957" s="151">
        <v>272</v>
      </c>
      <c r="J957" s="151">
        <f t="shared" si="2"/>
        <v>108</v>
      </c>
      <c r="K957" s="158">
        <v>380</v>
      </c>
      <c r="L957" s="151">
        <v>0</v>
      </c>
      <c r="M957" s="151">
        <v>0</v>
      </c>
      <c r="N957" s="24"/>
      <c r="O957" s="151">
        <v>0</v>
      </c>
      <c r="P957" s="151">
        <v>0</v>
      </c>
      <c r="Q957" s="151">
        <v>0</v>
      </c>
      <c r="R957" s="151">
        <v>0</v>
      </c>
      <c r="S957" s="154">
        <v>0</v>
      </c>
      <c r="T957" s="151">
        <v>0</v>
      </c>
      <c r="U957" s="151">
        <v>0</v>
      </c>
      <c r="V957" s="15"/>
      <c r="W957" s="22">
        <v>0</v>
      </c>
      <c r="X957" s="149">
        <v>0</v>
      </c>
      <c r="Y957" s="15"/>
      <c r="Z957" s="151">
        <v>0</v>
      </c>
      <c r="AA957" s="149">
        <f>Tabela4[[#This Row],[VALOR]]-Tabela4[[#This Row],[PNEUS]]-Tabela4[[#This Row],[BATERIA]]</f>
        <v>380</v>
      </c>
      <c r="AB957" s="19" t="s">
        <v>27</v>
      </c>
      <c r="AC957" s="30">
        <v>0</v>
      </c>
      <c r="AD957" s="151">
        <v>380</v>
      </c>
      <c r="AE957" s="151">
        <v>0</v>
      </c>
      <c r="AF957" s="151">
        <v>0</v>
      </c>
      <c r="AG957" s="151">
        <v>0</v>
      </c>
      <c r="AH957" s="151">
        <v>0</v>
      </c>
      <c r="AI957" s="151">
        <v>0</v>
      </c>
      <c r="AJ957" s="151">
        <v>0</v>
      </c>
    </row>
    <row r="958" spans="1:36" x14ac:dyDescent="0.25">
      <c r="A958" s="68" t="s">
        <v>1487</v>
      </c>
      <c r="B958" s="68" t="s">
        <v>951</v>
      </c>
      <c r="C958" s="146">
        <v>45469</v>
      </c>
      <c r="D958" s="141">
        <v>45469</v>
      </c>
      <c r="E958">
        <f>Tabela4[[#This Row],[DATA FATURAMENTO]]-Tabela4[[#This Row],[DATA ORÇAMENTO]]</f>
        <v>0</v>
      </c>
      <c r="F958" s="68">
        <v>11909</v>
      </c>
      <c r="G958" s="15" t="s">
        <v>22</v>
      </c>
      <c r="H958" s="25"/>
      <c r="I958" s="151">
        <v>0</v>
      </c>
      <c r="J958" s="151">
        <f t="shared" si="2"/>
        <v>77.760000000000005</v>
      </c>
      <c r="K958" s="158">
        <v>77.760000000000005</v>
      </c>
      <c r="L958" s="151">
        <v>0</v>
      </c>
      <c r="M958" s="151">
        <v>0</v>
      </c>
      <c r="N958" s="24"/>
      <c r="O958" s="151">
        <v>0</v>
      </c>
      <c r="P958" s="151">
        <v>0</v>
      </c>
      <c r="Q958" s="151">
        <v>0</v>
      </c>
      <c r="R958" s="151">
        <v>0</v>
      </c>
      <c r="S958" s="154">
        <v>0</v>
      </c>
      <c r="T958" s="151">
        <v>0</v>
      </c>
      <c r="U958" s="151">
        <v>0</v>
      </c>
      <c r="V958" s="15"/>
      <c r="W958" s="22">
        <v>0</v>
      </c>
      <c r="X958" s="149">
        <v>0</v>
      </c>
      <c r="Y958" s="15"/>
      <c r="Z958" s="151">
        <v>0</v>
      </c>
      <c r="AA958" s="149">
        <f>Tabela4[[#This Row],[VALOR]]-Tabela4[[#This Row],[PNEUS]]-Tabela4[[#This Row],[BATERIA]]</f>
        <v>77.760000000000005</v>
      </c>
      <c r="AB958" s="19" t="s">
        <v>34</v>
      </c>
      <c r="AC958" s="30">
        <v>0</v>
      </c>
      <c r="AD958" s="162">
        <v>0</v>
      </c>
      <c r="AE958" s="151">
        <v>77.760000000000005</v>
      </c>
      <c r="AF958" s="151">
        <v>0</v>
      </c>
      <c r="AG958" s="151">
        <v>0</v>
      </c>
      <c r="AH958" s="151">
        <v>0</v>
      </c>
      <c r="AI958" s="151">
        <v>0</v>
      </c>
      <c r="AJ958" s="151">
        <v>0</v>
      </c>
    </row>
    <row r="959" spans="1:36" x14ac:dyDescent="0.25">
      <c r="A959" s="68" t="s">
        <v>1232</v>
      </c>
      <c r="B959" s="68" t="s">
        <v>905</v>
      </c>
      <c r="C959" s="146">
        <v>45470</v>
      </c>
      <c r="D959" s="141">
        <v>45470</v>
      </c>
      <c r="E959">
        <f>Tabela4[[#This Row],[DATA FATURAMENTO]]-Tabela4[[#This Row],[DATA ORÇAMENTO]]</f>
        <v>0</v>
      </c>
      <c r="F959" s="68">
        <v>11928</v>
      </c>
      <c r="G959" s="15" t="s">
        <v>22</v>
      </c>
      <c r="H959" s="25"/>
      <c r="I959" s="151">
        <v>184.4</v>
      </c>
      <c r="J959" s="151">
        <f t="shared" si="2"/>
        <v>265.60000000000002</v>
      </c>
      <c r="K959" s="158">
        <v>450</v>
      </c>
      <c r="L959" s="151">
        <v>0</v>
      </c>
      <c r="M959" s="151">
        <v>0</v>
      </c>
      <c r="N959" s="24"/>
      <c r="O959" s="151">
        <v>0</v>
      </c>
      <c r="P959" s="151">
        <v>0</v>
      </c>
      <c r="Q959" s="151">
        <v>0</v>
      </c>
      <c r="R959" s="151">
        <v>0</v>
      </c>
      <c r="S959" s="154">
        <v>0</v>
      </c>
      <c r="T959" s="151">
        <v>0</v>
      </c>
      <c r="U959" s="151">
        <v>0</v>
      </c>
      <c r="V959" s="15"/>
      <c r="W959" s="22">
        <v>0</v>
      </c>
      <c r="X959" s="149">
        <v>0</v>
      </c>
      <c r="Y959" s="15"/>
      <c r="Z959" s="151">
        <v>0</v>
      </c>
      <c r="AA959" s="149">
        <f>Tabela4[[#This Row],[VALOR]]-Tabela4[[#This Row],[PNEUS]]-Tabela4[[#This Row],[BATERIA]]</f>
        <v>450</v>
      </c>
      <c r="AB959" s="19" t="s">
        <v>36</v>
      </c>
      <c r="AC959" s="30">
        <v>0</v>
      </c>
      <c r="AD959" s="162">
        <v>0</v>
      </c>
      <c r="AE959" s="151">
        <v>0</v>
      </c>
      <c r="AF959" s="151">
        <v>0</v>
      </c>
      <c r="AG959" s="151">
        <v>450</v>
      </c>
      <c r="AH959" s="151">
        <v>0</v>
      </c>
      <c r="AI959" s="151">
        <v>0</v>
      </c>
      <c r="AJ959" s="151">
        <v>0</v>
      </c>
    </row>
    <row r="960" spans="1:36" x14ac:dyDescent="0.25">
      <c r="A960" s="68" t="s">
        <v>1488</v>
      </c>
      <c r="B960" s="68" t="s">
        <v>1427</v>
      </c>
      <c r="C960" s="146">
        <v>45467</v>
      </c>
      <c r="D960" s="141">
        <v>45470</v>
      </c>
      <c r="E960">
        <f>Tabela4[[#This Row],[DATA FATURAMENTO]]-Tabela4[[#This Row],[DATA ORÇAMENTO]]</f>
        <v>3</v>
      </c>
      <c r="F960" s="68">
        <v>11884</v>
      </c>
      <c r="G960" s="15" t="s">
        <v>35</v>
      </c>
      <c r="H960" s="25"/>
      <c r="I960" s="151">
        <v>680</v>
      </c>
      <c r="J960" s="151">
        <f t="shared" si="2"/>
        <v>170</v>
      </c>
      <c r="K960" s="158">
        <v>850</v>
      </c>
      <c r="L960" s="151">
        <v>0</v>
      </c>
      <c r="M960" s="151">
        <v>0</v>
      </c>
      <c r="N960" s="24"/>
      <c r="O960" s="151">
        <v>0</v>
      </c>
      <c r="P960" s="151">
        <v>0</v>
      </c>
      <c r="Q960" s="151">
        <v>0</v>
      </c>
      <c r="R960" s="151">
        <v>0</v>
      </c>
      <c r="S960" s="154">
        <v>0</v>
      </c>
      <c r="T960" s="151">
        <v>0</v>
      </c>
      <c r="U960" s="151">
        <v>0</v>
      </c>
      <c r="V960" s="15"/>
      <c r="W960" s="22">
        <v>0</v>
      </c>
      <c r="X960" s="149">
        <v>0</v>
      </c>
      <c r="Y960" s="15"/>
      <c r="Z960" s="151">
        <v>0</v>
      </c>
      <c r="AA960" s="149">
        <f>Tabela4[[#This Row],[VALOR]]-Tabela4[[#This Row],[PNEUS]]-Tabela4[[#This Row],[BATERIA]]</f>
        <v>850</v>
      </c>
      <c r="AB960" s="19" t="s">
        <v>34</v>
      </c>
      <c r="AC960" s="30">
        <v>0</v>
      </c>
      <c r="AD960" s="162">
        <v>0</v>
      </c>
      <c r="AE960" s="151">
        <v>0</v>
      </c>
      <c r="AF960" s="151">
        <v>850</v>
      </c>
      <c r="AG960" s="151">
        <v>0</v>
      </c>
      <c r="AH960" s="151">
        <v>0</v>
      </c>
      <c r="AI960" s="151">
        <v>0</v>
      </c>
      <c r="AJ960" s="151">
        <v>0</v>
      </c>
    </row>
    <row r="961" spans="1:36" x14ac:dyDescent="0.25">
      <c r="A961" s="68" t="s">
        <v>1489</v>
      </c>
      <c r="B961" s="68" t="s">
        <v>1054</v>
      </c>
      <c r="C961" s="146">
        <v>45467</v>
      </c>
      <c r="D961" s="141">
        <v>45470</v>
      </c>
      <c r="E961">
        <f>Tabela4[[#This Row],[DATA FATURAMENTO]]-Tabela4[[#This Row],[DATA ORÇAMENTO]]</f>
        <v>3</v>
      </c>
      <c r="F961" s="68">
        <v>11889</v>
      </c>
      <c r="G961" s="15" t="s">
        <v>22</v>
      </c>
      <c r="H961" s="25"/>
      <c r="I961" s="151">
        <v>3244.4</v>
      </c>
      <c r="J961" s="151">
        <f t="shared" si="2"/>
        <v>755.59999999999991</v>
      </c>
      <c r="K961" s="158">
        <v>4000</v>
      </c>
      <c r="L961" s="151">
        <v>0</v>
      </c>
      <c r="M961" s="151">
        <v>0</v>
      </c>
      <c r="N961" s="24"/>
      <c r="O961" s="151">
        <v>0</v>
      </c>
      <c r="P961" s="151">
        <v>0</v>
      </c>
      <c r="Q961" s="151">
        <v>0</v>
      </c>
      <c r="R961" s="151">
        <v>0</v>
      </c>
      <c r="S961" s="154">
        <v>0</v>
      </c>
      <c r="T961" s="151">
        <v>0</v>
      </c>
      <c r="U961" s="151">
        <v>0</v>
      </c>
      <c r="V961" s="15"/>
      <c r="W961" s="22">
        <v>0</v>
      </c>
      <c r="X961" s="149">
        <v>0</v>
      </c>
      <c r="Y961" s="15"/>
      <c r="Z961" s="151">
        <v>0</v>
      </c>
      <c r="AA961" s="149">
        <f>Tabela4[[#This Row],[VALOR]]-Tabela4[[#This Row],[PNEUS]]-Tabela4[[#This Row],[BATERIA]]</f>
        <v>4000</v>
      </c>
      <c r="AB961" s="19" t="s">
        <v>32</v>
      </c>
      <c r="AC961" s="30">
        <v>0</v>
      </c>
      <c r="AD961" s="162">
        <v>0</v>
      </c>
      <c r="AE961" s="151">
        <v>0</v>
      </c>
      <c r="AF961" s="151">
        <v>4000</v>
      </c>
      <c r="AG961" s="151">
        <v>0</v>
      </c>
      <c r="AH961" s="151">
        <v>0</v>
      </c>
      <c r="AI961" s="151">
        <v>0</v>
      </c>
      <c r="AJ961" s="151">
        <v>0</v>
      </c>
    </row>
    <row r="962" spans="1:36" x14ac:dyDescent="0.25">
      <c r="A962" s="68" t="s">
        <v>1490</v>
      </c>
      <c r="B962" s="68" t="s">
        <v>914</v>
      </c>
      <c r="C962" s="146">
        <v>45469</v>
      </c>
      <c r="D962" s="141">
        <v>45470</v>
      </c>
      <c r="E962">
        <f>Tabela4[[#This Row],[DATA FATURAMENTO]]-Tabela4[[#This Row],[DATA ORÇAMENTO]]</f>
        <v>1</v>
      </c>
      <c r="F962" s="68">
        <v>11906</v>
      </c>
      <c r="G962" s="15" t="s">
        <v>22</v>
      </c>
      <c r="H962" s="25"/>
      <c r="I962" s="151">
        <v>1205.0999999999999</v>
      </c>
      <c r="J962" s="151">
        <f t="shared" si="2"/>
        <v>568</v>
      </c>
      <c r="K962" s="158">
        <v>1773.1</v>
      </c>
      <c r="L962" s="151">
        <v>0</v>
      </c>
      <c r="M962" s="151">
        <v>0</v>
      </c>
      <c r="N962" s="24"/>
      <c r="O962" s="151">
        <v>0</v>
      </c>
      <c r="P962" s="151">
        <v>0</v>
      </c>
      <c r="Q962" s="151">
        <v>0</v>
      </c>
      <c r="R962" s="151">
        <v>0</v>
      </c>
      <c r="S962" s="154">
        <v>0</v>
      </c>
      <c r="T962" s="151">
        <v>0</v>
      </c>
      <c r="U962" s="151">
        <v>535</v>
      </c>
      <c r="V962" s="15" t="s">
        <v>1287</v>
      </c>
      <c r="W962" s="22">
        <v>0</v>
      </c>
      <c r="X962" s="149">
        <v>0</v>
      </c>
      <c r="Y962" s="15"/>
      <c r="Z962" s="151">
        <v>0</v>
      </c>
      <c r="AA962" s="149">
        <f>Tabela4[[#This Row],[VALOR]]-Tabela4[[#This Row],[PNEUS]]-Tabela4[[#This Row],[BATERIA]]</f>
        <v>1238.0999999999999</v>
      </c>
      <c r="AB962" s="19" t="s">
        <v>24</v>
      </c>
      <c r="AC962" s="30">
        <v>0</v>
      </c>
      <c r="AD962" s="162">
        <v>0</v>
      </c>
      <c r="AE962" s="151">
        <v>0</v>
      </c>
      <c r="AF962" s="151">
        <f>137.7+480+88+192.4+340</f>
        <v>1238.0999999999999</v>
      </c>
      <c r="AG962" s="151">
        <v>0</v>
      </c>
      <c r="AH962" s="151">
        <v>0</v>
      </c>
      <c r="AI962" s="151">
        <v>0</v>
      </c>
      <c r="AJ962" s="151">
        <v>0</v>
      </c>
    </row>
    <row r="963" spans="1:36" x14ac:dyDescent="0.25">
      <c r="A963" s="68" t="s">
        <v>1491</v>
      </c>
      <c r="B963" s="68" t="s">
        <v>999</v>
      </c>
      <c r="C963" s="146">
        <v>45469</v>
      </c>
      <c r="D963" s="141">
        <v>45470</v>
      </c>
      <c r="E963">
        <f>Tabela4[[#This Row],[DATA FATURAMENTO]]-Tabela4[[#This Row],[DATA ORÇAMENTO]]</f>
        <v>1</v>
      </c>
      <c r="F963" s="68">
        <v>11907</v>
      </c>
      <c r="G963" s="15" t="s">
        <v>22</v>
      </c>
      <c r="H963" s="25"/>
      <c r="I963" s="151">
        <v>1603.5</v>
      </c>
      <c r="J963" s="151">
        <f t="shared" si="2"/>
        <v>996.5</v>
      </c>
      <c r="K963" s="158">
        <v>2600</v>
      </c>
      <c r="L963" s="151">
        <v>0</v>
      </c>
      <c r="M963" s="151">
        <v>0</v>
      </c>
      <c r="N963" s="24"/>
      <c r="O963" s="151">
        <v>0</v>
      </c>
      <c r="P963" s="151">
        <v>0</v>
      </c>
      <c r="Q963" s="151">
        <v>0</v>
      </c>
      <c r="R963" s="151">
        <v>0</v>
      </c>
      <c r="S963" s="154">
        <v>240</v>
      </c>
      <c r="T963" s="151">
        <v>0</v>
      </c>
      <c r="U963" s="151">
        <v>535</v>
      </c>
      <c r="V963" s="15" t="s">
        <v>1287</v>
      </c>
      <c r="W963" s="22">
        <v>3</v>
      </c>
      <c r="X963" s="149">
        <v>64.8</v>
      </c>
      <c r="Y963" s="15" t="s">
        <v>1344</v>
      </c>
      <c r="Z963" s="151">
        <v>0</v>
      </c>
      <c r="AA963" s="149">
        <f>Tabela4[[#This Row],[VALOR]]-Tabela4[[#This Row],[PNEUS]]-Tabela4[[#This Row],[BATERIA]]</f>
        <v>2065</v>
      </c>
      <c r="AB963" s="19" t="s">
        <v>27</v>
      </c>
      <c r="AC963" s="30">
        <v>0</v>
      </c>
      <c r="AD963" s="162">
        <v>0</v>
      </c>
      <c r="AE963" s="151">
        <v>0</v>
      </c>
      <c r="AF963" s="151">
        <f>699.2+270+486.5</f>
        <v>1455.7</v>
      </c>
      <c r="AG963" s="151">
        <f>42.9+58+54+20</f>
        <v>174.9</v>
      </c>
      <c r="AH963" s="151">
        <v>240</v>
      </c>
      <c r="AI963" s="151">
        <v>194.4</v>
      </c>
      <c r="AJ963" s="151">
        <v>0</v>
      </c>
    </row>
    <row r="964" spans="1:36" x14ac:dyDescent="0.25">
      <c r="A964" s="68" t="s">
        <v>534</v>
      </c>
      <c r="B964" s="68" t="s">
        <v>1128</v>
      </c>
      <c r="C964" s="146">
        <v>45470</v>
      </c>
      <c r="D964" s="141">
        <v>45470</v>
      </c>
      <c r="E964">
        <f>Tabela4[[#This Row],[DATA FATURAMENTO]]-Tabela4[[#This Row],[DATA ORÇAMENTO]]</f>
        <v>0</v>
      </c>
      <c r="F964" s="68">
        <v>11911</v>
      </c>
      <c r="G964" s="15" t="s">
        <v>31</v>
      </c>
      <c r="H964" s="25"/>
      <c r="I964" s="151">
        <v>470</v>
      </c>
      <c r="J964" s="151">
        <f t="shared" si="2"/>
        <v>0</v>
      </c>
      <c r="K964" s="158">
        <v>470</v>
      </c>
      <c r="L964" s="151">
        <v>0</v>
      </c>
      <c r="M964" s="151">
        <v>0</v>
      </c>
      <c r="N964" s="24"/>
      <c r="O964" s="151">
        <v>0</v>
      </c>
      <c r="P964" s="151">
        <v>0</v>
      </c>
      <c r="Q964" s="151">
        <v>0</v>
      </c>
      <c r="R964" s="151">
        <v>0</v>
      </c>
      <c r="S964" s="154">
        <v>0</v>
      </c>
      <c r="T964" s="151">
        <v>0</v>
      </c>
      <c r="U964" s="151">
        <v>0</v>
      </c>
      <c r="V964" s="15"/>
      <c r="W964" s="22">
        <v>4</v>
      </c>
      <c r="X964" s="149">
        <v>78.8</v>
      </c>
      <c r="Y964" s="15" t="s">
        <v>1251</v>
      </c>
      <c r="Z964" s="151">
        <v>0</v>
      </c>
      <c r="AA964" s="149">
        <f>Tabela4[[#This Row],[VALOR]]-Tabela4[[#This Row],[PNEUS]]-Tabela4[[#This Row],[BATERIA]]</f>
        <v>470</v>
      </c>
      <c r="AB964" s="19" t="s">
        <v>32</v>
      </c>
      <c r="AC964" s="30">
        <v>0</v>
      </c>
      <c r="AD964" s="162">
        <v>0</v>
      </c>
      <c r="AE964" s="151">
        <v>0</v>
      </c>
      <c r="AF964" s="151">
        <v>0</v>
      </c>
      <c r="AG964" s="151">
        <f>25.9+122+6.9</f>
        <v>154.80000000000001</v>
      </c>
      <c r="AH964" s="151">
        <v>0</v>
      </c>
      <c r="AI964" s="151">
        <v>315.2</v>
      </c>
      <c r="AJ964" s="151">
        <v>0</v>
      </c>
    </row>
    <row r="965" spans="1:36" x14ac:dyDescent="0.25">
      <c r="A965" s="68" t="s">
        <v>1492</v>
      </c>
      <c r="B965" s="68" t="s">
        <v>916</v>
      </c>
      <c r="C965" s="146">
        <v>45470</v>
      </c>
      <c r="D965" s="141">
        <v>45470</v>
      </c>
      <c r="E965">
        <f>Tabela4[[#This Row],[DATA FATURAMENTO]]-Tabela4[[#This Row],[DATA ORÇAMENTO]]</f>
        <v>0</v>
      </c>
      <c r="F965" s="68">
        <v>11932</v>
      </c>
      <c r="G965" s="15" t="s">
        <v>22</v>
      </c>
      <c r="H965" s="25"/>
      <c r="I965" s="151">
        <v>490</v>
      </c>
      <c r="J965" s="151">
        <f t="shared" si="2"/>
        <v>0</v>
      </c>
      <c r="K965" s="158">
        <v>490</v>
      </c>
      <c r="L965" s="151">
        <v>0</v>
      </c>
      <c r="M965" s="151">
        <v>0</v>
      </c>
      <c r="N965" s="24"/>
      <c r="O965" s="151">
        <v>0</v>
      </c>
      <c r="P965" s="151">
        <v>0</v>
      </c>
      <c r="Q965" s="151">
        <v>0</v>
      </c>
      <c r="R965" s="151">
        <v>0</v>
      </c>
      <c r="S965" s="154">
        <v>0</v>
      </c>
      <c r="T965" s="151">
        <v>0</v>
      </c>
      <c r="U965" s="151">
        <v>0</v>
      </c>
      <c r="V965" s="15"/>
      <c r="W965" s="22">
        <v>5</v>
      </c>
      <c r="X965" s="149">
        <v>64.5</v>
      </c>
      <c r="Y965" s="15" t="s">
        <v>1344</v>
      </c>
      <c r="Z965" s="151">
        <v>0</v>
      </c>
      <c r="AA965" s="149">
        <f>Tabela4[[#This Row],[VALOR]]-Tabela4[[#This Row],[PNEUS]]-Tabela4[[#This Row],[BATERIA]]</f>
        <v>490</v>
      </c>
      <c r="AB965" s="19" t="s">
        <v>32</v>
      </c>
      <c r="AC965" s="30">
        <v>0</v>
      </c>
      <c r="AD965" s="162">
        <v>0</v>
      </c>
      <c r="AE965" s="151">
        <v>0</v>
      </c>
      <c r="AF965" s="151">
        <v>0</v>
      </c>
      <c r="AG965" s="151">
        <f>38.9+64.6+45+19</f>
        <v>167.5</v>
      </c>
      <c r="AH965" s="151">
        <v>0</v>
      </c>
      <c r="AI965" s="151">
        <v>322.5</v>
      </c>
      <c r="AJ965" s="151">
        <v>0</v>
      </c>
    </row>
    <row r="966" spans="1:36" x14ac:dyDescent="0.25">
      <c r="A966" s="68" t="s">
        <v>1493</v>
      </c>
      <c r="B966" s="68" t="s">
        <v>991</v>
      </c>
      <c r="C966" s="146">
        <v>45470</v>
      </c>
      <c r="D966" s="142">
        <v>45470</v>
      </c>
      <c r="E966">
        <f>Tabela4[[#This Row],[DATA FATURAMENTO]]-Tabela4[[#This Row],[DATA ORÇAMENTO]]</f>
        <v>0</v>
      </c>
      <c r="F966" s="68">
        <v>11913</v>
      </c>
      <c r="G966" s="25" t="s">
        <v>22</v>
      </c>
      <c r="H966" s="25"/>
      <c r="I966" s="155">
        <v>130</v>
      </c>
      <c r="J966" s="151">
        <f t="shared" si="2"/>
        <v>0</v>
      </c>
      <c r="K966" s="158">
        <v>130</v>
      </c>
      <c r="L966" s="155">
        <v>0</v>
      </c>
      <c r="M966" s="155">
        <v>0</v>
      </c>
      <c r="N966" s="67"/>
      <c r="O966" s="155">
        <v>0</v>
      </c>
      <c r="P966" s="155">
        <v>130</v>
      </c>
      <c r="Q966" s="155">
        <v>0</v>
      </c>
      <c r="R966" s="155">
        <v>0</v>
      </c>
      <c r="S966" s="154">
        <v>0</v>
      </c>
      <c r="T966" s="155">
        <v>0</v>
      </c>
      <c r="U966" s="155">
        <v>0</v>
      </c>
      <c r="V966" s="25"/>
      <c r="W966" s="22">
        <v>0</v>
      </c>
      <c r="X966" s="149">
        <v>0</v>
      </c>
      <c r="Y966" s="25"/>
      <c r="Z966" s="155">
        <v>0</v>
      </c>
      <c r="AA966" s="149">
        <f>Tabela4[[#This Row],[VALOR]]-Tabela4[[#This Row],[PNEUS]]-Tabela4[[#This Row],[BATERIA]]</f>
        <v>130</v>
      </c>
      <c r="AB966" s="27" t="s">
        <v>38</v>
      </c>
      <c r="AC966" s="30">
        <v>0</v>
      </c>
      <c r="AD966" s="162">
        <v>0</v>
      </c>
      <c r="AE966" s="155">
        <v>0</v>
      </c>
      <c r="AF966" s="155">
        <v>0</v>
      </c>
      <c r="AG966" s="155">
        <v>0</v>
      </c>
      <c r="AH966" s="155">
        <v>130</v>
      </c>
      <c r="AI966" s="155">
        <v>0</v>
      </c>
      <c r="AJ966" s="155">
        <v>0</v>
      </c>
    </row>
    <row r="967" spans="1:36" x14ac:dyDescent="0.25">
      <c r="A967" s="68" t="s">
        <v>1494</v>
      </c>
      <c r="B967" s="68" t="s">
        <v>1192</v>
      </c>
      <c r="C967" s="148">
        <v>45470</v>
      </c>
      <c r="D967" s="141">
        <v>45470</v>
      </c>
      <c r="E967">
        <f>Tabela4[[#This Row],[DATA FATURAMENTO]]-Tabela4[[#This Row],[DATA ORÇAMENTO]]</f>
        <v>0</v>
      </c>
      <c r="F967" s="68">
        <v>11923</v>
      </c>
      <c r="G967" s="15" t="s">
        <v>22</v>
      </c>
      <c r="H967" s="25"/>
      <c r="I967" s="151">
        <v>721.8</v>
      </c>
      <c r="J967" s="151">
        <f t="shared" si="2"/>
        <v>900.05</v>
      </c>
      <c r="K967" s="158">
        <v>1621.85</v>
      </c>
      <c r="L967" s="151">
        <v>95</v>
      </c>
      <c r="M967" s="151">
        <v>0</v>
      </c>
      <c r="N967" s="24"/>
      <c r="O967" s="151">
        <v>220</v>
      </c>
      <c r="P967" s="151">
        <v>0</v>
      </c>
      <c r="Q967" s="151">
        <v>190</v>
      </c>
      <c r="R967" s="151">
        <v>0</v>
      </c>
      <c r="S967" s="154">
        <v>190</v>
      </c>
      <c r="T967" s="151">
        <v>0</v>
      </c>
      <c r="U967" s="151">
        <v>0</v>
      </c>
      <c r="V967" s="15"/>
      <c r="W967" s="22">
        <v>4</v>
      </c>
      <c r="X967" s="149">
        <v>63</v>
      </c>
      <c r="Y967" s="15" t="s">
        <v>1344</v>
      </c>
      <c r="Z967" s="151">
        <v>0</v>
      </c>
      <c r="AA967" s="149">
        <f>Tabela4[[#This Row],[VALOR]]-Tabela4[[#This Row],[PNEUS]]-Tabela4[[#This Row],[BATERIA]]</f>
        <v>1621.85</v>
      </c>
      <c r="AB967" s="19" t="s">
        <v>27</v>
      </c>
      <c r="AC967" s="30">
        <v>0</v>
      </c>
      <c r="AD967" s="151">
        <f>291.8+95.04+190+220</f>
        <v>796.84</v>
      </c>
      <c r="AE967" s="151">
        <f>110+0.01</f>
        <v>110.01</v>
      </c>
      <c r="AF967" s="151">
        <v>0</v>
      </c>
      <c r="AG967" s="151">
        <f>29.4+70.9+48.7+21+95</f>
        <v>265</v>
      </c>
      <c r="AH967" s="151">
        <v>190</v>
      </c>
      <c r="AI967" s="151">
        <v>260</v>
      </c>
      <c r="AJ967" s="151">
        <v>0</v>
      </c>
    </row>
    <row r="968" spans="1:36" x14ac:dyDescent="0.25">
      <c r="A968" s="68" t="s">
        <v>1495</v>
      </c>
      <c r="B968" s="68" t="s">
        <v>1142</v>
      </c>
      <c r="C968" s="146">
        <v>45471</v>
      </c>
      <c r="D968" s="141">
        <v>45471</v>
      </c>
      <c r="E968">
        <f>Tabela4[[#This Row],[DATA FATURAMENTO]]-Tabela4[[#This Row],[DATA ORÇAMENTO]]</f>
        <v>0</v>
      </c>
      <c r="F968" s="68">
        <v>11938</v>
      </c>
      <c r="G968" s="15" t="s">
        <v>22</v>
      </c>
      <c r="H968" s="25"/>
      <c r="I968" s="151">
        <v>40</v>
      </c>
      <c r="J968" s="151">
        <f t="shared" si="2"/>
        <v>380</v>
      </c>
      <c r="K968" s="158">
        <v>420</v>
      </c>
      <c r="L968" s="151">
        <v>0</v>
      </c>
      <c r="M968" s="151">
        <v>0</v>
      </c>
      <c r="N968" s="24"/>
      <c r="O968" s="151">
        <v>0</v>
      </c>
      <c r="P968" s="151">
        <v>0</v>
      </c>
      <c r="Q968" s="151">
        <v>0</v>
      </c>
      <c r="R968" s="151">
        <v>0</v>
      </c>
      <c r="S968" s="154">
        <v>0</v>
      </c>
      <c r="T968" s="151">
        <v>0</v>
      </c>
      <c r="U968" s="151">
        <v>0</v>
      </c>
      <c r="V968" s="15"/>
      <c r="W968" s="22">
        <v>0</v>
      </c>
      <c r="X968" s="149">
        <v>0</v>
      </c>
      <c r="Y968" s="15"/>
      <c r="Z968" s="151">
        <v>0</v>
      </c>
      <c r="AA968" s="149">
        <f>Tabela4[[#This Row],[VALOR]]-Tabela4[[#This Row],[PNEUS]]-Tabela4[[#This Row],[BATERIA]]</f>
        <v>420</v>
      </c>
      <c r="AB968" s="19" t="s">
        <v>27</v>
      </c>
      <c r="AC968" s="30">
        <v>0</v>
      </c>
      <c r="AD968" s="162">
        <v>0</v>
      </c>
      <c r="AE968" s="151">
        <v>420</v>
      </c>
      <c r="AF968" s="151">
        <v>0</v>
      </c>
      <c r="AG968" s="151">
        <v>0</v>
      </c>
      <c r="AH968" s="151">
        <v>0</v>
      </c>
      <c r="AI968" s="151">
        <v>0</v>
      </c>
      <c r="AJ968" s="151">
        <v>0</v>
      </c>
    </row>
    <row r="969" spans="1:36" x14ac:dyDescent="0.25">
      <c r="A969" s="68" t="s">
        <v>1496</v>
      </c>
      <c r="B969" s="68" t="s">
        <v>1497</v>
      </c>
      <c r="C969" s="146">
        <v>45463</v>
      </c>
      <c r="D969" s="141">
        <v>45471</v>
      </c>
      <c r="E969">
        <f>Tabela4[[#This Row],[DATA FATURAMENTO]]-Tabela4[[#This Row],[DATA ORÇAMENTO]]</f>
        <v>8</v>
      </c>
      <c r="F969" s="68">
        <v>11848</v>
      </c>
      <c r="G969" s="15" t="s">
        <v>31</v>
      </c>
      <c r="H969" s="25"/>
      <c r="I969" s="151">
        <v>2493</v>
      </c>
      <c r="J969" s="151">
        <f t="shared" si="2"/>
        <v>2007</v>
      </c>
      <c r="K969" s="158">
        <v>4500</v>
      </c>
      <c r="L969" s="151">
        <v>93</v>
      </c>
      <c r="M969" s="151">
        <f>116.4+21.6</f>
        <v>138</v>
      </c>
      <c r="N969" s="24">
        <v>5</v>
      </c>
      <c r="O969" s="151">
        <v>0</v>
      </c>
      <c r="P969" s="151">
        <v>0</v>
      </c>
      <c r="Q969" s="151">
        <v>0</v>
      </c>
      <c r="R969" s="151">
        <v>0</v>
      </c>
      <c r="S969" s="154">
        <v>240</v>
      </c>
      <c r="T969" s="151">
        <v>0</v>
      </c>
      <c r="U969" s="151">
        <v>0</v>
      </c>
      <c r="V969" s="15"/>
      <c r="W969" s="22">
        <v>4</v>
      </c>
      <c r="X969" s="149">
        <v>63.7</v>
      </c>
      <c r="Y969" s="15" t="s">
        <v>1344</v>
      </c>
      <c r="Z969" s="151">
        <v>0</v>
      </c>
      <c r="AA969" s="149">
        <f>Tabela4[[#This Row],[VALOR]]-Tabela4[[#This Row],[PNEUS]]-Tabela4[[#This Row],[BATERIA]]</f>
        <v>4500</v>
      </c>
      <c r="AB969" s="19" t="s">
        <v>34</v>
      </c>
      <c r="AC969" s="30">
        <v>0</v>
      </c>
      <c r="AD969" s="162">
        <v>0</v>
      </c>
      <c r="AE969" s="151">
        <v>0</v>
      </c>
      <c r="AF969" s="151">
        <v>0</v>
      </c>
      <c r="AG969" s="151">
        <v>0</v>
      </c>
      <c r="AH969" s="151">
        <v>0</v>
      </c>
      <c r="AI969" s="151">
        <v>0</v>
      </c>
      <c r="AJ969" s="151">
        <v>0</v>
      </c>
    </row>
    <row r="970" spans="1:36" x14ac:dyDescent="0.25">
      <c r="A970" s="68" t="s">
        <v>1498</v>
      </c>
      <c r="B970" s="68" t="s">
        <v>864</v>
      </c>
      <c r="C970" s="146">
        <v>45469</v>
      </c>
      <c r="D970" s="141">
        <v>45471</v>
      </c>
      <c r="E970">
        <f>Tabela4[[#This Row],[DATA FATURAMENTO]]-Tabela4[[#This Row],[DATA ORÇAMENTO]]</f>
        <v>2</v>
      </c>
      <c r="F970" s="68">
        <v>11910</v>
      </c>
      <c r="G970" s="15" t="s">
        <v>599</v>
      </c>
      <c r="H970" s="25"/>
      <c r="I970" s="151">
        <v>1923</v>
      </c>
      <c r="J970" s="151">
        <f t="shared" si="2"/>
        <v>1002.8000000000002</v>
      </c>
      <c r="K970" s="158">
        <v>2925.8</v>
      </c>
      <c r="L970" s="151">
        <v>0</v>
      </c>
      <c r="M970" s="151">
        <v>150</v>
      </c>
      <c r="N970" s="24">
        <v>4</v>
      </c>
      <c r="O970" s="151">
        <f>24+150</f>
        <v>174</v>
      </c>
      <c r="P970" s="151">
        <v>0</v>
      </c>
      <c r="Q970" s="151">
        <v>0</v>
      </c>
      <c r="R970" s="151">
        <v>0</v>
      </c>
      <c r="S970" s="154">
        <v>229.91</v>
      </c>
      <c r="T970" s="151">
        <v>0</v>
      </c>
      <c r="U970" s="151">
        <v>530</v>
      </c>
      <c r="V970" s="15" t="s">
        <v>684</v>
      </c>
      <c r="W970" s="22">
        <v>0</v>
      </c>
      <c r="X970" s="149">
        <v>0</v>
      </c>
      <c r="Y970" s="15"/>
      <c r="Z970" s="151">
        <v>0</v>
      </c>
      <c r="AA970" s="149">
        <f>Tabela4[[#This Row],[VALOR]]-Tabela4[[#This Row],[PNEUS]]-Tabela4[[#This Row],[BATERIA]]</f>
        <v>2395.8000000000002</v>
      </c>
      <c r="AB970" s="19" t="s">
        <v>36</v>
      </c>
      <c r="AC970" s="30">
        <v>0</v>
      </c>
      <c r="AD970" s="162">
        <v>0</v>
      </c>
      <c r="AE970" s="151">
        <v>0</v>
      </c>
      <c r="AF970" s="151">
        <v>0</v>
      </c>
      <c r="AG970" s="151">
        <v>0</v>
      </c>
      <c r="AH970" s="151">
        <v>0</v>
      </c>
      <c r="AI970" s="151">
        <v>0</v>
      </c>
      <c r="AJ970" s="151">
        <v>0</v>
      </c>
    </row>
    <row r="971" spans="1:36" x14ac:dyDescent="0.25">
      <c r="A971" s="68" t="s">
        <v>1499</v>
      </c>
      <c r="B971" s="68" t="s">
        <v>895</v>
      </c>
      <c r="C971" s="146">
        <v>45468</v>
      </c>
      <c r="D971" s="141">
        <v>45471</v>
      </c>
      <c r="E971">
        <f>Tabela4[[#This Row],[DATA FATURAMENTO]]-Tabela4[[#This Row],[DATA ORÇAMENTO]]</f>
        <v>3</v>
      </c>
      <c r="F971" s="68">
        <v>11898</v>
      </c>
      <c r="G971" s="15" t="s">
        <v>316</v>
      </c>
      <c r="H971" s="25"/>
      <c r="I971" s="151">
        <v>0</v>
      </c>
      <c r="J971" s="151">
        <f t="shared" si="2"/>
        <v>70</v>
      </c>
      <c r="K971" s="158">
        <v>70</v>
      </c>
      <c r="L971" s="151">
        <v>0</v>
      </c>
      <c r="M971" s="151">
        <v>0</v>
      </c>
      <c r="N971" s="24"/>
      <c r="O971" s="151">
        <v>0</v>
      </c>
      <c r="P971" s="151">
        <v>0</v>
      </c>
      <c r="Q971" s="151">
        <v>0</v>
      </c>
      <c r="R971" s="151">
        <v>0</v>
      </c>
      <c r="S971" s="154">
        <v>0</v>
      </c>
      <c r="T971" s="151">
        <v>0</v>
      </c>
      <c r="U971" s="151">
        <v>0</v>
      </c>
      <c r="V971" s="15"/>
      <c r="W971" s="22">
        <v>0</v>
      </c>
      <c r="X971" s="149">
        <v>0</v>
      </c>
      <c r="Y971" s="15"/>
      <c r="Z971" s="151">
        <v>0</v>
      </c>
      <c r="AA971" s="149">
        <f>Tabela4[[#This Row],[VALOR]]-Tabela4[[#This Row],[PNEUS]]-Tabela4[[#This Row],[BATERIA]]</f>
        <v>70</v>
      </c>
      <c r="AB971" s="19" t="s">
        <v>27</v>
      </c>
      <c r="AC971" s="30">
        <v>0</v>
      </c>
      <c r="AD971" s="162">
        <v>0</v>
      </c>
      <c r="AE971" s="151">
        <v>70</v>
      </c>
      <c r="AF971" s="151">
        <v>0</v>
      </c>
      <c r="AG971" s="151">
        <v>0</v>
      </c>
      <c r="AH971" s="151">
        <v>0</v>
      </c>
      <c r="AI971" s="151">
        <v>0</v>
      </c>
      <c r="AJ971" s="151">
        <v>0</v>
      </c>
    </row>
    <row r="972" spans="1:36" x14ac:dyDescent="0.25">
      <c r="A972" s="68" t="s">
        <v>1500</v>
      </c>
      <c r="B972" s="68" t="s">
        <v>1039</v>
      </c>
      <c r="C972" s="146">
        <v>45470</v>
      </c>
      <c r="D972" s="141">
        <v>45471</v>
      </c>
      <c r="E972">
        <f>Tabela4[[#This Row],[DATA FATURAMENTO]]-Tabela4[[#This Row],[DATA ORÇAMENTO]]</f>
        <v>1</v>
      </c>
      <c r="F972" s="68">
        <v>11917</v>
      </c>
      <c r="G972" s="15" t="s">
        <v>35</v>
      </c>
      <c r="H972" s="25"/>
      <c r="I972" s="151">
        <v>1141.8</v>
      </c>
      <c r="J972" s="151">
        <f t="shared" si="2"/>
        <v>858.2</v>
      </c>
      <c r="K972" s="158">
        <v>2000</v>
      </c>
      <c r="L972" s="151">
        <v>0</v>
      </c>
      <c r="M972" s="151">
        <v>0</v>
      </c>
      <c r="N972" s="24"/>
      <c r="O972" s="151">
        <v>220</v>
      </c>
      <c r="P972" s="151">
        <v>0</v>
      </c>
      <c r="Q972" s="151">
        <v>0</v>
      </c>
      <c r="R972" s="151">
        <v>0</v>
      </c>
      <c r="S972" s="154">
        <v>167.5</v>
      </c>
      <c r="T972" s="151">
        <v>0</v>
      </c>
      <c r="U972" s="151">
        <v>0</v>
      </c>
      <c r="V972" s="15"/>
      <c r="W972" s="22">
        <v>3</v>
      </c>
      <c r="X972" s="149">
        <v>64.8</v>
      </c>
      <c r="Y972" s="15" t="s">
        <v>1344</v>
      </c>
      <c r="Z972" s="151">
        <v>0</v>
      </c>
      <c r="AA972" s="149">
        <f>Tabela4[[#This Row],[VALOR]]-Tabela4[[#This Row],[PNEUS]]-Tabela4[[#This Row],[BATERIA]]</f>
        <v>2000</v>
      </c>
      <c r="AB972" s="19" t="s">
        <v>32</v>
      </c>
      <c r="AC972" s="30">
        <v>0</v>
      </c>
      <c r="AD972" s="162">
        <v>0</v>
      </c>
      <c r="AE972" s="151">
        <v>0</v>
      </c>
      <c r="AF972" s="151">
        <v>0</v>
      </c>
      <c r="AG972" s="151">
        <v>0</v>
      </c>
      <c r="AH972" s="151">
        <v>0</v>
      </c>
      <c r="AI972" s="151">
        <v>0</v>
      </c>
      <c r="AJ972" s="151">
        <v>0</v>
      </c>
    </row>
    <row r="973" spans="1:36" x14ac:dyDescent="0.25">
      <c r="A973" s="68" t="s">
        <v>1501</v>
      </c>
      <c r="B973" s="68" t="s">
        <v>1042</v>
      </c>
      <c r="C973" s="146">
        <v>45470</v>
      </c>
      <c r="D973" s="141">
        <v>45471</v>
      </c>
      <c r="E973">
        <f>Tabela4[[#This Row],[DATA FATURAMENTO]]-Tabela4[[#This Row],[DATA ORÇAMENTO]]</f>
        <v>1</v>
      </c>
      <c r="F973" s="68">
        <v>11921</v>
      </c>
      <c r="G973" s="15" t="s">
        <v>31</v>
      </c>
      <c r="H973" s="25"/>
      <c r="I973" s="151">
        <v>496.2</v>
      </c>
      <c r="J973" s="151">
        <f t="shared" si="2"/>
        <v>470.8</v>
      </c>
      <c r="K973" s="158">
        <v>967</v>
      </c>
      <c r="L973" s="151">
        <v>0</v>
      </c>
      <c r="M973" s="151">
        <v>0</v>
      </c>
      <c r="N973" s="24"/>
      <c r="O973" s="151">
        <v>0</v>
      </c>
      <c r="P973" s="151">
        <v>0</v>
      </c>
      <c r="Q973" s="151">
        <v>0</v>
      </c>
      <c r="R973" s="151">
        <v>0</v>
      </c>
      <c r="S973" s="154">
        <v>220.4</v>
      </c>
      <c r="T973" s="151">
        <v>0</v>
      </c>
      <c r="U973" s="151">
        <v>0</v>
      </c>
      <c r="V973" s="15"/>
      <c r="W973" s="22">
        <v>4</v>
      </c>
      <c r="X973" s="149">
        <v>74.8</v>
      </c>
      <c r="Y973" s="15" t="s">
        <v>1344</v>
      </c>
      <c r="Z973" s="151">
        <v>0</v>
      </c>
      <c r="AA973" s="149">
        <f>Tabela4[[#This Row],[VALOR]]-Tabela4[[#This Row],[PNEUS]]-Tabela4[[#This Row],[BATERIA]]</f>
        <v>967</v>
      </c>
      <c r="AB973" s="19" t="s">
        <v>32</v>
      </c>
      <c r="AC973" s="30">
        <v>0</v>
      </c>
      <c r="AD973" s="162">
        <v>0</v>
      </c>
      <c r="AE973" s="151">
        <v>0</v>
      </c>
      <c r="AF973" s="151">
        <v>0</v>
      </c>
      <c r="AG973" s="151">
        <v>0</v>
      </c>
      <c r="AH973" s="151">
        <v>0</v>
      </c>
      <c r="AI973" s="151">
        <v>0</v>
      </c>
      <c r="AJ973" s="151">
        <v>0</v>
      </c>
    </row>
    <row r="974" spans="1:36" x14ac:dyDescent="0.25">
      <c r="A974" s="68" t="s">
        <v>1502</v>
      </c>
      <c r="B974" s="68" t="s">
        <v>1503</v>
      </c>
      <c r="C974" s="146">
        <v>45470</v>
      </c>
      <c r="D974" s="141">
        <v>45471</v>
      </c>
      <c r="E974">
        <f>Tabela4[[#This Row],[DATA FATURAMENTO]]-Tabela4[[#This Row],[DATA ORÇAMENTO]]</f>
        <v>1</v>
      </c>
      <c r="F974" s="68">
        <v>11924</v>
      </c>
      <c r="G974" s="15" t="s">
        <v>25</v>
      </c>
      <c r="H974" s="25"/>
      <c r="I974" s="151">
        <v>449.25</v>
      </c>
      <c r="J974" s="151">
        <f t="shared" si="2"/>
        <v>102</v>
      </c>
      <c r="K974" s="158">
        <v>551.25</v>
      </c>
      <c r="L974" s="151">
        <v>0</v>
      </c>
      <c r="M974" s="151">
        <v>21.95</v>
      </c>
      <c r="N974" s="24">
        <v>1</v>
      </c>
      <c r="O974" s="151">
        <v>0</v>
      </c>
      <c r="P974" s="151">
        <v>0</v>
      </c>
      <c r="Q974" s="151">
        <v>0</v>
      </c>
      <c r="R974" s="151">
        <v>0</v>
      </c>
      <c r="S974" s="154">
        <v>85.9</v>
      </c>
      <c r="T974" s="151">
        <v>0</v>
      </c>
      <c r="U974" s="151">
        <v>0</v>
      </c>
      <c r="V974" s="15"/>
      <c r="W974" s="22">
        <v>4</v>
      </c>
      <c r="X974" s="149">
        <v>34</v>
      </c>
      <c r="Y974" s="15" t="s">
        <v>658</v>
      </c>
      <c r="Z974" s="151">
        <v>0</v>
      </c>
      <c r="AA974" s="149">
        <f>Tabela4[[#This Row],[VALOR]]-Tabela4[[#This Row],[PNEUS]]-Tabela4[[#This Row],[BATERIA]]</f>
        <v>551.25</v>
      </c>
      <c r="AB974" s="19" t="s">
        <v>36</v>
      </c>
      <c r="AC974" s="30">
        <v>0</v>
      </c>
      <c r="AD974" s="162">
        <v>0</v>
      </c>
      <c r="AE974" s="151">
        <v>0</v>
      </c>
      <c r="AF974" s="151">
        <v>0</v>
      </c>
      <c r="AG974" s="151">
        <v>0</v>
      </c>
      <c r="AH974" s="151">
        <v>0</v>
      </c>
      <c r="AI974" s="151">
        <v>0</v>
      </c>
      <c r="AJ974" s="151">
        <v>0</v>
      </c>
    </row>
    <row r="975" spans="1:36" x14ac:dyDescent="0.25">
      <c r="A975" s="68" t="s">
        <v>1504</v>
      </c>
      <c r="B975" s="68" t="s">
        <v>911</v>
      </c>
      <c r="C975" s="146">
        <v>45470</v>
      </c>
      <c r="D975" s="141">
        <v>45471</v>
      </c>
      <c r="E975">
        <f>Tabela4[[#This Row],[DATA FATURAMENTO]]-Tabela4[[#This Row],[DATA ORÇAMENTO]]</f>
        <v>1</v>
      </c>
      <c r="F975" s="68">
        <v>11925</v>
      </c>
      <c r="G975" s="15" t="s">
        <v>316</v>
      </c>
      <c r="H975" s="25"/>
      <c r="I975" s="151">
        <v>0</v>
      </c>
      <c r="J975" s="151">
        <f t="shared" si="2"/>
        <v>70</v>
      </c>
      <c r="K975" s="158">
        <v>70</v>
      </c>
      <c r="L975" s="151">
        <v>0</v>
      </c>
      <c r="M975" s="151">
        <v>0</v>
      </c>
      <c r="N975" s="24"/>
      <c r="O975" s="151">
        <v>0</v>
      </c>
      <c r="P975" s="151">
        <v>0</v>
      </c>
      <c r="Q975" s="151">
        <v>0</v>
      </c>
      <c r="R975" s="151">
        <v>0</v>
      </c>
      <c r="S975" s="154">
        <v>0</v>
      </c>
      <c r="T975" s="151">
        <v>0</v>
      </c>
      <c r="U975" s="151">
        <v>0</v>
      </c>
      <c r="V975" s="15"/>
      <c r="W975" s="22">
        <v>0</v>
      </c>
      <c r="X975" s="149">
        <v>0</v>
      </c>
      <c r="Y975" s="15"/>
      <c r="Z975" s="151">
        <v>0</v>
      </c>
      <c r="AA975" s="149">
        <f>Tabela4[[#This Row],[VALOR]]-Tabela4[[#This Row],[PNEUS]]-Tabela4[[#This Row],[BATERIA]]</f>
        <v>70</v>
      </c>
      <c r="AB975" s="19" t="s">
        <v>27</v>
      </c>
      <c r="AC975" s="30">
        <v>0</v>
      </c>
      <c r="AD975" s="162">
        <v>0</v>
      </c>
      <c r="AE975" s="151">
        <v>70</v>
      </c>
      <c r="AF975" s="151">
        <v>0</v>
      </c>
      <c r="AG975" s="151">
        <v>0</v>
      </c>
      <c r="AH975" s="151">
        <v>0</v>
      </c>
      <c r="AI975" s="151">
        <v>0</v>
      </c>
      <c r="AJ975" s="151">
        <v>0</v>
      </c>
    </row>
    <row r="976" spans="1:36" x14ac:dyDescent="0.25">
      <c r="A976" s="68" t="s">
        <v>1505</v>
      </c>
      <c r="B976" s="68" t="s">
        <v>1131</v>
      </c>
      <c r="C976" s="146">
        <v>45471</v>
      </c>
      <c r="D976" s="141">
        <v>45471</v>
      </c>
      <c r="E976">
        <f>Tabela4[[#This Row],[DATA FATURAMENTO]]-Tabela4[[#This Row],[DATA ORÇAMENTO]]</f>
        <v>0</v>
      </c>
      <c r="F976" s="68">
        <v>11936</v>
      </c>
      <c r="G976" s="15" t="s">
        <v>37</v>
      </c>
      <c r="H976" s="25"/>
      <c r="I976" s="151">
        <v>355.07</v>
      </c>
      <c r="J976" s="151">
        <f t="shared" si="2"/>
        <v>793.53</v>
      </c>
      <c r="K976" s="158">
        <v>1148.5999999999999</v>
      </c>
      <c r="L976" s="151">
        <v>0</v>
      </c>
      <c r="M976" s="151">
        <v>22.95</v>
      </c>
      <c r="N976" s="24">
        <v>1</v>
      </c>
      <c r="O976" s="151">
        <f>20.4+180.02</f>
        <v>200.42000000000002</v>
      </c>
      <c r="P976" s="151">
        <v>0</v>
      </c>
      <c r="Q976" s="151">
        <v>0</v>
      </c>
      <c r="R976" s="151">
        <v>0</v>
      </c>
      <c r="S976" s="154">
        <v>167.37</v>
      </c>
      <c r="T976" s="151">
        <v>0</v>
      </c>
      <c r="U976" s="151">
        <v>0</v>
      </c>
      <c r="V976" s="15"/>
      <c r="W976" s="22">
        <v>4</v>
      </c>
      <c r="X976" s="149">
        <v>29.8</v>
      </c>
      <c r="Y976" s="15" t="s">
        <v>654</v>
      </c>
      <c r="Z976" s="151">
        <v>0</v>
      </c>
      <c r="AA976" s="149">
        <f>Tabela4[[#This Row],[VALOR]]-Tabela4[[#This Row],[PNEUS]]-Tabela4[[#This Row],[BATERIA]]</f>
        <v>1148.5999999999999</v>
      </c>
      <c r="AB976" s="19" t="s">
        <v>34</v>
      </c>
      <c r="AC976" s="30">
        <v>0</v>
      </c>
      <c r="AD976" s="162">
        <v>0</v>
      </c>
      <c r="AE976" s="151">
        <v>0</v>
      </c>
      <c r="AF976" s="151">
        <v>0</v>
      </c>
      <c r="AG976" s="151">
        <v>0</v>
      </c>
      <c r="AH976" s="151">
        <v>0</v>
      </c>
      <c r="AI976" s="151">
        <v>0</v>
      </c>
      <c r="AJ976" s="151">
        <v>0</v>
      </c>
    </row>
    <row r="977" spans="1:36" x14ac:dyDescent="0.25">
      <c r="A977" s="68" t="s">
        <v>1506</v>
      </c>
      <c r="B977" s="68" t="s">
        <v>1131</v>
      </c>
      <c r="C977" s="146">
        <v>45471</v>
      </c>
      <c r="D977" s="141">
        <v>45471</v>
      </c>
      <c r="E977">
        <f>Tabela4[[#This Row],[DATA FATURAMENTO]]-Tabela4[[#This Row],[DATA ORÇAMENTO]]</f>
        <v>0</v>
      </c>
      <c r="F977" s="68">
        <v>11937</v>
      </c>
      <c r="G977" s="15" t="s">
        <v>37</v>
      </c>
      <c r="H977" s="25"/>
      <c r="I977" s="151">
        <v>275.48</v>
      </c>
      <c r="J977" s="151">
        <f>K977-I977</f>
        <v>1055.51</v>
      </c>
      <c r="K977" s="158">
        <v>1330.99</v>
      </c>
      <c r="L977" s="151">
        <v>0</v>
      </c>
      <c r="M977" s="151">
        <v>21.46</v>
      </c>
      <c r="N977" s="24">
        <v>1</v>
      </c>
      <c r="O977" s="151">
        <f>40.8+170</f>
        <v>210.8</v>
      </c>
      <c r="P977" s="151">
        <v>0</v>
      </c>
      <c r="Q977" s="151">
        <v>0</v>
      </c>
      <c r="R977" s="151">
        <v>0</v>
      </c>
      <c r="S977" s="154">
        <v>167.36</v>
      </c>
      <c r="T977" s="151">
        <v>0</v>
      </c>
      <c r="U977" s="151">
        <v>0</v>
      </c>
      <c r="V977" s="15"/>
      <c r="W977" s="22">
        <v>4</v>
      </c>
      <c r="X977" s="149">
        <v>29.8</v>
      </c>
      <c r="Y977" s="15" t="s">
        <v>654</v>
      </c>
      <c r="Z977" s="151">
        <v>0</v>
      </c>
      <c r="AA977" s="149">
        <f>Tabela4[[#This Row],[VALOR]]-Tabela4[[#This Row],[PNEUS]]-Tabela4[[#This Row],[BATERIA]]</f>
        <v>1330.99</v>
      </c>
      <c r="AB977" s="19" t="s">
        <v>27</v>
      </c>
      <c r="AC977" s="30">
        <v>0</v>
      </c>
      <c r="AD977" s="162">
        <v>0</v>
      </c>
      <c r="AE977" s="151">
        <v>0</v>
      </c>
      <c r="AF977" s="151">
        <v>0</v>
      </c>
      <c r="AG977" s="151">
        <v>0</v>
      </c>
      <c r="AH977" s="151">
        <v>0</v>
      </c>
      <c r="AI977" s="151">
        <v>0</v>
      </c>
      <c r="AJ977" s="151">
        <v>0</v>
      </c>
    </row>
    <row r="978" spans="1:36" x14ac:dyDescent="0.25">
      <c r="A978" s="68" t="s">
        <v>1507</v>
      </c>
      <c r="B978" s="68" t="s">
        <v>1130</v>
      </c>
      <c r="C978" s="146">
        <v>45467</v>
      </c>
      <c r="D978" s="141">
        <v>45472</v>
      </c>
      <c r="E978">
        <f>Tabela4[[#This Row],[DATA FATURAMENTO]]-Tabela4[[#This Row],[DATA ORÇAMENTO]]</f>
        <v>5</v>
      </c>
      <c r="F978" s="68">
        <v>11888</v>
      </c>
      <c r="G978" s="15" t="s">
        <v>25</v>
      </c>
      <c r="H978" s="25"/>
      <c r="I978" s="151">
        <v>717.8</v>
      </c>
      <c r="J978" s="151">
        <f t="shared" si="2"/>
        <v>280.80000000000007</v>
      </c>
      <c r="K978" s="158">
        <v>998.6</v>
      </c>
      <c r="L978" s="151">
        <v>0</v>
      </c>
      <c r="M978" s="151">
        <v>0</v>
      </c>
      <c r="N978" s="24"/>
      <c r="O978" s="151">
        <v>0</v>
      </c>
      <c r="P978" s="151">
        <v>0</v>
      </c>
      <c r="Q978" s="151">
        <v>0</v>
      </c>
      <c r="R978" s="151">
        <v>0</v>
      </c>
      <c r="S978" s="154">
        <v>0</v>
      </c>
      <c r="T978" s="151">
        <v>699.9</v>
      </c>
      <c r="U978" s="151">
        <v>0</v>
      </c>
      <c r="V978" s="15"/>
      <c r="W978" s="22">
        <v>0</v>
      </c>
      <c r="X978" s="149">
        <v>0</v>
      </c>
      <c r="Y978" s="15"/>
      <c r="Z978" s="151">
        <v>0</v>
      </c>
      <c r="AA978" s="149">
        <f>Tabela4[[#This Row],[VALOR]]-Tabela4[[#This Row],[PNEUS]]-Tabela4[[#This Row],[BATERIA]]</f>
        <v>298.70000000000005</v>
      </c>
      <c r="AB978" s="19" t="s">
        <v>32</v>
      </c>
      <c r="AC978" s="30">
        <v>0</v>
      </c>
      <c r="AD978" s="162">
        <v>0</v>
      </c>
      <c r="AE978" s="151">
        <f>17.9+250+30.8</f>
        <v>298.7</v>
      </c>
      <c r="AF978" s="151">
        <v>0</v>
      </c>
      <c r="AG978" s="151">
        <v>0</v>
      </c>
      <c r="AH978" s="151">
        <v>0</v>
      </c>
      <c r="AI978" s="151">
        <v>0</v>
      </c>
      <c r="AJ978" s="151">
        <v>0</v>
      </c>
    </row>
    <row r="979" spans="1:36" x14ac:dyDescent="0.25">
      <c r="A979" s="68" t="s">
        <v>1508</v>
      </c>
      <c r="B979" s="68" t="s">
        <v>1131</v>
      </c>
      <c r="C979" s="146">
        <v>45472</v>
      </c>
      <c r="D979" s="141">
        <v>45472</v>
      </c>
      <c r="E979">
        <f>Tabela4[[#This Row],[DATA FATURAMENTO]]-Tabela4[[#This Row],[DATA ORÇAMENTO]]</f>
        <v>0</v>
      </c>
      <c r="F979" s="68">
        <v>11947</v>
      </c>
      <c r="G979" s="15" t="s">
        <v>37</v>
      </c>
      <c r="H979" s="25"/>
      <c r="I979" s="151">
        <v>1574.79</v>
      </c>
      <c r="J979" s="151">
        <f>K979-I979</f>
        <v>959.11000000000013</v>
      </c>
      <c r="K979" s="158">
        <v>2533.9</v>
      </c>
      <c r="L979" s="151">
        <v>0</v>
      </c>
      <c r="M979" s="151">
        <v>22.95</v>
      </c>
      <c r="N979" s="24">
        <v>1</v>
      </c>
      <c r="O979" s="151">
        <f>40.8+190</f>
        <v>230.8</v>
      </c>
      <c r="P979" s="151">
        <f>42.5*2</f>
        <v>85</v>
      </c>
      <c r="Q979" s="151">
        <v>0</v>
      </c>
      <c r="R979" s="151">
        <v>0</v>
      </c>
      <c r="S979" s="154">
        <v>167.37</v>
      </c>
      <c r="T979" s="151">
        <v>0</v>
      </c>
      <c r="U979" s="151">
        <v>681.03</v>
      </c>
      <c r="V979" s="15" t="s">
        <v>1509</v>
      </c>
      <c r="W979" s="22">
        <v>4</v>
      </c>
      <c r="X979" s="149">
        <v>29.8</v>
      </c>
      <c r="Y979" s="15" t="s">
        <v>654</v>
      </c>
      <c r="Z979" s="151">
        <v>0</v>
      </c>
      <c r="AA979" s="149">
        <f>Tabela4[[#This Row],[VALOR]]-Tabela4[[#This Row],[PNEUS]]-Tabela4[[#This Row],[BATERIA]]</f>
        <v>1852.8700000000001</v>
      </c>
      <c r="AB979" s="19" t="s">
        <v>36</v>
      </c>
      <c r="AC979" s="30">
        <v>0</v>
      </c>
      <c r="AD979" s="162">
        <v>0</v>
      </c>
      <c r="AE979" s="151">
        <v>0</v>
      </c>
      <c r="AF979" s="151">
        <v>0</v>
      </c>
      <c r="AG979" s="151">
        <v>0</v>
      </c>
      <c r="AH979" s="151">
        <v>0</v>
      </c>
      <c r="AI979" s="151">
        <v>0</v>
      </c>
      <c r="AJ979" s="151">
        <v>0</v>
      </c>
    </row>
    <row r="980" spans="1:36" x14ac:dyDescent="0.25">
      <c r="A980" s="68" t="s">
        <v>1510</v>
      </c>
      <c r="B980" s="68" t="s">
        <v>1511</v>
      </c>
      <c r="C980" s="146">
        <v>45470</v>
      </c>
      <c r="D980" s="141">
        <v>45472</v>
      </c>
      <c r="E980">
        <f>Tabela4[[#This Row],[DATA FATURAMENTO]]-Tabela4[[#This Row],[DATA ORÇAMENTO]]</f>
        <v>2</v>
      </c>
      <c r="F980" s="68">
        <v>11931</v>
      </c>
      <c r="G980" s="15" t="s">
        <v>35</v>
      </c>
      <c r="H980" s="25"/>
      <c r="I980" s="151">
        <v>3159.4</v>
      </c>
      <c r="J980" s="151">
        <f t="shared" ref="J980:J1029" si="3">K980-I980</f>
        <v>1540.6</v>
      </c>
      <c r="K980" s="158">
        <v>4700</v>
      </c>
      <c r="L980" s="151">
        <v>109.96</v>
      </c>
      <c r="M980" s="151">
        <f>116.4+21.8</f>
        <v>138.20000000000002</v>
      </c>
      <c r="N980" s="24">
        <v>5</v>
      </c>
      <c r="O980" s="151">
        <v>220</v>
      </c>
      <c r="P980" s="151">
        <v>0</v>
      </c>
      <c r="Q980" s="151">
        <v>0</v>
      </c>
      <c r="R980" s="151">
        <v>0</v>
      </c>
      <c r="S980" s="154">
        <v>0</v>
      </c>
      <c r="T980" s="151">
        <v>0</v>
      </c>
      <c r="U980" s="151">
        <v>0</v>
      </c>
      <c r="V980" s="15"/>
      <c r="W980" s="22">
        <v>0</v>
      </c>
      <c r="X980" s="149">
        <v>0</v>
      </c>
      <c r="Y980" s="15"/>
      <c r="Z980" s="151">
        <v>0</v>
      </c>
      <c r="AA980" s="149">
        <f>Tabela4[[#This Row],[VALOR]]-Tabela4[[#This Row],[PNEUS]]-Tabela4[[#This Row],[BATERIA]]</f>
        <v>4700</v>
      </c>
      <c r="AB980" s="19" t="s">
        <v>24</v>
      </c>
      <c r="AC980" s="30">
        <v>0</v>
      </c>
      <c r="AD980" s="162">
        <v>0</v>
      </c>
      <c r="AE980" s="151">
        <v>0</v>
      </c>
      <c r="AF980" s="151">
        <v>0</v>
      </c>
      <c r="AG980" s="151">
        <v>0</v>
      </c>
      <c r="AH980" s="151">
        <v>0</v>
      </c>
      <c r="AI980" s="151">
        <v>0</v>
      </c>
      <c r="AJ980" s="151">
        <v>0</v>
      </c>
    </row>
    <row r="981" spans="1:36" x14ac:dyDescent="0.25">
      <c r="A981" s="68" t="s">
        <v>715</v>
      </c>
      <c r="B981" s="68" t="s">
        <v>1273</v>
      </c>
      <c r="C981" s="146">
        <v>45471</v>
      </c>
      <c r="D981" s="141">
        <v>45472</v>
      </c>
      <c r="E981">
        <f>Tabela4[[#This Row],[DATA FATURAMENTO]]-Tabela4[[#This Row],[DATA ORÇAMENTO]]</f>
        <v>1</v>
      </c>
      <c r="F981" s="68">
        <v>11942</v>
      </c>
      <c r="G981" s="15" t="s">
        <v>31</v>
      </c>
      <c r="H981" s="25"/>
      <c r="I981" s="151">
        <v>197.7</v>
      </c>
      <c r="J981" s="151">
        <f t="shared" si="3"/>
        <v>402.3</v>
      </c>
      <c r="K981" s="158">
        <v>600</v>
      </c>
      <c r="L981" s="151">
        <v>0</v>
      </c>
      <c r="M981" s="151">
        <v>0</v>
      </c>
      <c r="N981" s="24"/>
      <c r="O981" s="151">
        <v>0</v>
      </c>
      <c r="P981" s="151">
        <v>0</v>
      </c>
      <c r="Q981" s="151">
        <v>0</v>
      </c>
      <c r="R981" s="151">
        <v>0</v>
      </c>
      <c r="S981" s="154">
        <v>0</v>
      </c>
      <c r="T981" s="151">
        <v>0</v>
      </c>
      <c r="U981" s="151">
        <v>0</v>
      </c>
      <c r="V981" s="15"/>
      <c r="W981" s="22">
        <v>0</v>
      </c>
      <c r="X981" s="149">
        <v>0</v>
      </c>
      <c r="Y981" s="15"/>
      <c r="Z981" s="151">
        <v>0</v>
      </c>
      <c r="AA981" s="149">
        <f>Tabela4[[#This Row],[VALOR]]-Tabela4[[#This Row],[PNEUS]]-Tabela4[[#This Row],[BATERIA]]</f>
        <v>600</v>
      </c>
      <c r="AB981" s="19" t="s">
        <v>24</v>
      </c>
      <c r="AC981" s="30">
        <v>0</v>
      </c>
      <c r="AD981" s="162">
        <v>0</v>
      </c>
      <c r="AE981" s="151">
        <v>0</v>
      </c>
      <c r="AF981" s="151">
        <v>0</v>
      </c>
      <c r="AG981" s="151">
        <v>0</v>
      </c>
      <c r="AH981" s="151">
        <v>0</v>
      </c>
      <c r="AI981" s="151">
        <v>0</v>
      </c>
      <c r="AJ981" s="151">
        <v>0</v>
      </c>
    </row>
    <row r="982" spans="1:36" x14ac:dyDescent="0.25">
      <c r="A982" s="68" t="s">
        <v>1512</v>
      </c>
      <c r="B982" s="68" t="s">
        <v>1513</v>
      </c>
      <c r="C982" s="146">
        <v>45472</v>
      </c>
      <c r="D982" s="141">
        <v>45472</v>
      </c>
      <c r="E982">
        <f>Tabela4[[#This Row],[DATA FATURAMENTO]]-Tabela4[[#This Row],[DATA ORÇAMENTO]]</f>
        <v>0</v>
      </c>
      <c r="F982" s="68">
        <v>11944</v>
      </c>
      <c r="G982" s="15" t="s">
        <v>22</v>
      </c>
      <c r="H982" s="25"/>
      <c r="I982" s="151">
        <v>0</v>
      </c>
      <c r="J982" s="151">
        <f t="shared" si="3"/>
        <v>130.01</v>
      </c>
      <c r="K982" s="158">
        <v>130.01</v>
      </c>
      <c r="L982" s="151">
        <v>0</v>
      </c>
      <c r="M982" s="151">
        <v>0</v>
      </c>
      <c r="N982" s="24"/>
      <c r="O982" s="151">
        <v>0</v>
      </c>
      <c r="P982" s="151">
        <v>0</v>
      </c>
      <c r="Q982" s="151">
        <v>0</v>
      </c>
      <c r="R982" s="151">
        <v>0</v>
      </c>
      <c r="S982" s="154">
        <v>0</v>
      </c>
      <c r="T982" s="151">
        <v>0</v>
      </c>
      <c r="U982" s="151">
        <v>0</v>
      </c>
      <c r="V982" s="15"/>
      <c r="W982" s="22">
        <v>0</v>
      </c>
      <c r="X982" s="149">
        <v>0</v>
      </c>
      <c r="Y982" s="15"/>
      <c r="Z982" s="151">
        <v>0</v>
      </c>
      <c r="AA982" s="149">
        <f>Tabela4[[#This Row],[VALOR]]-Tabela4[[#This Row],[PNEUS]]-Tabela4[[#This Row],[BATERIA]]</f>
        <v>130.01</v>
      </c>
      <c r="AB982" s="19" t="s">
        <v>36</v>
      </c>
      <c r="AC982" s="30">
        <v>0</v>
      </c>
      <c r="AD982" s="162">
        <v>0</v>
      </c>
      <c r="AE982" s="151">
        <v>0</v>
      </c>
      <c r="AF982" s="151">
        <v>0</v>
      </c>
      <c r="AG982" s="151">
        <v>0</v>
      </c>
      <c r="AH982" s="151">
        <v>0</v>
      </c>
      <c r="AI982" s="151">
        <v>0</v>
      </c>
      <c r="AJ982" s="151">
        <v>0</v>
      </c>
    </row>
    <row r="983" spans="1:36" x14ac:dyDescent="0.25">
      <c r="A983" s="68" t="s">
        <v>1514</v>
      </c>
      <c r="B983" s="68" t="s">
        <v>1515</v>
      </c>
      <c r="C983" s="146">
        <v>45472</v>
      </c>
      <c r="D983" s="141">
        <v>45472</v>
      </c>
      <c r="E983">
        <f>Tabela4[[#This Row],[DATA FATURAMENTO]]-Tabela4[[#This Row],[DATA ORÇAMENTO]]</f>
        <v>0</v>
      </c>
      <c r="F983" s="68">
        <v>11949</v>
      </c>
      <c r="G983" s="15" t="s">
        <v>22</v>
      </c>
      <c r="H983" s="25"/>
      <c r="I983" s="151">
        <v>751.44</v>
      </c>
      <c r="J983" s="151">
        <f t="shared" si="3"/>
        <v>848.56</v>
      </c>
      <c r="K983" s="158">
        <v>1600</v>
      </c>
      <c r="L983" s="151">
        <v>110</v>
      </c>
      <c r="M983" s="151">
        <v>0</v>
      </c>
      <c r="N983" s="24"/>
      <c r="O983" s="151">
        <v>210</v>
      </c>
      <c r="P983" s="151">
        <v>0</v>
      </c>
      <c r="Q983" s="151">
        <v>0</v>
      </c>
      <c r="R983" s="151">
        <v>0</v>
      </c>
      <c r="S983" s="154">
        <v>128</v>
      </c>
      <c r="T983" s="151">
        <v>0</v>
      </c>
      <c r="U983" s="151">
        <v>0</v>
      </c>
      <c r="V983" s="15"/>
      <c r="W983" s="22">
        <v>4</v>
      </c>
      <c r="X983" s="149">
        <v>74.8</v>
      </c>
      <c r="Y983" s="15" t="s">
        <v>1251</v>
      </c>
      <c r="Z983" s="151">
        <v>0</v>
      </c>
      <c r="AA983" s="149">
        <f>Tabela4[[#This Row],[VALOR]]-Tabela4[[#This Row],[PNEUS]]-Tabela4[[#This Row],[BATERIA]]</f>
        <v>1600</v>
      </c>
      <c r="AB983" s="19" t="s">
        <v>24</v>
      </c>
      <c r="AC983" s="30">
        <v>0</v>
      </c>
      <c r="AD983" s="162">
        <v>0</v>
      </c>
      <c r="AE983" s="151">
        <v>0</v>
      </c>
      <c r="AF983" s="151">
        <v>0</v>
      </c>
      <c r="AG983" s="151">
        <v>0</v>
      </c>
      <c r="AH983" s="151">
        <v>0</v>
      </c>
      <c r="AI983" s="151">
        <v>0</v>
      </c>
      <c r="AJ983" s="151">
        <v>0</v>
      </c>
    </row>
    <row r="984" spans="1:36" x14ac:dyDescent="0.25">
      <c r="A984" s="68" t="s">
        <v>1516</v>
      </c>
      <c r="B984" s="68" t="s">
        <v>846</v>
      </c>
      <c r="C984" s="146">
        <v>45472</v>
      </c>
      <c r="D984" s="141">
        <v>45472</v>
      </c>
      <c r="E984">
        <f>Tabela4[[#This Row],[DATA FATURAMENTO]]-Tabela4[[#This Row],[DATA ORÇAMENTO]]</f>
        <v>0</v>
      </c>
      <c r="F984" s="68">
        <v>11951</v>
      </c>
      <c r="G984" s="15" t="s">
        <v>35</v>
      </c>
      <c r="H984" s="25"/>
      <c r="I984" s="151">
        <v>35</v>
      </c>
      <c r="J984" s="151">
        <f t="shared" si="3"/>
        <v>0</v>
      </c>
      <c r="K984" s="158">
        <v>35</v>
      </c>
      <c r="L984" s="151">
        <v>0</v>
      </c>
      <c r="M984" s="151">
        <v>0</v>
      </c>
      <c r="N984" s="24"/>
      <c r="O984" s="151">
        <v>0</v>
      </c>
      <c r="P984" s="151">
        <v>0</v>
      </c>
      <c r="Q984" s="151">
        <v>0</v>
      </c>
      <c r="R984" s="151">
        <v>0</v>
      </c>
      <c r="S984" s="154">
        <v>0</v>
      </c>
      <c r="T984" s="151">
        <v>0</v>
      </c>
      <c r="U984" s="151">
        <v>0</v>
      </c>
      <c r="V984" s="15"/>
      <c r="W984" s="22">
        <v>0</v>
      </c>
      <c r="X984" s="149">
        <v>0</v>
      </c>
      <c r="Y984" s="15"/>
      <c r="Z984" s="151">
        <v>0</v>
      </c>
      <c r="AA984" s="149">
        <f>Tabela4[[#This Row],[VALOR]]-Tabela4[[#This Row],[PNEUS]]-Tabela4[[#This Row],[BATERIA]]</f>
        <v>35</v>
      </c>
      <c r="AB984" s="19" t="s">
        <v>38</v>
      </c>
      <c r="AC984" s="30">
        <v>0</v>
      </c>
      <c r="AD984" s="162">
        <v>0</v>
      </c>
      <c r="AE984" s="151">
        <v>0</v>
      </c>
      <c r="AF984" s="151">
        <v>0</v>
      </c>
      <c r="AG984" s="151">
        <v>0</v>
      </c>
      <c r="AH984" s="151">
        <v>0</v>
      </c>
      <c r="AI984" s="151">
        <v>0</v>
      </c>
      <c r="AJ984" s="151">
        <v>0</v>
      </c>
    </row>
    <row r="985" spans="1:36" x14ac:dyDescent="0.25">
      <c r="A985" s="68" t="s">
        <v>1517</v>
      </c>
      <c r="B985" s="68" t="s">
        <v>1518</v>
      </c>
      <c r="C985" s="146">
        <v>45472</v>
      </c>
      <c r="D985" s="141">
        <v>45472</v>
      </c>
      <c r="E985">
        <f>Tabela4[[#This Row],[DATA FATURAMENTO]]-Tabela4[[#This Row],[DATA ORÇAMENTO]]</f>
        <v>0</v>
      </c>
      <c r="F985" s="68">
        <v>11953</v>
      </c>
      <c r="G985" s="15" t="s">
        <v>22</v>
      </c>
      <c r="H985" s="25"/>
      <c r="I985" s="151">
        <v>530</v>
      </c>
      <c r="J985" s="151">
        <f t="shared" si="3"/>
        <v>0</v>
      </c>
      <c r="K985" s="158">
        <v>530</v>
      </c>
      <c r="L985" s="151">
        <v>0</v>
      </c>
      <c r="M985" s="151">
        <v>0</v>
      </c>
      <c r="N985" s="24"/>
      <c r="O985" s="151">
        <v>0</v>
      </c>
      <c r="P985" s="151">
        <v>0</v>
      </c>
      <c r="Q985" s="151">
        <v>0</v>
      </c>
      <c r="R985" s="151">
        <v>0</v>
      </c>
      <c r="S985" s="154">
        <v>0</v>
      </c>
      <c r="T985" s="151">
        <v>0</v>
      </c>
      <c r="U985" s="151">
        <v>530</v>
      </c>
      <c r="V985" s="15" t="s">
        <v>684</v>
      </c>
      <c r="W985" s="22">
        <v>0</v>
      </c>
      <c r="X985" s="149">
        <v>0</v>
      </c>
      <c r="Y985" s="15"/>
      <c r="Z985" s="151">
        <v>0</v>
      </c>
      <c r="AA985" s="149">
        <f>Tabela4[[#This Row],[VALOR]]-Tabela4[[#This Row],[PNEUS]]-Tabela4[[#This Row],[BATERIA]]</f>
        <v>0</v>
      </c>
      <c r="AB985" s="19" t="s">
        <v>38</v>
      </c>
      <c r="AC985" s="30">
        <v>0</v>
      </c>
      <c r="AD985" s="162">
        <v>0</v>
      </c>
      <c r="AE985" s="151">
        <v>0</v>
      </c>
      <c r="AF985" s="151">
        <v>0</v>
      </c>
      <c r="AG985" s="151">
        <v>0</v>
      </c>
      <c r="AH985" s="151">
        <v>0</v>
      </c>
      <c r="AI985" s="151">
        <v>0</v>
      </c>
      <c r="AJ985" s="151">
        <v>0</v>
      </c>
    </row>
    <row r="986" spans="1:36" x14ac:dyDescent="0.25">
      <c r="A986" s="68" t="s">
        <v>1519</v>
      </c>
      <c r="B986" s="68" t="s">
        <v>1520</v>
      </c>
      <c r="C986" s="146">
        <v>45474</v>
      </c>
      <c r="D986" s="141">
        <v>45474</v>
      </c>
      <c r="E986">
        <f>Tabela4[[#This Row],[DATA FATURAMENTO]]-Tabela4[[#This Row],[DATA ORÇAMENTO]]</f>
        <v>0</v>
      </c>
      <c r="F986" s="68">
        <v>11967</v>
      </c>
      <c r="G986" s="15" t="s">
        <v>22</v>
      </c>
      <c r="H986" s="25"/>
      <c r="I986" s="151">
        <v>661.5</v>
      </c>
      <c r="J986" s="151">
        <f t="shared" si="3"/>
        <v>488.52</v>
      </c>
      <c r="K986" s="158">
        <v>1150.02</v>
      </c>
      <c r="L986" s="151">
        <v>0</v>
      </c>
      <c r="M986" s="151">
        <v>0</v>
      </c>
      <c r="N986" s="24"/>
      <c r="O986" s="151">
        <v>233.49</v>
      </c>
      <c r="P986" s="151">
        <v>78.2</v>
      </c>
      <c r="Q986" s="151">
        <v>175</v>
      </c>
      <c r="R986" s="151">
        <v>0</v>
      </c>
      <c r="S986" s="154">
        <v>78.8</v>
      </c>
      <c r="T986" s="151">
        <v>0</v>
      </c>
      <c r="U986" s="151">
        <v>0</v>
      </c>
      <c r="V986" s="15"/>
      <c r="W986" s="22">
        <v>3</v>
      </c>
      <c r="X986" s="149">
        <v>59.9</v>
      </c>
      <c r="Y986" s="15" t="s">
        <v>1344</v>
      </c>
      <c r="Z986" s="151">
        <v>0</v>
      </c>
      <c r="AA986" s="149">
        <f>Tabela4[[#This Row],[VALOR]]-Tabela4[[#This Row],[PNEUS]]-Tabela4[[#This Row],[BATERIA]]</f>
        <v>1150.02</v>
      </c>
      <c r="AB986" s="19" t="s">
        <v>36</v>
      </c>
      <c r="AC986" s="30">
        <v>0</v>
      </c>
      <c r="AD986" s="162">
        <v>0</v>
      </c>
      <c r="AE986" s="151">
        <v>0</v>
      </c>
      <c r="AF986" s="151">
        <v>0</v>
      </c>
      <c r="AG986" s="151">
        <v>0</v>
      </c>
      <c r="AH986" s="151">
        <v>0</v>
      </c>
      <c r="AI986" s="151">
        <v>0</v>
      </c>
      <c r="AJ986" s="151">
        <v>0</v>
      </c>
    </row>
    <row r="987" spans="1:36" x14ac:dyDescent="0.25">
      <c r="A987" s="68" t="s">
        <v>1521</v>
      </c>
      <c r="B987" s="68" t="s">
        <v>1522</v>
      </c>
      <c r="C987" s="146">
        <v>45474</v>
      </c>
      <c r="D987" s="141">
        <v>45474</v>
      </c>
      <c r="E987">
        <f>Tabela4[[#This Row],[DATA FATURAMENTO]]-Tabela4[[#This Row],[DATA ORÇAMENTO]]</f>
        <v>0</v>
      </c>
      <c r="F987" s="68">
        <v>11956</v>
      </c>
      <c r="G987" s="15" t="s">
        <v>35</v>
      </c>
      <c r="H987" s="25"/>
      <c r="I987" s="151">
        <v>927.7</v>
      </c>
      <c r="J987" s="151">
        <f t="shared" si="3"/>
        <v>810</v>
      </c>
      <c r="K987" s="158">
        <v>1737.7</v>
      </c>
      <c r="L987" s="151">
        <v>0</v>
      </c>
      <c r="M987" s="151">
        <v>0</v>
      </c>
      <c r="N987" s="24"/>
      <c r="O987" s="151">
        <v>0</v>
      </c>
      <c r="P987" s="151">
        <v>0</v>
      </c>
      <c r="Q987" s="151">
        <v>0</v>
      </c>
      <c r="R987" s="151">
        <v>0</v>
      </c>
      <c r="S987" s="154">
        <v>0</v>
      </c>
      <c r="T987" s="151">
        <v>0</v>
      </c>
      <c r="U987" s="151">
        <v>0</v>
      </c>
      <c r="V987" s="15"/>
      <c r="W987" s="22">
        <v>0</v>
      </c>
      <c r="X987" s="149">
        <v>0</v>
      </c>
      <c r="Y987" s="15"/>
      <c r="Z987" s="151">
        <v>0</v>
      </c>
      <c r="AA987" s="149">
        <f>Tabela4[[#This Row],[VALOR]]-Tabela4[[#This Row],[PNEUS]]-Tabela4[[#This Row],[BATERIA]]</f>
        <v>1737.7</v>
      </c>
      <c r="AB987" s="19" t="s">
        <v>24</v>
      </c>
      <c r="AC987" s="30">
        <v>0</v>
      </c>
      <c r="AD987" s="162">
        <v>0</v>
      </c>
      <c r="AE987" s="151">
        <v>0</v>
      </c>
      <c r="AF987" s="151">
        <v>0</v>
      </c>
      <c r="AG987" s="151">
        <v>0</v>
      </c>
      <c r="AH987" s="151">
        <v>0</v>
      </c>
      <c r="AI987" s="151">
        <v>0</v>
      </c>
      <c r="AJ987" s="151">
        <v>0</v>
      </c>
    </row>
    <row r="988" spans="1:36" x14ac:dyDescent="0.25">
      <c r="A988" s="68" t="s">
        <v>788</v>
      </c>
      <c r="B988" s="68" t="s">
        <v>875</v>
      </c>
      <c r="C988" s="146">
        <v>45474</v>
      </c>
      <c r="D988" s="141">
        <v>45474</v>
      </c>
      <c r="E988">
        <f>Tabela4[[#This Row],[DATA FATURAMENTO]]-Tabela4[[#This Row],[DATA ORÇAMENTO]]</f>
        <v>0</v>
      </c>
      <c r="F988" s="68">
        <v>11965</v>
      </c>
      <c r="G988" s="15" t="s">
        <v>22</v>
      </c>
      <c r="H988" s="25"/>
      <c r="I988" s="151">
        <v>1280.8</v>
      </c>
      <c r="J988" s="151">
        <f t="shared" si="3"/>
        <v>529.20000000000005</v>
      </c>
      <c r="K988" s="158">
        <v>1810</v>
      </c>
      <c r="L988" s="151">
        <v>108.24</v>
      </c>
      <c r="M988" s="151">
        <v>0</v>
      </c>
      <c r="N988" s="24"/>
      <c r="O988" s="151">
        <v>0</v>
      </c>
      <c r="P988" s="151">
        <v>0</v>
      </c>
      <c r="Q988" s="151">
        <v>0</v>
      </c>
      <c r="R988" s="151">
        <v>0</v>
      </c>
      <c r="S988" s="154">
        <v>0</v>
      </c>
      <c r="T988" s="151">
        <v>0</v>
      </c>
      <c r="U988" s="151">
        <v>0</v>
      </c>
      <c r="V988" s="15"/>
      <c r="W988" s="22">
        <v>5</v>
      </c>
      <c r="X988" s="149">
        <v>64.5</v>
      </c>
      <c r="Y988" s="15" t="s">
        <v>1344</v>
      </c>
      <c r="Z988" s="151">
        <v>0</v>
      </c>
      <c r="AA988" s="149">
        <f>Tabela4[[#This Row],[VALOR]]-Tabela4[[#This Row],[PNEUS]]-Tabela4[[#This Row],[BATERIA]]</f>
        <v>1810</v>
      </c>
      <c r="AB988" s="19" t="s">
        <v>27</v>
      </c>
      <c r="AC988" s="30">
        <v>0</v>
      </c>
      <c r="AD988" s="162">
        <v>0</v>
      </c>
      <c r="AE988" s="151">
        <v>0</v>
      </c>
      <c r="AF988" s="151">
        <v>0</v>
      </c>
      <c r="AG988" s="151">
        <v>0</v>
      </c>
      <c r="AH988" s="151">
        <v>0</v>
      </c>
      <c r="AI988" s="151">
        <v>0</v>
      </c>
      <c r="AJ988" s="151">
        <v>0</v>
      </c>
    </row>
    <row r="989" spans="1:36" x14ac:dyDescent="0.25">
      <c r="A989" s="68" t="s">
        <v>356</v>
      </c>
      <c r="B989" s="68" t="s">
        <v>1046</v>
      </c>
      <c r="C989" s="146">
        <v>45474</v>
      </c>
      <c r="D989" s="141">
        <v>45474</v>
      </c>
      <c r="E989">
        <f>Tabela4[[#This Row],[DATA FATURAMENTO]]-Tabela4[[#This Row],[DATA ORÇAMENTO]]</f>
        <v>0</v>
      </c>
      <c r="F989" s="68">
        <v>11974</v>
      </c>
      <c r="G989" s="15" t="s">
        <v>35</v>
      </c>
      <c r="H989" s="25"/>
      <c r="I989" s="151">
        <v>450</v>
      </c>
      <c r="J989" s="151">
        <f t="shared" si="3"/>
        <v>0</v>
      </c>
      <c r="K989" s="158">
        <v>450</v>
      </c>
      <c r="L989" s="151">
        <v>0</v>
      </c>
      <c r="M989" s="151">
        <v>0</v>
      </c>
      <c r="N989" s="24"/>
      <c r="O989" s="151">
        <v>0</v>
      </c>
      <c r="P989" s="151">
        <v>0</v>
      </c>
      <c r="Q989" s="151">
        <v>0</v>
      </c>
      <c r="R989" s="151">
        <v>0</v>
      </c>
      <c r="S989" s="154">
        <v>0</v>
      </c>
      <c r="T989" s="151">
        <v>0</v>
      </c>
      <c r="U989" s="151">
        <v>0</v>
      </c>
      <c r="V989" s="15"/>
      <c r="W989" s="22">
        <v>4</v>
      </c>
      <c r="X989" s="149">
        <v>79</v>
      </c>
      <c r="Y989" s="15" t="s">
        <v>1251</v>
      </c>
      <c r="Z989" s="151">
        <v>0</v>
      </c>
      <c r="AA989" s="149">
        <f>Tabela4[[#This Row],[VALOR]]-Tabela4[[#This Row],[PNEUS]]-Tabela4[[#This Row],[BATERIA]]</f>
        <v>450</v>
      </c>
      <c r="AB989" s="19" t="s">
        <v>34</v>
      </c>
      <c r="AC989" s="30">
        <v>0</v>
      </c>
      <c r="AD989" s="162">
        <v>0</v>
      </c>
      <c r="AE989" s="151">
        <v>0</v>
      </c>
      <c r="AF989" s="151">
        <v>0</v>
      </c>
      <c r="AG989" s="151">
        <v>0</v>
      </c>
      <c r="AH989" s="151">
        <v>0</v>
      </c>
      <c r="AI989" s="151">
        <v>0</v>
      </c>
      <c r="AJ989" s="151">
        <v>0</v>
      </c>
    </row>
    <row r="990" spans="1:36" x14ac:dyDescent="0.25">
      <c r="A990" s="68" t="s">
        <v>1501</v>
      </c>
      <c r="B990" s="68" t="s">
        <v>1042</v>
      </c>
      <c r="C990" s="146">
        <v>45471</v>
      </c>
      <c r="D990" s="141">
        <v>45475</v>
      </c>
      <c r="E990">
        <f>Tabela4[[#This Row],[DATA FATURAMENTO]]-Tabela4[[#This Row],[DATA ORÇAMENTO]]</f>
        <v>4</v>
      </c>
      <c r="F990" s="68">
        <v>11943</v>
      </c>
      <c r="G990" s="15" t="s">
        <v>31</v>
      </c>
      <c r="H990" s="25"/>
      <c r="I990" s="151">
        <v>2597.8000000000002</v>
      </c>
      <c r="J990" s="151">
        <f t="shared" si="3"/>
        <v>2302.1999999999998</v>
      </c>
      <c r="K990" s="158">
        <v>4900</v>
      </c>
      <c r="L990" s="151">
        <v>0</v>
      </c>
      <c r="M990" s="151">
        <v>0</v>
      </c>
      <c r="N990" s="24"/>
      <c r="O990" s="151">
        <v>190</v>
      </c>
      <c r="P990" s="151">
        <v>0</v>
      </c>
      <c r="Q990" s="151">
        <v>0</v>
      </c>
      <c r="R990" s="151">
        <v>0</v>
      </c>
      <c r="S990" s="154">
        <v>0</v>
      </c>
      <c r="T990" s="151">
        <v>0</v>
      </c>
      <c r="U990" s="151">
        <v>0</v>
      </c>
      <c r="V990" s="15"/>
      <c r="W990" s="22">
        <v>0</v>
      </c>
      <c r="X990" s="149">
        <v>0</v>
      </c>
      <c r="Y990" s="15"/>
      <c r="Z990" s="151">
        <v>0</v>
      </c>
      <c r="AA990" s="149">
        <f>Tabela4[[#This Row],[VALOR]]-Tabela4[[#This Row],[PNEUS]]-Tabela4[[#This Row],[BATERIA]]</f>
        <v>4900</v>
      </c>
      <c r="AB990" s="19" t="s">
        <v>32</v>
      </c>
      <c r="AC990" s="30">
        <v>0</v>
      </c>
      <c r="AD990" s="162">
        <v>0</v>
      </c>
      <c r="AE990" s="151">
        <v>0</v>
      </c>
      <c r="AF990" s="151">
        <v>0</v>
      </c>
      <c r="AG990" s="151">
        <v>0</v>
      </c>
      <c r="AH990" s="151">
        <v>0</v>
      </c>
      <c r="AI990" s="151">
        <v>0</v>
      </c>
      <c r="AJ990" s="151">
        <v>0</v>
      </c>
    </row>
    <row r="991" spans="1:36" x14ac:dyDescent="0.25">
      <c r="A991" s="68" t="s">
        <v>1523</v>
      </c>
      <c r="B991" s="68" t="s">
        <v>881</v>
      </c>
      <c r="C991" s="146">
        <v>45474</v>
      </c>
      <c r="D991" s="141">
        <v>45475</v>
      </c>
      <c r="E991">
        <f>Tabela4[[#This Row],[DATA FATURAMENTO]]-Tabela4[[#This Row],[DATA ORÇAMENTO]]</f>
        <v>1</v>
      </c>
      <c r="F991" s="68">
        <v>11966</v>
      </c>
      <c r="G991" s="15" t="s">
        <v>31</v>
      </c>
      <c r="H991" s="25"/>
      <c r="I991" s="151">
        <v>1007.21</v>
      </c>
      <c r="J991" s="151">
        <f t="shared" si="3"/>
        <v>692.81</v>
      </c>
      <c r="K991" s="158">
        <v>1700.02</v>
      </c>
      <c r="L991" s="151">
        <v>0</v>
      </c>
      <c r="M991" s="151">
        <v>0</v>
      </c>
      <c r="N991" s="24"/>
      <c r="O991" s="151">
        <v>187.4</v>
      </c>
      <c r="P991" s="151">
        <v>117.4</v>
      </c>
      <c r="Q991" s="151">
        <v>160</v>
      </c>
      <c r="R991" s="151">
        <v>0</v>
      </c>
      <c r="S991" s="154">
        <v>160</v>
      </c>
      <c r="T991" s="151">
        <v>0</v>
      </c>
      <c r="U991" s="151">
        <v>0</v>
      </c>
      <c r="V991" s="15"/>
      <c r="W991" s="22">
        <v>3</v>
      </c>
      <c r="X991" s="149">
        <v>58.8</v>
      </c>
      <c r="Y991" s="15" t="s">
        <v>1344</v>
      </c>
      <c r="Z991" s="151">
        <v>0</v>
      </c>
      <c r="AA991" s="149">
        <f>Tabela4[[#This Row],[VALOR]]-Tabela4[[#This Row],[PNEUS]]-Tabela4[[#This Row],[BATERIA]]</f>
        <v>1700.02</v>
      </c>
      <c r="AB991" s="19" t="s">
        <v>27</v>
      </c>
      <c r="AC991" s="30">
        <v>0</v>
      </c>
      <c r="AD991" s="162">
        <v>0</v>
      </c>
      <c r="AE991" s="151">
        <v>0</v>
      </c>
      <c r="AF991" s="151">
        <v>0</v>
      </c>
      <c r="AG991" s="151">
        <v>0</v>
      </c>
      <c r="AH991" s="151">
        <v>0</v>
      </c>
      <c r="AI991" s="151">
        <v>0</v>
      </c>
      <c r="AJ991" s="151">
        <v>0</v>
      </c>
    </row>
    <row r="992" spans="1:36" x14ac:dyDescent="0.25">
      <c r="A992" s="68" t="s">
        <v>1524</v>
      </c>
      <c r="B992" s="68" t="s">
        <v>1525</v>
      </c>
      <c r="C992" s="146">
        <v>45475</v>
      </c>
      <c r="D992" s="141">
        <v>45475</v>
      </c>
      <c r="E992">
        <f>Tabela4[[#This Row],[DATA FATURAMENTO]]-Tabela4[[#This Row],[DATA ORÇAMENTO]]</f>
        <v>0</v>
      </c>
      <c r="F992" s="68">
        <v>11980</v>
      </c>
      <c r="G992" s="71" t="s">
        <v>22</v>
      </c>
      <c r="H992" s="25"/>
      <c r="I992" s="151">
        <v>0</v>
      </c>
      <c r="J992" s="151">
        <f t="shared" si="3"/>
        <v>0.02</v>
      </c>
      <c r="K992" s="158">
        <v>0.02</v>
      </c>
      <c r="L992" s="151">
        <v>0</v>
      </c>
      <c r="M992" s="151">
        <v>0</v>
      </c>
      <c r="N992" s="24"/>
      <c r="O992" s="151">
        <v>0</v>
      </c>
      <c r="P992" s="151">
        <v>0</v>
      </c>
      <c r="Q992" s="151">
        <v>0</v>
      </c>
      <c r="R992" s="151">
        <v>0</v>
      </c>
      <c r="S992" s="154">
        <v>0</v>
      </c>
      <c r="T992" s="151">
        <v>0</v>
      </c>
      <c r="U992" s="151">
        <v>0</v>
      </c>
      <c r="V992" s="15"/>
      <c r="W992" s="22">
        <v>0</v>
      </c>
      <c r="X992" s="149">
        <v>0</v>
      </c>
      <c r="Y992" s="15"/>
      <c r="Z992" s="151">
        <v>0</v>
      </c>
      <c r="AA992" s="149">
        <f>Tabela4[[#This Row],[VALOR]]-Tabela4[[#This Row],[PNEUS]]-Tabela4[[#This Row],[BATERIA]]</f>
        <v>0.02</v>
      </c>
      <c r="AB992" s="19" t="s">
        <v>36</v>
      </c>
      <c r="AC992" s="30">
        <v>0</v>
      </c>
      <c r="AD992" s="162">
        <v>0</v>
      </c>
      <c r="AE992" s="151">
        <v>0</v>
      </c>
      <c r="AF992" s="151">
        <v>0</v>
      </c>
      <c r="AG992" s="151">
        <v>0</v>
      </c>
      <c r="AH992" s="151">
        <v>0</v>
      </c>
      <c r="AI992" s="151">
        <v>0</v>
      </c>
      <c r="AJ992" s="151">
        <v>0</v>
      </c>
    </row>
    <row r="993" spans="1:36" x14ac:dyDescent="0.25">
      <c r="A993" s="68" t="s">
        <v>1526</v>
      </c>
      <c r="B993" s="68" t="s">
        <v>974</v>
      </c>
      <c r="C993" s="146">
        <v>45475</v>
      </c>
      <c r="D993" s="141">
        <v>45475</v>
      </c>
      <c r="E993">
        <f>Tabela4[[#This Row],[DATA FATURAMENTO]]-Tabela4[[#This Row],[DATA ORÇAMENTO]]</f>
        <v>0</v>
      </c>
      <c r="F993" s="68">
        <v>11989</v>
      </c>
      <c r="G993" s="15" t="s">
        <v>31</v>
      </c>
      <c r="H993" s="25"/>
      <c r="I993" s="151">
        <v>50</v>
      </c>
      <c r="J993" s="151">
        <f t="shared" si="3"/>
        <v>0</v>
      </c>
      <c r="K993" s="158">
        <v>50</v>
      </c>
      <c r="L993" s="151">
        <v>0</v>
      </c>
      <c r="M993" s="151">
        <v>0</v>
      </c>
      <c r="N993" s="24"/>
      <c r="O993" s="151">
        <v>0</v>
      </c>
      <c r="P993" s="151">
        <v>0</v>
      </c>
      <c r="Q993" s="151">
        <v>0</v>
      </c>
      <c r="R993" s="151">
        <v>0</v>
      </c>
      <c r="S993" s="154">
        <v>0</v>
      </c>
      <c r="T993" s="151">
        <v>0</v>
      </c>
      <c r="U993" s="151">
        <v>0</v>
      </c>
      <c r="V993" s="15"/>
      <c r="W993" s="22">
        <v>0</v>
      </c>
      <c r="X993" s="149">
        <v>0</v>
      </c>
      <c r="Y993" s="15"/>
      <c r="Z993" s="151">
        <v>0</v>
      </c>
      <c r="AA993" s="149">
        <f>Tabela4[[#This Row],[VALOR]]-Tabela4[[#This Row],[PNEUS]]-Tabela4[[#This Row],[BATERIA]]</f>
        <v>50</v>
      </c>
      <c r="AB993" s="19" t="s">
        <v>38</v>
      </c>
      <c r="AC993" s="30">
        <v>0</v>
      </c>
      <c r="AD993" s="162">
        <v>0</v>
      </c>
      <c r="AE993" s="151">
        <v>0</v>
      </c>
      <c r="AF993" s="151">
        <v>0</v>
      </c>
      <c r="AG993" s="151">
        <v>0</v>
      </c>
      <c r="AH993" s="151">
        <v>0</v>
      </c>
      <c r="AI993" s="151">
        <v>0</v>
      </c>
      <c r="AJ993" s="151">
        <v>0</v>
      </c>
    </row>
    <row r="994" spans="1:36" x14ac:dyDescent="0.25">
      <c r="A994" s="68" t="s">
        <v>1527</v>
      </c>
      <c r="B994" s="68" t="s">
        <v>1528</v>
      </c>
      <c r="C994" s="146">
        <v>45475</v>
      </c>
      <c r="D994" s="141">
        <v>45475</v>
      </c>
      <c r="E994">
        <f>Tabela4[[#This Row],[DATA FATURAMENTO]]-Tabela4[[#This Row],[DATA ORÇAMENTO]]</f>
        <v>0</v>
      </c>
      <c r="F994" s="68">
        <v>11992</v>
      </c>
      <c r="G994" s="15" t="s">
        <v>39</v>
      </c>
      <c r="H994" s="25" t="s">
        <v>44</v>
      </c>
      <c r="I994" s="151">
        <v>20</v>
      </c>
      <c r="J994" s="151">
        <f t="shared" si="3"/>
        <v>120.00999999999999</v>
      </c>
      <c r="K994" s="158">
        <v>140.01</v>
      </c>
      <c r="L994" s="151">
        <v>0</v>
      </c>
      <c r="M994" s="151">
        <v>0</v>
      </c>
      <c r="N994" s="24"/>
      <c r="O994" s="151">
        <v>0</v>
      </c>
      <c r="P994" s="151">
        <v>0</v>
      </c>
      <c r="Q994" s="151">
        <v>0</v>
      </c>
      <c r="R994" s="151">
        <v>0</v>
      </c>
      <c r="S994" s="154">
        <v>0</v>
      </c>
      <c r="T994" s="151">
        <v>0</v>
      </c>
      <c r="U994" s="151">
        <v>0</v>
      </c>
      <c r="V994" s="15"/>
      <c r="W994" s="22">
        <v>0</v>
      </c>
      <c r="X994" s="149">
        <v>0</v>
      </c>
      <c r="Y994" s="15"/>
      <c r="Z994" s="151">
        <v>0</v>
      </c>
      <c r="AA994" s="149">
        <f>Tabela4[[#This Row],[VALOR]]-Tabela4[[#This Row],[PNEUS]]-Tabela4[[#This Row],[BATERIA]]</f>
        <v>140.01</v>
      </c>
      <c r="AB994" s="19" t="s">
        <v>27</v>
      </c>
      <c r="AC994" s="30">
        <v>0</v>
      </c>
      <c r="AD994" s="162">
        <v>0</v>
      </c>
      <c r="AE994" s="151">
        <v>0</v>
      </c>
      <c r="AF994" s="151">
        <v>0</v>
      </c>
      <c r="AG994" s="151">
        <v>0</v>
      </c>
      <c r="AH994" s="151">
        <v>0</v>
      </c>
      <c r="AI994" s="151">
        <v>0</v>
      </c>
      <c r="AJ994" s="151">
        <v>0</v>
      </c>
    </row>
    <row r="995" spans="1:36" x14ac:dyDescent="0.25">
      <c r="A995" s="68" t="s">
        <v>1529</v>
      </c>
      <c r="B995" s="68" t="s">
        <v>1084</v>
      </c>
      <c r="C995" s="146">
        <v>45475</v>
      </c>
      <c r="D995" s="141">
        <v>45476</v>
      </c>
      <c r="E995">
        <f>Tabela4[[#This Row],[DATA FATURAMENTO]]-Tabela4[[#This Row],[DATA ORÇAMENTO]]</f>
        <v>1</v>
      </c>
      <c r="F995" s="68">
        <v>11994</v>
      </c>
      <c r="G995" s="15" t="s">
        <v>22</v>
      </c>
      <c r="H995" s="25"/>
      <c r="I995" s="151">
        <v>79.900000000000006</v>
      </c>
      <c r="J995" s="151">
        <f t="shared" si="3"/>
        <v>0</v>
      </c>
      <c r="K995" s="158">
        <v>79.900000000000006</v>
      </c>
      <c r="L995" s="151">
        <v>0</v>
      </c>
      <c r="M995" s="151">
        <v>0</v>
      </c>
      <c r="N995" s="24"/>
      <c r="O995" s="151">
        <v>0</v>
      </c>
      <c r="P995" s="151">
        <v>0</v>
      </c>
      <c r="Q995" s="151">
        <v>0</v>
      </c>
      <c r="R995" s="151">
        <v>0</v>
      </c>
      <c r="S995" s="154">
        <v>79.900000000000006</v>
      </c>
      <c r="T995" s="151">
        <v>0</v>
      </c>
      <c r="U995" s="151">
        <v>0</v>
      </c>
      <c r="V995" s="15"/>
      <c r="W995" s="22">
        <v>0</v>
      </c>
      <c r="X995" s="149">
        <v>0</v>
      </c>
      <c r="Y995" s="15"/>
      <c r="Z995" s="151">
        <v>0</v>
      </c>
      <c r="AA995" s="149">
        <f>Tabela4[[#This Row],[VALOR]]-Tabela4[[#This Row],[PNEUS]]-Tabela4[[#This Row],[BATERIA]]</f>
        <v>79.900000000000006</v>
      </c>
      <c r="AB995" s="19" t="s">
        <v>24</v>
      </c>
      <c r="AC995" s="30">
        <v>0</v>
      </c>
      <c r="AD995" s="162">
        <v>0</v>
      </c>
      <c r="AE995" s="151">
        <v>0</v>
      </c>
      <c r="AF995" s="151">
        <v>0</v>
      </c>
      <c r="AG995" s="151">
        <v>0</v>
      </c>
      <c r="AH995" s="151">
        <v>0</v>
      </c>
      <c r="AI995" s="151">
        <v>0</v>
      </c>
      <c r="AJ995" s="151">
        <v>0</v>
      </c>
    </row>
    <row r="996" spans="1:36" x14ac:dyDescent="0.25">
      <c r="A996" s="68" t="s">
        <v>1530</v>
      </c>
      <c r="B996" s="68" t="s">
        <v>1198</v>
      </c>
      <c r="C996" s="146">
        <v>45475</v>
      </c>
      <c r="D996" s="141">
        <v>45476</v>
      </c>
      <c r="E996">
        <f>Tabela4[[#This Row],[DATA FATURAMENTO]]-Tabela4[[#This Row],[DATA ORÇAMENTO]]</f>
        <v>1</v>
      </c>
      <c r="F996" s="68">
        <v>11955</v>
      </c>
      <c r="G996" s="15" t="s">
        <v>22</v>
      </c>
      <c r="H996" s="25"/>
      <c r="I996" s="151">
        <v>1147</v>
      </c>
      <c r="J996" s="151">
        <f t="shared" si="3"/>
        <v>690</v>
      </c>
      <c r="K996" s="158">
        <v>1837</v>
      </c>
      <c r="L996" s="151">
        <v>0</v>
      </c>
      <c r="M996" s="151">
        <v>0</v>
      </c>
      <c r="N996" s="24"/>
      <c r="O996" s="151">
        <v>0</v>
      </c>
      <c r="P996" s="151">
        <v>0</v>
      </c>
      <c r="Q996" s="151">
        <v>0</v>
      </c>
      <c r="R996" s="151">
        <v>0</v>
      </c>
      <c r="S996" s="154">
        <v>0</v>
      </c>
      <c r="T996" s="151">
        <v>0</v>
      </c>
      <c r="U996" s="151">
        <v>0</v>
      </c>
      <c r="V996" s="15"/>
      <c r="W996" s="22">
        <v>0</v>
      </c>
      <c r="X996" s="149">
        <v>0</v>
      </c>
      <c r="Y996" s="15"/>
      <c r="Z996" s="151">
        <v>0</v>
      </c>
      <c r="AA996" s="149">
        <f>Tabela4[[#This Row],[VALOR]]-Tabela4[[#This Row],[PNEUS]]-Tabela4[[#This Row],[BATERIA]]</f>
        <v>1837</v>
      </c>
      <c r="AB996" s="19" t="s">
        <v>34</v>
      </c>
      <c r="AC996" s="30">
        <v>0</v>
      </c>
      <c r="AD996" s="162">
        <v>0</v>
      </c>
      <c r="AE996" s="151">
        <v>0</v>
      </c>
      <c r="AF996" s="151">
        <v>0</v>
      </c>
      <c r="AG996" s="151">
        <v>0</v>
      </c>
      <c r="AH996" s="151">
        <v>0</v>
      </c>
      <c r="AI996" s="151">
        <v>0</v>
      </c>
      <c r="AJ996" s="151">
        <v>0</v>
      </c>
    </row>
    <row r="997" spans="1:36" x14ac:dyDescent="0.25">
      <c r="A997" s="68" t="s">
        <v>1531</v>
      </c>
      <c r="B997" s="68" t="s">
        <v>1511</v>
      </c>
      <c r="C997" s="146">
        <v>45475</v>
      </c>
      <c r="D997" s="141">
        <v>45476</v>
      </c>
      <c r="E997">
        <f>Tabela4[[#This Row],[DATA FATURAMENTO]]-Tabela4[[#This Row],[DATA ORÇAMENTO]]</f>
        <v>1</v>
      </c>
      <c r="F997" s="68">
        <v>12002</v>
      </c>
      <c r="G997" s="15" t="s">
        <v>22</v>
      </c>
      <c r="H997" s="25"/>
      <c r="I997" s="151">
        <v>1831.4</v>
      </c>
      <c r="J997" s="151">
        <f t="shared" si="3"/>
        <v>1177.5999999999999</v>
      </c>
      <c r="K997" s="158">
        <v>3009</v>
      </c>
      <c r="L997" s="151">
        <v>0</v>
      </c>
      <c r="M997" s="151">
        <v>0</v>
      </c>
      <c r="N997" s="24"/>
      <c r="O997" s="151">
        <v>0</v>
      </c>
      <c r="P997" s="151">
        <v>0</v>
      </c>
      <c r="Q997" s="151">
        <v>0</v>
      </c>
      <c r="R997" s="151">
        <v>0</v>
      </c>
      <c r="S997" s="154">
        <v>0</v>
      </c>
      <c r="T997" s="151">
        <v>0</v>
      </c>
      <c r="U997" s="151">
        <v>0</v>
      </c>
      <c r="V997" s="15"/>
      <c r="W997" s="22">
        <v>0</v>
      </c>
      <c r="X997" s="149">
        <v>0</v>
      </c>
      <c r="Y997" s="15"/>
      <c r="Z997" s="151">
        <v>0</v>
      </c>
      <c r="AA997" s="149">
        <f>Tabela4[[#This Row],[VALOR]]-Tabela4[[#This Row],[PNEUS]]-Tabela4[[#This Row],[BATERIA]]</f>
        <v>3009</v>
      </c>
      <c r="AB997" s="19" t="s">
        <v>36</v>
      </c>
      <c r="AC997" s="30">
        <v>0</v>
      </c>
      <c r="AD997" s="162">
        <v>0</v>
      </c>
      <c r="AE997" s="151">
        <v>0</v>
      </c>
      <c r="AF997" s="151">
        <v>0</v>
      </c>
      <c r="AG997" s="151">
        <v>0</v>
      </c>
      <c r="AH997" s="151">
        <v>0</v>
      </c>
      <c r="AI997" s="151">
        <v>0</v>
      </c>
      <c r="AJ997" s="151">
        <v>0</v>
      </c>
    </row>
    <row r="998" spans="1:36" x14ac:dyDescent="0.25">
      <c r="A998" s="68" t="s">
        <v>111</v>
      </c>
      <c r="B998" s="68" t="s">
        <v>876</v>
      </c>
      <c r="C998" s="146">
        <v>45474</v>
      </c>
      <c r="D998" s="141">
        <v>45477</v>
      </c>
      <c r="E998">
        <f>Tabela4[[#This Row],[DATA FATURAMENTO]]-Tabela4[[#This Row],[DATA ORÇAMENTO]]</f>
        <v>3</v>
      </c>
      <c r="F998" s="68">
        <v>11971</v>
      </c>
      <c r="G998" s="15" t="s">
        <v>22</v>
      </c>
      <c r="H998" s="25"/>
      <c r="I998" s="151">
        <v>809.2</v>
      </c>
      <c r="J998" s="151">
        <f t="shared" si="3"/>
        <v>540.79999999999995</v>
      </c>
      <c r="K998" s="158">
        <v>1350</v>
      </c>
      <c r="L998" s="151">
        <v>0</v>
      </c>
      <c r="M998" s="151">
        <v>0</v>
      </c>
      <c r="N998" s="24"/>
      <c r="O998" s="151">
        <v>0</v>
      </c>
      <c r="P998" s="151">
        <v>0</v>
      </c>
      <c r="Q998" s="151">
        <v>0</v>
      </c>
      <c r="R998" s="151">
        <v>0</v>
      </c>
      <c r="S998" s="154">
        <v>0</v>
      </c>
      <c r="T998" s="151">
        <v>0</v>
      </c>
      <c r="U998" s="151">
        <v>0</v>
      </c>
      <c r="V998" s="15"/>
      <c r="W998" s="22">
        <v>0</v>
      </c>
      <c r="X998" s="149">
        <v>0</v>
      </c>
      <c r="Y998" s="15"/>
      <c r="Z998" s="151">
        <v>0</v>
      </c>
      <c r="AA998" s="149">
        <f>Tabela4[[#This Row],[VALOR]]-Tabela4[[#This Row],[PNEUS]]-Tabela4[[#This Row],[BATERIA]]</f>
        <v>1350</v>
      </c>
      <c r="AB998" s="19" t="s">
        <v>34</v>
      </c>
      <c r="AC998" s="30">
        <v>0</v>
      </c>
      <c r="AD998" s="162">
        <v>0</v>
      </c>
      <c r="AE998" s="151">
        <v>0</v>
      </c>
      <c r="AF998" s="151">
        <v>0</v>
      </c>
      <c r="AG998" s="151">
        <v>0</v>
      </c>
      <c r="AH998" s="151">
        <v>0</v>
      </c>
      <c r="AI998" s="151">
        <v>0</v>
      </c>
      <c r="AJ998" s="151">
        <v>0</v>
      </c>
    </row>
    <row r="999" spans="1:36" x14ac:dyDescent="0.25">
      <c r="A999" s="68" t="s">
        <v>1199</v>
      </c>
      <c r="B999" s="68" t="s">
        <v>873</v>
      </c>
      <c r="C999" s="146">
        <v>45476</v>
      </c>
      <c r="D999" s="141">
        <v>45477</v>
      </c>
      <c r="E999">
        <f>Tabela4[[#This Row],[DATA FATURAMENTO]]-Tabela4[[#This Row],[DATA ORÇAMENTO]]</f>
        <v>1</v>
      </c>
      <c r="F999" s="68">
        <v>11997</v>
      </c>
      <c r="G999" s="15" t="s">
        <v>31</v>
      </c>
      <c r="H999" s="25"/>
      <c r="I999" s="151">
        <v>267.39999999999998</v>
      </c>
      <c r="J999" s="151">
        <f t="shared" si="3"/>
        <v>492.6</v>
      </c>
      <c r="K999" s="158">
        <v>760</v>
      </c>
      <c r="L999" s="151">
        <v>0</v>
      </c>
      <c r="M999" s="151">
        <v>0</v>
      </c>
      <c r="N999" s="24"/>
      <c r="O999" s="151">
        <v>0</v>
      </c>
      <c r="P999" s="151">
        <v>0</v>
      </c>
      <c r="Q999" s="151">
        <v>220</v>
      </c>
      <c r="R999" s="151">
        <v>0</v>
      </c>
      <c r="S999" s="154">
        <v>0</v>
      </c>
      <c r="T999" s="151">
        <v>0</v>
      </c>
      <c r="U999" s="151">
        <v>0</v>
      </c>
      <c r="V999" s="15"/>
      <c r="W999" s="22">
        <v>0</v>
      </c>
      <c r="X999" s="149">
        <v>0</v>
      </c>
      <c r="Y999" s="15"/>
      <c r="Z999" s="151">
        <v>0</v>
      </c>
      <c r="AA999" s="149">
        <f>Tabela4[[#This Row],[VALOR]]-Tabela4[[#This Row],[PNEUS]]-Tabela4[[#This Row],[BATERIA]]</f>
        <v>760</v>
      </c>
      <c r="AB999" s="19" t="s">
        <v>34</v>
      </c>
      <c r="AC999" s="30">
        <v>0</v>
      </c>
      <c r="AD999" s="162">
        <v>0</v>
      </c>
      <c r="AE999" s="151">
        <v>0</v>
      </c>
      <c r="AF999" s="151">
        <v>0</v>
      </c>
      <c r="AG999" s="151">
        <v>0</v>
      </c>
      <c r="AH999" s="151">
        <v>0</v>
      </c>
      <c r="AI999" s="151">
        <v>0</v>
      </c>
      <c r="AJ999" s="151">
        <v>0</v>
      </c>
    </row>
    <row r="1000" spans="1:36" x14ac:dyDescent="0.25">
      <c r="A1000" s="68" t="s">
        <v>1532</v>
      </c>
      <c r="B1000" s="68" t="s">
        <v>1533</v>
      </c>
      <c r="C1000" s="146">
        <v>45474</v>
      </c>
      <c r="D1000" s="141">
        <v>45477</v>
      </c>
      <c r="E1000">
        <f>Tabela4[[#This Row],[DATA FATURAMENTO]]-Tabela4[[#This Row],[DATA ORÇAMENTO]]</f>
        <v>3</v>
      </c>
      <c r="F1000" s="68">
        <v>12008</v>
      </c>
      <c r="G1000" s="15" t="s">
        <v>33</v>
      </c>
      <c r="H1000" s="25"/>
      <c r="I1000" s="151">
        <v>1170.0999999999999</v>
      </c>
      <c r="J1000" s="151">
        <f t="shared" si="3"/>
        <v>339.90000000000009</v>
      </c>
      <c r="K1000" s="158">
        <v>1510</v>
      </c>
      <c r="L1000" s="151">
        <v>0</v>
      </c>
      <c r="M1000" s="151">
        <v>0</v>
      </c>
      <c r="N1000" s="24"/>
      <c r="O1000" s="151">
        <v>0</v>
      </c>
      <c r="P1000" s="151">
        <v>0</v>
      </c>
      <c r="Q1000" s="151">
        <v>0</v>
      </c>
      <c r="R1000" s="151">
        <v>0</v>
      </c>
      <c r="S1000" s="154">
        <v>0</v>
      </c>
      <c r="T1000" s="151">
        <v>0</v>
      </c>
      <c r="U1000" s="151">
        <v>0</v>
      </c>
      <c r="V1000" s="15"/>
      <c r="W1000" s="22">
        <v>0</v>
      </c>
      <c r="X1000" s="149">
        <v>0</v>
      </c>
      <c r="Y1000" s="15"/>
      <c r="Z1000" s="151">
        <v>0</v>
      </c>
      <c r="AA1000" s="149">
        <f>Tabela4[[#This Row],[VALOR]]-Tabela4[[#This Row],[PNEUS]]-Tabela4[[#This Row],[BATERIA]]</f>
        <v>1510</v>
      </c>
      <c r="AB1000" s="19" t="s">
        <v>32</v>
      </c>
      <c r="AC1000" s="30">
        <v>0</v>
      </c>
      <c r="AD1000" s="162">
        <v>0</v>
      </c>
      <c r="AE1000" s="151">
        <v>0</v>
      </c>
      <c r="AF1000" s="151">
        <v>0</v>
      </c>
      <c r="AG1000" s="151">
        <v>0</v>
      </c>
      <c r="AH1000" s="151">
        <v>0</v>
      </c>
      <c r="AI1000" s="151">
        <v>0</v>
      </c>
      <c r="AJ1000" s="151">
        <v>0</v>
      </c>
    </row>
    <row r="1001" spans="1:36" x14ac:dyDescent="0.25">
      <c r="A1001" s="68" t="s">
        <v>1534</v>
      </c>
      <c r="B1001" s="68" t="s">
        <v>900</v>
      </c>
      <c r="C1001" s="146">
        <v>45476</v>
      </c>
      <c r="D1001" s="141">
        <v>45477</v>
      </c>
      <c r="E1001">
        <f>Tabela4[[#This Row],[DATA FATURAMENTO]]-Tabela4[[#This Row],[DATA ORÇAMENTO]]</f>
        <v>1</v>
      </c>
      <c r="F1001" s="68">
        <v>12009</v>
      </c>
      <c r="G1001" s="15" t="s">
        <v>22</v>
      </c>
      <c r="H1001" s="25"/>
      <c r="I1001" s="151">
        <v>398</v>
      </c>
      <c r="J1001" s="151">
        <f t="shared" si="3"/>
        <v>0</v>
      </c>
      <c r="K1001" s="158">
        <v>398</v>
      </c>
      <c r="L1001" s="151">
        <v>0</v>
      </c>
      <c r="M1001" s="151">
        <v>0</v>
      </c>
      <c r="N1001" s="24"/>
      <c r="O1001" s="151">
        <v>0</v>
      </c>
      <c r="P1001" s="151">
        <v>0</v>
      </c>
      <c r="Q1001" s="151">
        <v>0</v>
      </c>
      <c r="R1001" s="151">
        <v>0</v>
      </c>
      <c r="S1001" s="154">
        <v>0</v>
      </c>
      <c r="T1001" s="151">
        <v>0</v>
      </c>
      <c r="U1001" s="151">
        <v>0</v>
      </c>
      <c r="V1001" s="15"/>
      <c r="W1001" s="22">
        <v>4</v>
      </c>
      <c r="X1001" s="149">
        <v>58.8</v>
      </c>
      <c r="Y1001" s="15" t="s">
        <v>1344</v>
      </c>
      <c r="Z1001" s="151">
        <v>0</v>
      </c>
      <c r="AA1001" s="149">
        <f>Tabela4[[#This Row],[VALOR]]-Tabela4[[#This Row],[PNEUS]]-Tabela4[[#This Row],[BATERIA]]</f>
        <v>398</v>
      </c>
      <c r="AB1001" s="19" t="s">
        <v>32</v>
      </c>
      <c r="AC1001" s="30">
        <v>0</v>
      </c>
      <c r="AD1001" s="162">
        <v>0</v>
      </c>
      <c r="AE1001" s="151">
        <v>0</v>
      </c>
      <c r="AF1001" s="151">
        <v>0</v>
      </c>
      <c r="AG1001" s="151">
        <v>0</v>
      </c>
      <c r="AH1001" s="151">
        <v>0</v>
      </c>
      <c r="AI1001" s="151">
        <v>0</v>
      </c>
      <c r="AJ1001" s="151">
        <v>0</v>
      </c>
    </row>
    <row r="1002" spans="1:36" x14ac:dyDescent="0.25">
      <c r="A1002" s="68" t="s">
        <v>1535</v>
      </c>
      <c r="B1002" s="68" t="s">
        <v>1536</v>
      </c>
      <c r="C1002" s="146">
        <v>45477</v>
      </c>
      <c r="D1002" s="141">
        <v>45477</v>
      </c>
      <c r="E1002">
        <f>Tabela4[[#This Row],[DATA FATURAMENTO]]-Tabela4[[#This Row],[DATA ORÇAMENTO]]</f>
        <v>0</v>
      </c>
      <c r="F1002" s="68">
        <v>12010</v>
      </c>
      <c r="G1002" s="15" t="s">
        <v>22</v>
      </c>
      <c r="H1002" s="25"/>
      <c r="I1002" s="151">
        <v>468</v>
      </c>
      <c r="J1002" s="151">
        <f t="shared" si="3"/>
        <v>170</v>
      </c>
      <c r="K1002" s="158">
        <v>638</v>
      </c>
      <c r="L1002" s="151">
        <v>0</v>
      </c>
      <c r="M1002" s="151">
        <v>0</v>
      </c>
      <c r="N1002" s="24"/>
      <c r="O1002" s="151">
        <v>0</v>
      </c>
      <c r="P1002" s="151">
        <v>0</v>
      </c>
      <c r="Q1002" s="151">
        <v>0</v>
      </c>
      <c r="R1002" s="151">
        <v>0</v>
      </c>
      <c r="S1002" s="154">
        <v>170</v>
      </c>
      <c r="T1002" s="151">
        <v>0</v>
      </c>
      <c r="U1002" s="151">
        <v>0</v>
      </c>
      <c r="V1002" s="15"/>
      <c r="W1002" s="22">
        <v>4</v>
      </c>
      <c r="X1002" s="149">
        <v>79.900000000000006</v>
      </c>
      <c r="Y1002" s="15" t="s">
        <v>1251</v>
      </c>
      <c r="Z1002" s="151">
        <v>0</v>
      </c>
      <c r="AA1002" s="149">
        <f>Tabela4[[#This Row],[VALOR]]-Tabela4[[#This Row],[PNEUS]]-Tabela4[[#This Row],[BATERIA]]</f>
        <v>638</v>
      </c>
      <c r="AB1002" s="19" t="s">
        <v>24</v>
      </c>
      <c r="AC1002" s="30">
        <v>0</v>
      </c>
      <c r="AD1002" s="162">
        <v>0</v>
      </c>
      <c r="AE1002" s="151">
        <v>0</v>
      </c>
      <c r="AF1002" s="151">
        <v>0</v>
      </c>
      <c r="AG1002" s="151">
        <v>0</v>
      </c>
      <c r="AH1002" s="151">
        <v>0</v>
      </c>
      <c r="AI1002" s="151">
        <v>0</v>
      </c>
      <c r="AJ1002" s="151">
        <v>0</v>
      </c>
    </row>
    <row r="1003" spans="1:36" x14ac:dyDescent="0.25">
      <c r="A1003" s="68" t="s">
        <v>1537</v>
      </c>
      <c r="B1003" s="68" t="s">
        <v>1423</v>
      </c>
      <c r="C1003" s="146">
        <v>45477</v>
      </c>
      <c r="D1003" s="141">
        <v>45477</v>
      </c>
      <c r="E1003">
        <f>Tabela4[[#This Row],[DATA FATURAMENTO]]-Tabela4[[#This Row],[DATA ORÇAMENTO]]</f>
        <v>0</v>
      </c>
      <c r="F1003" s="68">
        <v>12011</v>
      </c>
      <c r="G1003" s="15" t="s">
        <v>39</v>
      </c>
      <c r="H1003" s="25" t="s">
        <v>44</v>
      </c>
      <c r="I1003" s="151">
        <v>46.7</v>
      </c>
      <c r="J1003" s="151">
        <f t="shared" si="3"/>
        <v>177.01</v>
      </c>
      <c r="K1003" s="158">
        <v>223.71</v>
      </c>
      <c r="L1003" s="151">
        <v>0</v>
      </c>
      <c r="M1003" s="151">
        <v>0</v>
      </c>
      <c r="N1003" s="24"/>
      <c r="O1003" s="151">
        <v>0</v>
      </c>
      <c r="P1003" s="151">
        <v>0</v>
      </c>
      <c r="Q1003" s="151">
        <v>0</v>
      </c>
      <c r="R1003" s="151">
        <v>0</v>
      </c>
      <c r="S1003" s="154">
        <v>0</v>
      </c>
      <c r="T1003" s="151">
        <v>0</v>
      </c>
      <c r="U1003" s="151">
        <v>0</v>
      </c>
      <c r="V1003" s="15"/>
      <c r="W1003" s="22">
        <v>0</v>
      </c>
      <c r="X1003" s="149">
        <v>0</v>
      </c>
      <c r="Y1003" s="15"/>
      <c r="Z1003" s="151">
        <v>0</v>
      </c>
      <c r="AA1003" s="149">
        <f>Tabela4[[#This Row],[VALOR]]-Tabela4[[#This Row],[PNEUS]]-Tabela4[[#This Row],[BATERIA]]</f>
        <v>223.71</v>
      </c>
      <c r="AB1003" s="19" t="s">
        <v>24</v>
      </c>
      <c r="AC1003" s="30">
        <v>0</v>
      </c>
      <c r="AD1003" s="162">
        <v>0</v>
      </c>
      <c r="AE1003" s="151">
        <v>0</v>
      </c>
      <c r="AF1003" s="151">
        <v>0</v>
      </c>
      <c r="AG1003" s="151">
        <v>0</v>
      </c>
      <c r="AH1003" s="151">
        <v>0</v>
      </c>
      <c r="AI1003" s="151">
        <v>0</v>
      </c>
      <c r="AJ1003" s="151">
        <v>0</v>
      </c>
    </row>
    <row r="1004" spans="1:36" x14ac:dyDescent="0.25">
      <c r="A1004" s="68" t="s">
        <v>1538</v>
      </c>
      <c r="B1004" s="68" t="s">
        <v>895</v>
      </c>
      <c r="C1004" s="146">
        <v>45477</v>
      </c>
      <c r="D1004" s="141">
        <v>45477</v>
      </c>
      <c r="E1004">
        <f>Tabela4[[#This Row],[DATA FATURAMENTO]]-Tabela4[[#This Row],[DATA ORÇAMENTO]]</f>
        <v>0</v>
      </c>
      <c r="F1004" s="68">
        <v>12012</v>
      </c>
      <c r="G1004" s="15" t="s">
        <v>22</v>
      </c>
      <c r="H1004" s="25"/>
      <c r="I1004" s="151">
        <v>530</v>
      </c>
      <c r="J1004" s="151">
        <f t="shared" si="3"/>
        <v>0</v>
      </c>
      <c r="K1004" s="158">
        <v>530</v>
      </c>
      <c r="L1004" s="151">
        <v>0</v>
      </c>
      <c r="M1004" s="151">
        <v>0</v>
      </c>
      <c r="N1004" s="24"/>
      <c r="O1004" s="151">
        <v>0</v>
      </c>
      <c r="P1004" s="151">
        <v>0</v>
      </c>
      <c r="Q1004" s="151">
        <v>0</v>
      </c>
      <c r="R1004" s="151">
        <v>0</v>
      </c>
      <c r="S1004" s="154">
        <v>0</v>
      </c>
      <c r="T1004" s="151">
        <v>0</v>
      </c>
      <c r="U1004" s="151">
        <v>530</v>
      </c>
      <c r="V1004" s="15" t="s">
        <v>684</v>
      </c>
      <c r="W1004" s="22">
        <v>0</v>
      </c>
      <c r="X1004" s="149">
        <v>0</v>
      </c>
      <c r="Y1004" s="15"/>
      <c r="Z1004" s="151">
        <v>0</v>
      </c>
      <c r="AA1004" s="149">
        <f>Tabela4[[#This Row],[VALOR]]-Tabela4[[#This Row],[PNEUS]]-Tabela4[[#This Row],[BATERIA]]</f>
        <v>0</v>
      </c>
      <c r="AB1004" s="19" t="s">
        <v>6</v>
      </c>
      <c r="AC1004" s="30">
        <v>0</v>
      </c>
      <c r="AD1004" s="162">
        <v>0</v>
      </c>
      <c r="AE1004" s="151">
        <v>0</v>
      </c>
      <c r="AF1004" s="151">
        <v>0</v>
      </c>
      <c r="AG1004" s="151">
        <v>0</v>
      </c>
      <c r="AH1004" s="151">
        <v>0</v>
      </c>
      <c r="AI1004" s="151">
        <v>0</v>
      </c>
      <c r="AJ1004" s="151">
        <v>0</v>
      </c>
    </row>
    <row r="1005" spans="1:36" x14ac:dyDescent="0.25">
      <c r="A1005" s="68" t="s">
        <v>1539</v>
      </c>
      <c r="B1005" s="68" t="s">
        <v>1540</v>
      </c>
      <c r="C1005" s="146">
        <v>45477</v>
      </c>
      <c r="D1005" s="141">
        <v>45477</v>
      </c>
      <c r="E1005">
        <f>Tabela4[[#This Row],[DATA FATURAMENTO]]-Tabela4[[#This Row],[DATA ORÇAMENTO]]</f>
        <v>0</v>
      </c>
      <c r="F1005" s="68">
        <v>12014</v>
      </c>
      <c r="G1005" s="15" t="s">
        <v>31</v>
      </c>
      <c r="H1005" s="25"/>
      <c r="I1005" s="151">
        <v>0</v>
      </c>
      <c r="J1005" s="151">
        <f t="shared" si="3"/>
        <v>400</v>
      </c>
      <c r="K1005" s="158">
        <v>400</v>
      </c>
      <c r="L1005" s="151">
        <v>0</v>
      </c>
      <c r="M1005" s="151">
        <v>0</v>
      </c>
      <c r="N1005" s="24"/>
      <c r="O1005" s="151">
        <v>0</v>
      </c>
      <c r="P1005" s="151">
        <v>0</v>
      </c>
      <c r="Q1005" s="151">
        <v>0</v>
      </c>
      <c r="R1005" s="151">
        <v>0</v>
      </c>
      <c r="S1005" s="154">
        <v>0</v>
      </c>
      <c r="T1005" s="151">
        <v>0</v>
      </c>
      <c r="U1005" s="151">
        <v>0</v>
      </c>
      <c r="V1005" s="15"/>
      <c r="W1005" s="22">
        <v>0</v>
      </c>
      <c r="X1005" s="149">
        <v>0</v>
      </c>
      <c r="Y1005" s="15"/>
      <c r="Z1005" s="151">
        <v>0</v>
      </c>
      <c r="AA1005" s="149">
        <f>Tabela4[[#This Row],[VALOR]]-Tabela4[[#This Row],[PNEUS]]-Tabela4[[#This Row],[BATERIA]]</f>
        <v>400</v>
      </c>
      <c r="AB1005" s="19" t="s">
        <v>34</v>
      </c>
      <c r="AC1005" s="30">
        <v>0</v>
      </c>
      <c r="AD1005" s="162">
        <v>0</v>
      </c>
      <c r="AE1005" s="151">
        <v>0</v>
      </c>
      <c r="AF1005" s="151">
        <v>0</v>
      </c>
      <c r="AG1005" s="151">
        <v>0</v>
      </c>
      <c r="AH1005" s="151">
        <v>0</v>
      </c>
      <c r="AI1005" s="151">
        <v>0</v>
      </c>
      <c r="AJ1005" s="151">
        <v>0</v>
      </c>
    </row>
    <row r="1006" spans="1:36" x14ac:dyDescent="0.25">
      <c r="A1006" s="68" t="s">
        <v>1541</v>
      </c>
      <c r="B1006" s="68" t="s">
        <v>898</v>
      </c>
      <c r="C1006" s="146">
        <v>45477</v>
      </c>
      <c r="D1006" s="141">
        <v>45477</v>
      </c>
      <c r="E1006">
        <f>Tabela4[[#This Row],[DATA FATURAMENTO]]-Tabela4[[#This Row],[DATA ORÇAMENTO]]</f>
        <v>0</v>
      </c>
      <c r="F1006" s="68">
        <v>12016</v>
      </c>
      <c r="G1006" s="15" t="s">
        <v>35</v>
      </c>
      <c r="H1006" s="25"/>
      <c r="I1006" s="151">
        <v>305</v>
      </c>
      <c r="J1006" s="151">
        <f t="shared" si="3"/>
        <v>0</v>
      </c>
      <c r="K1006" s="158">
        <v>305</v>
      </c>
      <c r="L1006" s="151">
        <v>0</v>
      </c>
      <c r="M1006" s="151">
        <v>0</v>
      </c>
      <c r="N1006" s="24"/>
      <c r="O1006" s="151">
        <v>0</v>
      </c>
      <c r="P1006" s="151">
        <v>0</v>
      </c>
      <c r="Q1006" s="151">
        <v>0</v>
      </c>
      <c r="R1006" s="151">
        <v>0</v>
      </c>
      <c r="S1006" s="154">
        <v>0</v>
      </c>
      <c r="T1006" s="151">
        <v>0</v>
      </c>
      <c r="U1006" s="151">
        <v>0</v>
      </c>
      <c r="V1006" s="15"/>
      <c r="W1006" s="22">
        <v>4</v>
      </c>
      <c r="X1006" s="149">
        <v>64.8</v>
      </c>
      <c r="Y1006" s="15" t="s">
        <v>1344</v>
      </c>
      <c r="Z1006" s="151">
        <v>0</v>
      </c>
      <c r="AA1006" s="149">
        <f>Tabela4[[#This Row],[VALOR]]-Tabela4[[#This Row],[PNEUS]]-Tabela4[[#This Row],[BATERIA]]</f>
        <v>305</v>
      </c>
      <c r="AB1006" s="19" t="s">
        <v>32</v>
      </c>
      <c r="AC1006" s="30">
        <v>0</v>
      </c>
      <c r="AD1006" s="162">
        <v>0</v>
      </c>
      <c r="AE1006" s="151">
        <v>0</v>
      </c>
      <c r="AF1006" s="151">
        <v>0</v>
      </c>
      <c r="AG1006" s="151">
        <v>0</v>
      </c>
      <c r="AH1006" s="151">
        <v>0</v>
      </c>
      <c r="AI1006" s="151">
        <v>0</v>
      </c>
      <c r="AJ1006" s="151">
        <v>0</v>
      </c>
    </row>
    <row r="1007" spans="1:36" x14ac:dyDescent="0.25">
      <c r="A1007" s="68" t="s">
        <v>750</v>
      </c>
      <c r="B1007" s="68" t="s">
        <v>1542</v>
      </c>
      <c r="C1007" s="146">
        <v>45477</v>
      </c>
      <c r="D1007" s="141">
        <v>45477</v>
      </c>
      <c r="E1007">
        <f>Tabela4[[#This Row],[DATA FATURAMENTO]]-Tabela4[[#This Row],[DATA ORÇAMENTO]]</f>
        <v>0</v>
      </c>
      <c r="F1007" s="68">
        <v>12020</v>
      </c>
      <c r="G1007" s="15" t="s">
        <v>22</v>
      </c>
      <c r="H1007" s="25"/>
      <c r="I1007" s="151">
        <v>380</v>
      </c>
      <c r="J1007" s="151">
        <f t="shared" si="3"/>
        <v>0</v>
      </c>
      <c r="K1007" s="158">
        <v>380</v>
      </c>
      <c r="L1007" s="151">
        <v>0</v>
      </c>
      <c r="M1007" s="151">
        <v>0</v>
      </c>
      <c r="N1007" s="24"/>
      <c r="O1007" s="151">
        <v>0</v>
      </c>
      <c r="P1007" s="151">
        <v>0</v>
      </c>
      <c r="Q1007" s="151">
        <v>0</v>
      </c>
      <c r="R1007" s="151">
        <v>0</v>
      </c>
      <c r="S1007" s="154">
        <v>0</v>
      </c>
      <c r="T1007" s="151">
        <v>0</v>
      </c>
      <c r="U1007" s="151">
        <v>0</v>
      </c>
      <c r="V1007" s="15"/>
      <c r="W1007" s="22">
        <v>4</v>
      </c>
      <c r="X1007" s="149">
        <v>60.4</v>
      </c>
      <c r="Y1007" s="15" t="s">
        <v>1344</v>
      </c>
      <c r="Z1007" s="151">
        <v>0</v>
      </c>
      <c r="AA1007" s="149">
        <f>Tabela4[[#This Row],[VALOR]]-Tabela4[[#This Row],[PNEUS]]-Tabela4[[#This Row],[BATERIA]]</f>
        <v>380</v>
      </c>
      <c r="AB1007" s="19" t="s">
        <v>36</v>
      </c>
      <c r="AC1007" s="30">
        <v>0</v>
      </c>
      <c r="AD1007" s="162">
        <v>0</v>
      </c>
      <c r="AE1007" s="151">
        <v>0</v>
      </c>
      <c r="AF1007" s="151">
        <v>0</v>
      </c>
      <c r="AG1007" s="151">
        <v>0</v>
      </c>
      <c r="AH1007" s="151">
        <v>0</v>
      </c>
      <c r="AI1007" s="151">
        <v>0</v>
      </c>
      <c r="AJ1007" s="151">
        <v>0</v>
      </c>
    </row>
    <row r="1008" spans="1:36" x14ac:dyDescent="0.25">
      <c r="A1008" s="68" t="s">
        <v>400</v>
      </c>
      <c r="B1008" s="68" t="s">
        <v>1016</v>
      </c>
      <c r="C1008" s="146">
        <v>45475</v>
      </c>
      <c r="D1008" s="141">
        <v>45478</v>
      </c>
      <c r="E1008">
        <f>Tabela4[[#This Row],[DATA FATURAMENTO]]-Tabela4[[#This Row],[DATA ORÇAMENTO]]</f>
        <v>3</v>
      </c>
      <c r="F1008" s="68">
        <v>11981</v>
      </c>
      <c r="G1008" s="15" t="s">
        <v>22</v>
      </c>
      <c r="H1008" s="25"/>
      <c r="I1008" s="151">
        <v>2878.7</v>
      </c>
      <c r="J1008" s="151">
        <f t="shared" si="3"/>
        <v>1721.3000000000002</v>
      </c>
      <c r="K1008" s="158">
        <v>4600</v>
      </c>
      <c r="L1008" s="151">
        <v>90</v>
      </c>
      <c r="M1008" s="151">
        <f>77.6+21.6</f>
        <v>99.199999999999989</v>
      </c>
      <c r="N1008" s="24">
        <v>4</v>
      </c>
      <c r="O1008" s="151">
        <v>0</v>
      </c>
      <c r="P1008" s="151">
        <v>78.8</v>
      </c>
      <c r="Q1008" s="151">
        <v>0</v>
      </c>
      <c r="R1008" s="151">
        <v>0</v>
      </c>
      <c r="S1008" s="154">
        <v>77.5</v>
      </c>
      <c r="T1008" s="151">
        <v>0</v>
      </c>
      <c r="U1008" s="151">
        <v>0</v>
      </c>
      <c r="V1008" s="15"/>
      <c r="W1008" s="22">
        <v>0</v>
      </c>
      <c r="X1008" s="149">
        <v>0</v>
      </c>
      <c r="Y1008" s="15"/>
      <c r="Z1008" s="151">
        <v>0</v>
      </c>
      <c r="AA1008" s="149">
        <f>Tabela4[[#This Row],[VALOR]]-Tabela4[[#This Row],[PNEUS]]-Tabela4[[#This Row],[BATERIA]]</f>
        <v>4600</v>
      </c>
      <c r="AB1008" s="19" t="s">
        <v>24</v>
      </c>
      <c r="AC1008" s="30">
        <v>0</v>
      </c>
      <c r="AD1008" s="162">
        <v>0</v>
      </c>
      <c r="AE1008" s="151">
        <v>0</v>
      </c>
      <c r="AF1008" s="151">
        <v>0</v>
      </c>
      <c r="AG1008" s="151">
        <v>0</v>
      </c>
      <c r="AH1008" s="151">
        <v>0</v>
      </c>
      <c r="AI1008" s="151">
        <v>0</v>
      </c>
      <c r="AJ1008" s="151">
        <v>0</v>
      </c>
    </row>
    <row r="1009" spans="1:36" x14ac:dyDescent="0.25">
      <c r="A1009" s="68" t="s">
        <v>714</v>
      </c>
      <c r="B1009" s="68" t="s">
        <v>1543</v>
      </c>
      <c r="C1009" s="146">
        <v>45477</v>
      </c>
      <c r="D1009" s="141">
        <v>45478</v>
      </c>
      <c r="E1009">
        <f>Tabela4[[#This Row],[DATA FATURAMENTO]]-Tabela4[[#This Row],[DATA ORÇAMENTO]]</f>
        <v>1</v>
      </c>
      <c r="F1009" s="68">
        <v>12018</v>
      </c>
      <c r="G1009" s="15" t="s">
        <v>35</v>
      </c>
      <c r="H1009" s="25"/>
      <c r="I1009" s="151">
        <v>70</v>
      </c>
      <c r="J1009" s="151">
        <f t="shared" si="3"/>
        <v>170</v>
      </c>
      <c r="K1009" s="158">
        <v>240</v>
      </c>
      <c r="L1009" s="151">
        <v>0</v>
      </c>
      <c r="M1009" s="151">
        <v>0</v>
      </c>
      <c r="N1009" s="24"/>
      <c r="O1009" s="151">
        <v>0</v>
      </c>
      <c r="P1009" s="151">
        <v>0</v>
      </c>
      <c r="Q1009" s="151">
        <v>0</v>
      </c>
      <c r="R1009" s="151">
        <v>0</v>
      </c>
      <c r="S1009" s="154">
        <v>0</v>
      </c>
      <c r="T1009" s="151">
        <v>0</v>
      </c>
      <c r="U1009" s="151">
        <v>0</v>
      </c>
      <c r="V1009" s="15"/>
      <c r="W1009" s="22">
        <v>0</v>
      </c>
      <c r="X1009" s="149">
        <v>0</v>
      </c>
      <c r="Y1009" s="15"/>
      <c r="Z1009" s="151">
        <v>0</v>
      </c>
      <c r="AA1009" s="149">
        <f>Tabela4[[#This Row],[VALOR]]-Tabela4[[#This Row],[PNEUS]]-Tabela4[[#This Row],[BATERIA]]</f>
        <v>240</v>
      </c>
      <c r="AB1009" s="19" t="s">
        <v>24</v>
      </c>
      <c r="AC1009" s="30">
        <v>0</v>
      </c>
      <c r="AD1009" s="162">
        <v>0</v>
      </c>
      <c r="AE1009" s="151">
        <v>0</v>
      </c>
      <c r="AF1009" s="151">
        <v>0</v>
      </c>
      <c r="AG1009" s="151">
        <v>0</v>
      </c>
      <c r="AH1009" s="151">
        <v>0</v>
      </c>
      <c r="AI1009" s="151">
        <v>0</v>
      </c>
      <c r="AJ1009" s="151">
        <v>0</v>
      </c>
    </row>
    <row r="1010" spans="1:36" x14ac:dyDescent="0.25">
      <c r="A1010" s="68" t="s">
        <v>291</v>
      </c>
      <c r="B1010" s="68" t="s">
        <v>971</v>
      </c>
      <c r="C1010" s="146">
        <v>45478</v>
      </c>
      <c r="D1010" s="141">
        <v>45478</v>
      </c>
      <c r="E1010">
        <f>Tabela4[[#This Row],[DATA FATURAMENTO]]-Tabela4[[#This Row],[DATA ORÇAMENTO]]</f>
        <v>0</v>
      </c>
      <c r="F1010" s="68">
        <v>12027</v>
      </c>
      <c r="G1010" s="15" t="s">
        <v>22</v>
      </c>
      <c r="H1010" s="25"/>
      <c r="I1010" s="151">
        <v>235</v>
      </c>
      <c r="J1010" s="151">
        <f t="shared" si="3"/>
        <v>80</v>
      </c>
      <c r="K1010" s="158">
        <v>315</v>
      </c>
      <c r="L1010" s="151">
        <v>0</v>
      </c>
      <c r="M1010" s="151">
        <v>0</v>
      </c>
      <c r="N1010" s="24"/>
      <c r="O1010" s="151">
        <v>0</v>
      </c>
      <c r="P1010" s="151">
        <v>0</v>
      </c>
      <c r="Q1010" s="151">
        <v>0</v>
      </c>
      <c r="R1010" s="151">
        <v>0</v>
      </c>
      <c r="S1010" s="154">
        <v>90</v>
      </c>
      <c r="T1010" s="151">
        <v>0</v>
      </c>
      <c r="U1010" s="151">
        <v>0</v>
      </c>
      <c r="V1010" s="15"/>
      <c r="W1010" s="22">
        <v>0</v>
      </c>
      <c r="X1010" s="149">
        <v>0</v>
      </c>
      <c r="Y1010" s="15"/>
      <c r="Z1010" s="151">
        <v>0</v>
      </c>
      <c r="AA1010" s="149">
        <f>Tabela4[[#This Row],[VALOR]]-Tabela4[[#This Row],[PNEUS]]-Tabela4[[#This Row],[BATERIA]]</f>
        <v>315</v>
      </c>
      <c r="AB1010" s="19" t="s">
        <v>34</v>
      </c>
      <c r="AC1010" s="30">
        <v>0</v>
      </c>
      <c r="AD1010" s="162">
        <v>0</v>
      </c>
      <c r="AE1010" s="151">
        <v>0</v>
      </c>
      <c r="AF1010" s="151">
        <v>0</v>
      </c>
      <c r="AG1010" s="151">
        <v>0</v>
      </c>
      <c r="AH1010" s="151">
        <v>0</v>
      </c>
      <c r="AI1010" s="151">
        <v>0</v>
      </c>
      <c r="AJ1010" s="151">
        <v>0</v>
      </c>
    </row>
    <row r="1011" spans="1:36" x14ac:dyDescent="0.25">
      <c r="A1011" s="68" t="s">
        <v>1544</v>
      </c>
      <c r="B1011" s="68" t="s">
        <v>1545</v>
      </c>
      <c r="C1011" s="146">
        <v>45478</v>
      </c>
      <c r="D1011" s="141">
        <v>45478</v>
      </c>
      <c r="E1011">
        <f>Tabela4[[#This Row],[DATA FATURAMENTO]]-Tabela4[[#This Row],[DATA ORÇAMENTO]]</f>
        <v>0</v>
      </c>
      <c r="F1011" s="68">
        <v>12031</v>
      </c>
      <c r="G1011" s="15" t="s">
        <v>1546</v>
      </c>
      <c r="H1011" s="25"/>
      <c r="I1011" s="151">
        <v>338.8</v>
      </c>
      <c r="J1011" s="151">
        <f t="shared" si="3"/>
        <v>448.2</v>
      </c>
      <c r="K1011" s="158">
        <v>787</v>
      </c>
      <c r="L1011" s="151">
        <v>0</v>
      </c>
      <c r="M1011" s="151">
        <v>0</v>
      </c>
      <c r="N1011" s="24"/>
      <c r="O1011" s="151">
        <v>0</v>
      </c>
      <c r="P1011" s="151">
        <v>0</v>
      </c>
      <c r="Q1011" s="151">
        <v>0</v>
      </c>
      <c r="R1011" s="151">
        <v>0</v>
      </c>
      <c r="S1011" s="154">
        <v>0</v>
      </c>
      <c r="T1011" s="151">
        <v>0</v>
      </c>
      <c r="U1011" s="151">
        <v>0</v>
      </c>
      <c r="V1011" s="15"/>
      <c r="W1011" s="22">
        <v>3</v>
      </c>
      <c r="X1011" s="149">
        <v>68.8</v>
      </c>
      <c r="Y1011" s="15" t="s">
        <v>1344</v>
      </c>
      <c r="Z1011" s="151">
        <v>0</v>
      </c>
      <c r="AA1011" s="149">
        <f>Tabela4[[#This Row],[VALOR]]-Tabela4[[#This Row],[PNEUS]]-Tabela4[[#This Row],[BATERIA]]</f>
        <v>787</v>
      </c>
      <c r="AB1011" s="19" t="s">
        <v>36</v>
      </c>
      <c r="AC1011" s="30">
        <v>0</v>
      </c>
      <c r="AD1011" s="162">
        <v>0</v>
      </c>
      <c r="AE1011" s="151">
        <v>0</v>
      </c>
      <c r="AF1011" s="151">
        <v>0</v>
      </c>
      <c r="AG1011" s="151">
        <v>0</v>
      </c>
      <c r="AH1011" s="151">
        <v>0</v>
      </c>
      <c r="AI1011" s="151">
        <v>0</v>
      </c>
      <c r="AJ1011" s="151">
        <v>0</v>
      </c>
    </row>
    <row r="1012" spans="1:36" x14ac:dyDescent="0.25">
      <c r="A1012" s="68" t="s">
        <v>469</v>
      </c>
      <c r="B1012" s="68" t="s">
        <v>1380</v>
      </c>
      <c r="C1012" s="146">
        <v>45471</v>
      </c>
      <c r="D1012" s="141">
        <v>45479</v>
      </c>
      <c r="E1012">
        <f>Tabela4[[#This Row],[DATA FATURAMENTO]]-Tabela4[[#This Row],[DATA ORÇAMENTO]]</f>
        <v>8</v>
      </c>
      <c r="F1012" s="68">
        <v>11939</v>
      </c>
      <c r="G1012" s="15" t="s">
        <v>28</v>
      </c>
      <c r="H1012" s="25"/>
      <c r="I1012" s="151">
        <v>2613.62</v>
      </c>
      <c r="J1012" s="151">
        <f t="shared" si="3"/>
        <v>1071.1300000000001</v>
      </c>
      <c r="K1012" s="158">
        <v>3684.75</v>
      </c>
      <c r="L1012" s="151">
        <v>0</v>
      </c>
      <c r="M1012" s="151">
        <v>87.78</v>
      </c>
      <c r="N1012" s="24">
        <v>3</v>
      </c>
      <c r="O1012" s="151">
        <f>38.8+170</f>
        <v>208.8</v>
      </c>
      <c r="P1012" s="151">
        <v>0</v>
      </c>
      <c r="Q1012" s="151">
        <v>150</v>
      </c>
      <c r="R1012" s="151">
        <v>0</v>
      </c>
      <c r="S1012" s="154">
        <v>207.01</v>
      </c>
      <c r="T1012" s="151">
        <v>2182.8000000000002</v>
      </c>
      <c r="U1012" s="151">
        <v>0</v>
      </c>
      <c r="V1012" s="15"/>
      <c r="W1012" s="22">
        <v>4</v>
      </c>
      <c r="X1012" s="149">
        <v>28.8</v>
      </c>
      <c r="Y1012" s="15" t="s">
        <v>654</v>
      </c>
      <c r="Z1012" s="151">
        <v>0</v>
      </c>
      <c r="AA1012" s="149">
        <f>Tabela4[[#This Row],[VALOR]]-Tabela4[[#This Row],[PNEUS]]-Tabela4[[#This Row],[BATERIA]]</f>
        <v>1501.9499999999998</v>
      </c>
      <c r="AB1012" s="19" t="s">
        <v>36</v>
      </c>
      <c r="AC1012" s="30">
        <v>0</v>
      </c>
      <c r="AD1012" s="162">
        <v>0</v>
      </c>
      <c r="AE1012" s="151">
        <v>0</v>
      </c>
      <c r="AF1012" s="151">
        <v>0</v>
      </c>
      <c r="AG1012" s="151">
        <v>0</v>
      </c>
      <c r="AH1012" s="151">
        <v>0</v>
      </c>
      <c r="AI1012" s="151">
        <v>0</v>
      </c>
      <c r="AJ1012" s="151">
        <v>0</v>
      </c>
    </row>
    <row r="1013" spans="1:36" x14ac:dyDescent="0.25">
      <c r="A1013" s="68" t="s">
        <v>1547</v>
      </c>
      <c r="B1013" s="68" t="s">
        <v>869</v>
      </c>
      <c r="C1013" s="146">
        <v>45474</v>
      </c>
      <c r="D1013" s="141">
        <v>45479</v>
      </c>
      <c r="E1013">
        <f>Tabela4[[#This Row],[DATA FATURAMENTO]]-Tabela4[[#This Row],[DATA ORÇAMENTO]]</f>
        <v>5</v>
      </c>
      <c r="F1013" s="68">
        <v>11970</v>
      </c>
      <c r="G1013" s="15" t="s">
        <v>22</v>
      </c>
      <c r="H1013" s="25"/>
      <c r="I1013" s="151">
        <v>1205.7</v>
      </c>
      <c r="J1013" s="151">
        <f t="shared" si="3"/>
        <v>982.3</v>
      </c>
      <c r="K1013" s="158">
        <v>2188</v>
      </c>
      <c r="L1013" s="151">
        <v>0</v>
      </c>
      <c r="M1013" s="151">
        <f>116.4+21.6</f>
        <v>138</v>
      </c>
      <c r="N1013" s="24">
        <v>5</v>
      </c>
      <c r="O1013" s="151">
        <v>221.76</v>
      </c>
      <c r="P1013" s="151">
        <v>0</v>
      </c>
      <c r="Q1013" s="151">
        <v>162.62</v>
      </c>
      <c r="R1013" s="151">
        <v>0</v>
      </c>
      <c r="S1013" s="154">
        <v>0</v>
      </c>
      <c r="T1013" s="151">
        <v>0</v>
      </c>
      <c r="U1013" s="151">
        <v>0</v>
      </c>
      <c r="V1013" s="15"/>
      <c r="W1013" s="22">
        <v>4</v>
      </c>
      <c r="X1013" s="149">
        <v>49.9</v>
      </c>
      <c r="Y1013" s="15" t="s">
        <v>654</v>
      </c>
      <c r="Z1013" s="151">
        <v>0</v>
      </c>
      <c r="AA1013" s="149">
        <f>Tabela4[[#This Row],[VALOR]]-Tabela4[[#This Row],[PNEUS]]-Tabela4[[#This Row],[BATERIA]]</f>
        <v>2188</v>
      </c>
      <c r="AB1013" s="19" t="s">
        <v>27</v>
      </c>
      <c r="AC1013" s="30">
        <v>0</v>
      </c>
      <c r="AD1013" s="162">
        <v>0</v>
      </c>
      <c r="AE1013" s="151">
        <v>0</v>
      </c>
      <c r="AF1013" s="151">
        <v>0</v>
      </c>
      <c r="AG1013" s="151">
        <v>0</v>
      </c>
      <c r="AH1013" s="151">
        <v>0</v>
      </c>
      <c r="AI1013" s="151">
        <v>0</v>
      </c>
      <c r="AJ1013" s="151">
        <v>0</v>
      </c>
    </row>
    <row r="1014" spans="1:36" x14ac:dyDescent="0.25">
      <c r="A1014" s="68" t="s">
        <v>1548</v>
      </c>
      <c r="B1014" s="68" t="s">
        <v>1122</v>
      </c>
      <c r="C1014" s="146">
        <v>45476</v>
      </c>
      <c r="D1014" s="141">
        <v>45479</v>
      </c>
      <c r="E1014">
        <f>Tabela4[[#This Row],[DATA FATURAMENTO]]-Tabela4[[#This Row],[DATA ORÇAMENTO]]</f>
        <v>3</v>
      </c>
      <c r="F1014" s="68">
        <v>12007</v>
      </c>
      <c r="G1014" s="15" t="s">
        <v>35</v>
      </c>
      <c r="H1014" s="25"/>
      <c r="I1014" s="151">
        <v>2401.88</v>
      </c>
      <c r="J1014" s="151">
        <f t="shared" si="3"/>
        <v>2509.12</v>
      </c>
      <c r="K1014" s="158">
        <v>4911</v>
      </c>
      <c r="L1014" s="151">
        <v>157.08000000000001</v>
      </c>
      <c r="M1014" s="151">
        <f>57.9+63.6</f>
        <v>121.5</v>
      </c>
      <c r="N1014" s="24">
        <v>6</v>
      </c>
      <c r="O1014" s="151">
        <v>235.62</v>
      </c>
      <c r="P1014" s="151">
        <v>0</v>
      </c>
      <c r="Q1014" s="151">
        <v>157.08000000000001</v>
      </c>
      <c r="R1014" s="151">
        <v>0</v>
      </c>
      <c r="S1014" s="154">
        <v>197.5</v>
      </c>
      <c r="T1014" s="151">
        <v>0</v>
      </c>
      <c r="U1014" s="151">
        <v>535</v>
      </c>
      <c r="V1014" s="15" t="s">
        <v>684</v>
      </c>
      <c r="W1014" s="22">
        <v>4</v>
      </c>
      <c r="X1014" s="149">
        <v>215.6</v>
      </c>
      <c r="Y1014" s="15" t="s">
        <v>1344</v>
      </c>
      <c r="Z1014" s="151">
        <v>0</v>
      </c>
      <c r="AA1014" s="149">
        <f>Tabela4[[#This Row],[VALOR]]-Tabela4[[#This Row],[PNEUS]]-Tabela4[[#This Row],[BATERIA]]</f>
        <v>4376</v>
      </c>
      <c r="AB1014" s="19" t="s">
        <v>24</v>
      </c>
      <c r="AC1014" s="30">
        <v>0</v>
      </c>
      <c r="AD1014" s="162">
        <v>0</v>
      </c>
      <c r="AE1014" s="151">
        <v>0</v>
      </c>
      <c r="AF1014" s="151">
        <v>0</v>
      </c>
      <c r="AG1014" s="151">
        <v>0</v>
      </c>
      <c r="AH1014" s="151">
        <v>0</v>
      </c>
      <c r="AI1014" s="151">
        <v>0</v>
      </c>
      <c r="AJ1014" s="151">
        <v>0</v>
      </c>
    </row>
    <row r="1015" spans="1:36" x14ac:dyDescent="0.25">
      <c r="A1015" s="68" t="s">
        <v>825</v>
      </c>
      <c r="B1015" s="68" t="s">
        <v>1549</v>
      </c>
      <c r="C1015" s="146">
        <v>45478</v>
      </c>
      <c r="D1015" s="141">
        <v>45479</v>
      </c>
      <c r="E1015">
        <f>Tabela4[[#This Row],[DATA FATURAMENTO]]-Tabela4[[#This Row],[DATA ORÇAMENTO]]</f>
        <v>1</v>
      </c>
      <c r="F1015" s="68">
        <v>12028</v>
      </c>
      <c r="G1015" s="15" t="s">
        <v>35</v>
      </c>
      <c r="H1015" s="25"/>
      <c r="I1015" s="151">
        <v>350</v>
      </c>
      <c r="J1015" s="151">
        <f t="shared" si="3"/>
        <v>176.35000000000002</v>
      </c>
      <c r="K1015" s="158">
        <v>526.35</v>
      </c>
      <c r="L1015" s="151">
        <v>141.86000000000001</v>
      </c>
      <c r="M1015" s="151">
        <v>0</v>
      </c>
      <c r="N1015" s="24"/>
      <c r="O1015" s="151">
        <v>0</v>
      </c>
      <c r="P1015" s="151">
        <v>0</v>
      </c>
      <c r="Q1015" s="151">
        <v>0</v>
      </c>
      <c r="R1015" s="151">
        <v>0</v>
      </c>
      <c r="S1015" s="154">
        <v>0</v>
      </c>
      <c r="T1015" s="151">
        <v>0</v>
      </c>
      <c r="U1015" s="151">
        <v>0</v>
      </c>
      <c r="V1015" s="15"/>
      <c r="W1015" s="22">
        <v>4</v>
      </c>
      <c r="X1015" s="149">
        <v>65.8</v>
      </c>
      <c r="Y1015" s="15" t="s">
        <v>1550</v>
      </c>
      <c r="Z1015" s="151">
        <v>0</v>
      </c>
      <c r="AA1015" s="149">
        <f>Tabela4[[#This Row],[VALOR]]-Tabela4[[#This Row],[PNEUS]]-Tabela4[[#This Row],[BATERIA]]</f>
        <v>526.35</v>
      </c>
      <c r="AB1015" s="19" t="s">
        <v>27</v>
      </c>
      <c r="AC1015" s="30">
        <v>0</v>
      </c>
      <c r="AD1015" s="162">
        <v>0</v>
      </c>
      <c r="AE1015" s="151">
        <v>0</v>
      </c>
      <c r="AF1015" s="151">
        <v>0</v>
      </c>
      <c r="AG1015" s="151">
        <v>0</v>
      </c>
      <c r="AH1015" s="151">
        <v>0</v>
      </c>
      <c r="AI1015" s="151">
        <v>0</v>
      </c>
      <c r="AJ1015" s="151">
        <v>0</v>
      </c>
    </row>
    <row r="1016" spans="1:36" x14ac:dyDescent="0.25">
      <c r="A1016" s="68" t="s">
        <v>1551</v>
      </c>
      <c r="B1016" s="68" t="s">
        <v>991</v>
      </c>
      <c r="C1016" s="146">
        <v>45478</v>
      </c>
      <c r="D1016" s="141">
        <v>45479</v>
      </c>
      <c r="E1016">
        <f>Tabela4[[#This Row],[DATA FATURAMENTO]]-Tabela4[[#This Row],[DATA ORÇAMENTO]]</f>
        <v>1</v>
      </c>
      <c r="F1016" s="68">
        <v>12030</v>
      </c>
      <c r="G1016" s="15" t="s">
        <v>22</v>
      </c>
      <c r="H1016" s="25"/>
      <c r="I1016" s="151">
        <v>1190.0999999999999</v>
      </c>
      <c r="J1016" s="151">
        <f t="shared" si="3"/>
        <v>459.90000000000009</v>
      </c>
      <c r="K1016" s="158">
        <v>1650</v>
      </c>
      <c r="L1016" s="151">
        <v>0</v>
      </c>
      <c r="M1016" s="151">
        <v>0</v>
      </c>
      <c r="N1016" s="24"/>
      <c r="O1016" s="151">
        <v>170</v>
      </c>
      <c r="P1016" s="151">
        <v>0</v>
      </c>
      <c r="Q1016" s="151">
        <v>0</v>
      </c>
      <c r="R1016" s="151">
        <v>0</v>
      </c>
      <c r="S1016" s="154">
        <v>0</v>
      </c>
      <c r="T1016" s="151">
        <v>0</v>
      </c>
      <c r="U1016" s="151">
        <v>0</v>
      </c>
      <c r="V1016" s="15"/>
      <c r="W1016" s="22">
        <v>0</v>
      </c>
      <c r="X1016" s="149">
        <v>0</v>
      </c>
      <c r="Y1016" s="15"/>
      <c r="Z1016" s="151">
        <v>0</v>
      </c>
      <c r="AA1016" s="149">
        <f>Tabela4[[#This Row],[VALOR]]-Tabela4[[#This Row],[PNEUS]]-Tabela4[[#This Row],[BATERIA]]</f>
        <v>1650</v>
      </c>
      <c r="AB1016" s="19" t="s">
        <v>36</v>
      </c>
      <c r="AC1016" s="30">
        <v>0</v>
      </c>
      <c r="AD1016" s="162">
        <v>0</v>
      </c>
      <c r="AE1016" s="151">
        <v>0</v>
      </c>
      <c r="AF1016" s="151">
        <v>0</v>
      </c>
      <c r="AG1016" s="151">
        <v>0</v>
      </c>
      <c r="AH1016" s="151">
        <v>0</v>
      </c>
      <c r="AI1016" s="151">
        <v>0</v>
      </c>
      <c r="AJ1016" s="151">
        <v>0</v>
      </c>
    </row>
    <row r="1017" spans="1:36" x14ac:dyDescent="0.25">
      <c r="A1017" s="68" t="s">
        <v>1401</v>
      </c>
      <c r="B1017" s="68" t="s">
        <v>1427</v>
      </c>
      <c r="C1017" s="146">
        <v>45478</v>
      </c>
      <c r="D1017" s="141">
        <v>45479</v>
      </c>
      <c r="E1017">
        <f>Tabela4[[#This Row],[DATA FATURAMENTO]]-Tabela4[[#This Row],[DATA ORÇAMENTO]]</f>
        <v>1</v>
      </c>
      <c r="F1017" s="68">
        <v>12034</v>
      </c>
      <c r="G1017" s="15" t="s">
        <v>22</v>
      </c>
      <c r="H1017" s="25"/>
      <c r="I1017" s="151">
        <v>780</v>
      </c>
      <c r="J1017" s="151">
        <f t="shared" si="3"/>
        <v>220</v>
      </c>
      <c r="K1017" s="158">
        <v>1000</v>
      </c>
      <c r="L1017" s="151">
        <v>0</v>
      </c>
      <c r="M1017" s="151">
        <v>0</v>
      </c>
      <c r="N1017" s="24"/>
      <c r="O1017" s="151">
        <v>0</v>
      </c>
      <c r="P1017" s="151">
        <v>0</v>
      </c>
      <c r="Q1017" s="151">
        <v>0</v>
      </c>
      <c r="R1017" s="151">
        <v>0</v>
      </c>
      <c r="S1017" s="154">
        <v>0</v>
      </c>
      <c r="T1017" s="151">
        <v>0</v>
      </c>
      <c r="U1017" s="151">
        <v>0</v>
      </c>
      <c r="V1017" s="15"/>
      <c r="W1017" s="22">
        <v>0</v>
      </c>
      <c r="X1017" s="149">
        <v>0</v>
      </c>
      <c r="Y1017" s="15"/>
      <c r="Z1017" s="151">
        <v>0</v>
      </c>
      <c r="AA1017" s="149">
        <f>Tabela4[[#This Row],[VALOR]]-Tabela4[[#This Row],[PNEUS]]-Tabela4[[#This Row],[BATERIA]]</f>
        <v>1000</v>
      </c>
      <c r="AB1017" s="19" t="s">
        <v>32</v>
      </c>
      <c r="AC1017" s="30">
        <v>0</v>
      </c>
      <c r="AD1017" s="162">
        <v>0</v>
      </c>
      <c r="AE1017" s="151">
        <v>0</v>
      </c>
      <c r="AF1017" s="151">
        <v>0</v>
      </c>
      <c r="AG1017" s="151">
        <v>0</v>
      </c>
      <c r="AH1017" s="151">
        <v>0</v>
      </c>
      <c r="AI1017" s="151">
        <v>0</v>
      </c>
      <c r="AJ1017" s="151">
        <v>0</v>
      </c>
    </row>
    <row r="1018" spans="1:36" x14ac:dyDescent="0.25">
      <c r="A1018" s="68" t="s">
        <v>1552</v>
      </c>
      <c r="B1018" s="68" t="s">
        <v>1553</v>
      </c>
      <c r="C1018" s="146">
        <v>45479</v>
      </c>
      <c r="D1018" s="141">
        <v>45479</v>
      </c>
      <c r="E1018">
        <f>Tabela4[[#This Row],[DATA FATURAMENTO]]-Tabela4[[#This Row],[DATA ORÇAMENTO]]</f>
        <v>0</v>
      </c>
      <c r="F1018" s="68">
        <v>12036</v>
      </c>
      <c r="G1018" s="15" t="s">
        <v>22</v>
      </c>
      <c r="H1018" s="25"/>
      <c r="I1018" s="151">
        <v>0</v>
      </c>
      <c r="J1018" s="151">
        <f t="shared" si="3"/>
        <v>340</v>
      </c>
      <c r="K1018" s="158">
        <v>340</v>
      </c>
      <c r="L1018" s="151">
        <v>0</v>
      </c>
      <c r="M1018" s="151">
        <v>0</v>
      </c>
      <c r="N1018" s="24"/>
      <c r="O1018" s="151">
        <v>0</v>
      </c>
      <c r="P1018" s="151">
        <v>0</v>
      </c>
      <c r="Q1018" s="151">
        <v>0</v>
      </c>
      <c r="R1018" s="151">
        <v>0</v>
      </c>
      <c r="S1018" s="154">
        <v>0</v>
      </c>
      <c r="T1018" s="151">
        <v>0</v>
      </c>
      <c r="U1018" s="151">
        <v>0</v>
      </c>
      <c r="V1018" s="15"/>
      <c r="W1018" s="22">
        <v>0</v>
      </c>
      <c r="X1018" s="149">
        <v>0</v>
      </c>
      <c r="Y1018" s="15"/>
      <c r="Z1018" s="151">
        <v>0</v>
      </c>
      <c r="AA1018" s="149">
        <f>Tabela4[[#This Row],[VALOR]]-Tabela4[[#This Row],[PNEUS]]-Tabela4[[#This Row],[BATERIA]]</f>
        <v>340</v>
      </c>
      <c r="AB1018" s="19" t="s">
        <v>34</v>
      </c>
      <c r="AC1018" s="30">
        <v>0</v>
      </c>
      <c r="AD1018" s="162">
        <v>0</v>
      </c>
      <c r="AE1018" s="151">
        <v>0</v>
      </c>
      <c r="AF1018" s="151">
        <v>0</v>
      </c>
      <c r="AG1018" s="151">
        <v>0</v>
      </c>
      <c r="AH1018" s="151">
        <v>0</v>
      </c>
      <c r="AI1018" s="151">
        <v>0</v>
      </c>
      <c r="AJ1018" s="151">
        <v>0</v>
      </c>
    </row>
    <row r="1019" spans="1:36" x14ac:dyDescent="0.25">
      <c r="A1019" s="68" t="s">
        <v>1336</v>
      </c>
      <c r="B1019" s="68" t="s">
        <v>1337</v>
      </c>
      <c r="C1019" s="146">
        <v>45471</v>
      </c>
      <c r="D1019" s="141">
        <v>45481</v>
      </c>
      <c r="E1019">
        <f>Tabela4[[#This Row],[DATA FATURAMENTO]]-Tabela4[[#This Row],[DATA ORÇAMENTO]]</f>
        <v>10</v>
      </c>
      <c r="F1019" s="68">
        <v>11940</v>
      </c>
      <c r="G1019" s="15" t="s">
        <v>28</v>
      </c>
      <c r="H1019" s="25"/>
      <c r="I1019" s="151">
        <v>70</v>
      </c>
      <c r="J1019" s="151">
        <f t="shared" si="3"/>
        <v>10</v>
      </c>
      <c r="K1019" s="158">
        <v>80</v>
      </c>
      <c r="L1019" s="151">
        <v>0</v>
      </c>
      <c r="M1019" s="151">
        <v>0</v>
      </c>
      <c r="N1019" s="24"/>
      <c r="O1019" s="151">
        <v>0</v>
      </c>
      <c r="P1019" s="151">
        <v>0</v>
      </c>
      <c r="Q1019" s="151">
        <v>0</v>
      </c>
      <c r="R1019" s="151">
        <v>0</v>
      </c>
      <c r="S1019" s="154">
        <v>0</v>
      </c>
      <c r="T1019" s="151">
        <v>0</v>
      </c>
      <c r="U1019" s="151">
        <v>0</v>
      </c>
      <c r="V1019" s="15"/>
      <c r="W1019" s="22">
        <v>0</v>
      </c>
      <c r="X1019" s="149">
        <v>0</v>
      </c>
      <c r="Y1019" s="15"/>
      <c r="Z1019" s="151">
        <v>0</v>
      </c>
      <c r="AA1019" s="149">
        <f>Tabela4[[#This Row],[VALOR]]-Tabela4[[#This Row],[PNEUS]]-Tabela4[[#This Row],[BATERIA]]</f>
        <v>80</v>
      </c>
      <c r="AB1019" s="19" t="s">
        <v>27</v>
      </c>
      <c r="AC1019" s="30">
        <v>0</v>
      </c>
      <c r="AD1019" s="162">
        <v>0</v>
      </c>
      <c r="AE1019" s="151">
        <v>0</v>
      </c>
      <c r="AF1019" s="151">
        <v>0</v>
      </c>
      <c r="AG1019" s="151">
        <v>0</v>
      </c>
      <c r="AH1019" s="151">
        <v>0</v>
      </c>
      <c r="AI1019" s="151">
        <v>0</v>
      </c>
      <c r="AJ1019" s="151">
        <v>0</v>
      </c>
    </row>
    <row r="1020" spans="1:36" x14ac:dyDescent="0.25">
      <c r="A1020" s="68" t="s">
        <v>1554</v>
      </c>
      <c r="B1020" s="68" t="s">
        <v>873</v>
      </c>
      <c r="C1020" s="146">
        <v>45481</v>
      </c>
      <c r="D1020" s="141">
        <v>45481</v>
      </c>
      <c r="E1020">
        <f>Tabela4[[#This Row],[DATA FATURAMENTO]]-Tabela4[[#This Row],[DATA ORÇAMENTO]]</f>
        <v>0</v>
      </c>
      <c r="F1020" s="68">
        <v>12039</v>
      </c>
      <c r="G1020" s="15" t="s">
        <v>22</v>
      </c>
      <c r="H1020" s="25"/>
      <c r="I1020" s="151">
        <v>543.65</v>
      </c>
      <c r="J1020" s="151">
        <f t="shared" si="3"/>
        <v>325.25</v>
      </c>
      <c r="K1020" s="158">
        <v>868.9</v>
      </c>
      <c r="L1020" s="151">
        <v>0</v>
      </c>
      <c r="M1020" s="151">
        <v>0</v>
      </c>
      <c r="N1020" s="24"/>
      <c r="O1020" s="151">
        <v>0</v>
      </c>
      <c r="P1020" s="151">
        <v>0</v>
      </c>
      <c r="Q1020" s="151">
        <v>0</v>
      </c>
      <c r="R1020" s="151">
        <v>0</v>
      </c>
      <c r="S1020" s="154">
        <v>0</v>
      </c>
      <c r="T1020" s="151">
        <v>0</v>
      </c>
      <c r="U1020" s="151">
        <v>0</v>
      </c>
      <c r="V1020" s="15"/>
      <c r="W1020" s="22">
        <v>3</v>
      </c>
      <c r="X1020" s="149">
        <v>54</v>
      </c>
      <c r="Y1020" s="15" t="s">
        <v>1344</v>
      </c>
      <c r="Z1020" s="151">
        <v>0</v>
      </c>
      <c r="AA1020" s="149">
        <f>Tabela4[[#This Row],[VALOR]]-Tabela4[[#This Row],[PNEUS]]-Tabela4[[#This Row],[BATERIA]]</f>
        <v>868.9</v>
      </c>
      <c r="AB1020" s="19" t="s">
        <v>36</v>
      </c>
      <c r="AC1020" s="30">
        <v>0</v>
      </c>
      <c r="AD1020" s="162">
        <v>0</v>
      </c>
      <c r="AE1020" s="151">
        <v>0</v>
      </c>
      <c r="AF1020" s="151">
        <v>0</v>
      </c>
      <c r="AG1020" s="151">
        <v>0</v>
      </c>
      <c r="AH1020" s="151">
        <v>0</v>
      </c>
      <c r="AI1020" s="151">
        <v>0</v>
      </c>
      <c r="AJ1020" s="151">
        <v>0</v>
      </c>
    </row>
    <row r="1021" spans="1:36" x14ac:dyDescent="0.25">
      <c r="A1021" s="68" t="s">
        <v>291</v>
      </c>
      <c r="B1021" s="68" t="s">
        <v>971</v>
      </c>
      <c r="C1021" s="146">
        <v>45478</v>
      </c>
      <c r="D1021" s="141">
        <v>45481</v>
      </c>
      <c r="E1021">
        <f>Tabela4[[#This Row],[DATA FATURAMENTO]]-Tabela4[[#This Row],[DATA ORÇAMENTO]]</f>
        <v>3</v>
      </c>
      <c r="F1021" s="68">
        <v>12032</v>
      </c>
      <c r="G1021" s="15" t="s">
        <v>22</v>
      </c>
      <c r="H1021" s="25"/>
      <c r="I1021" s="151">
        <v>686.6</v>
      </c>
      <c r="J1021" s="151">
        <f t="shared" si="3"/>
        <v>481.4</v>
      </c>
      <c r="K1021" s="158">
        <v>1168</v>
      </c>
      <c r="L1021" s="151">
        <v>0</v>
      </c>
      <c r="M1021" s="151">
        <f>77.6+21</f>
        <v>98.6</v>
      </c>
      <c r="N1021" s="24">
        <v>4</v>
      </c>
      <c r="O1021" s="151">
        <v>0</v>
      </c>
      <c r="P1021" s="151">
        <v>0</v>
      </c>
      <c r="Q1021" s="151">
        <v>0</v>
      </c>
      <c r="R1021" s="151">
        <v>0</v>
      </c>
      <c r="S1021" s="154">
        <v>0</v>
      </c>
      <c r="T1021" s="151">
        <v>0</v>
      </c>
      <c r="U1021" s="151">
        <v>0</v>
      </c>
      <c r="V1021" s="15"/>
      <c r="W1021" s="22">
        <v>0</v>
      </c>
      <c r="X1021" s="149">
        <v>0</v>
      </c>
      <c r="Y1021" s="15"/>
      <c r="Z1021" s="151">
        <v>0</v>
      </c>
      <c r="AA1021" s="149">
        <f>Tabela4[[#This Row],[VALOR]]-Tabela4[[#This Row],[PNEUS]]-Tabela4[[#This Row],[BATERIA]]</f>
        <v>1168</v>
      </c>
      <c r="AB1021" s="19" t="s">
        <v>24</v>
      </c>
      <c r="AC1021" s="30">
        <v>0</v>
      </c>
      <c r="AD1021" s="162">
        <v>0</v>
      </c>
      <c r="AE1021" s="151">
        <v>0</v>
      </c>
      <c r="AF1021" s="151">
        <v>0</v>
      </c>
      <c r="AG1021" s="151">
        <v>0</v>
      </c>
      <c r="AH1021" s="151">
        <v>0</v>
      </c>
      <c r="AI1021" s="151">
        <v>0</v>
      </c>
      <c r="AJ1021" s="151">
        <v>0</v>
      </c>
    </row>
    <row r="1022" spans="1:36" x14ac:dyDescent="0.25">
      <c r="A1022" s="68" t="s">
        <v>1555</v>
      </c>
      <c r="B1022" s="68" t="s">
        <v>1131</v>
      </c>
      <c r="C1022" s="146">
        <v>45481</v>
      </c>
      <c r="D1022" s="141">
        <v>45481</v>
      </c>
      <c r="E1022">
        <f>Tabela4[[#This Row],[DATA FATURAMENTO]]-Tabela4[[#This Row],[DATA ORÇAMENTO]]</f>
        <v>0</v>
      </c>
      <c r="F1022" s="68">
        <v>12041</v>
      </c>
      <c r="G1022" s="15" t="s">
        <v>25</v>
      </c>
      <c r="H1022" s="25"/>
      <c r="I1022" s="151">
        <v>405.28</v>
      </c>
      <c r="J1022" s="151">
        <f t="shared" si="3"/>
        <v>245.20000000000005</v>
      </c>
      <c r="K1022" s="158">
        <v>650.48</v>
      </c>
      <c r="L1022" s="151">
        <v>0</v>
      </c>
      <c r="M1022" s="151">
        <v>21.95</v>
      </c>
      <c r="N1022" s="24">
        <v>1</v>
      </c>
      <c r="O1022" s="151">
        <v>0</v>
      </c>
      <c r="P1022" s="151">
        <v>0</v>
      </c>
      <c r="Q1022" s="151">
        <v>0</v>
      </c>
      <c r="R1022" s="151">
        <v>0</v>
      </c>
      <c r="S1022" s="154">
        <v>79.900000000000006</v>
      </c>
      <c r="T1022" s="151">
        <v>0</v>
      </c>
      <c r="U1022" s="151">
        <v>0</v>
      </c>
      <c r="V1022" s="15"/>
      <c r="W1022" s="22">
        <v>4</v>
      </c>
      <c r="X1022" s="149">
        <v>28.8</v>
      </c>
      <c r="Y1022" s="15" t="s">
        <v>654</v>
      </c>
      <c r="Z1022" s="151">
        <v>0</v>
      </c>
      <c r="AA1022" s="149">
        <f>Tabela4[[#This Row],[VALOR]]-Tabela4[[#This Row],[PNEUS]]-Tabela4[[#This Row],[BATERIA]]</f>
        <v>650.48</v>
      </c>
      <c r="AB1022" s="19" t="s">
        <v>27</v>
      </c>
      <c r="AC1022" s="30">
        <v>0</v>
      </c>
      <c r="AD1022" s="162">
        <v>0</v>
      </c>
      <c r="AE1022" s="151">
        <v>0</v>
      </c>
      <c r="AF1022" s="151">
        <v>0</v>
      </c>
      <c r="AG1022" s="151">
        <v>0</v>
      </c>
      <c r="AH1022" s="151">
        <v>0</v>
      </c>
      <c r="AI1022" s="151">
        <v>0</v>
      </c>
      <c r="AJ1022" s="151">
        <v>0</v>
      </c>
    </row>
    <row r="1023" spans="1:36" x14ac:dyDescent="0.25">
      <c r="A1023" s="68" t="s">
        <v>1556</v>
      </c>
      <c r="B1023" s="68" t="s">
        <v>1557</v>
      </c>
      <c r="C1023" s="146">
        <v>45481</v>
      </c>
      <c r="D1023" s="141">
        <v>45481</v>
      </c>
      <c r="E1023">
        <f>Tabela4[[#This Row],[DATA FATURAMENTO]]-Tabela4[[#This Row],[DATA ORÇAMENTO]]</f>
        <v>0</v>
      </c>
      <c r="F1023" s="68">
        <v>12042</v>
      </c>
      <c r="G1023" s="15" t="s">
        <v>22</v>
      </c>
      <c r="H1023" s="25"/>
      <c r="I1023" s="151">
        <v>1479.9</v>
      </c>
      <c r="J1023" s="151">
        <f t="shared" si="3"/>
        <v>520</v>
      </c>
      <c r="K1023" s="158">
        <v>1999.9</v>
      </c>
      <c r="L1023" s="151">
        <v>0</v>
      </c>
      <c r="M1023" s="151">
        <v>0</v>
      </c>
      <c r="N1023" s="24"/>
      <c r="O1023" s="151">
        <f>405.9-115.9</f>
        <v>290</v>
      </c>
      <c r="P1023" s="151">
        <f>124+82</f>
        <v>206</v>
      </c>
      <c r="Q1023" s="151">
        <v>0</v>
      </c>
      <c r="R1023" s="151">
        <v>0</v>
      </c>
      <c r="S1023" s="154">
        <v>0</v>
      </c>
      <c r="T1023" s="151">
        <v>0</v>
      </c>
      <c r="U1023" s="151">
        <v>0</v>
      </c>
      <c r="V1023" s="15"/>
      <c r="W1023" s="22">
        <v>4</v>
      </c>
      <c r="X1023" s="149">
        <v>60.5</v>
      </c>
      <c r="Y1023" s="15" t="s">
        <v>1344</v>
      </c>
      <c r="Z1023" s="151">
        <v>0</v>
      </c>
      <c r="AA1023" s="149">
        <f>Tabela4[[#This Row],[VALOR]]-Tabela4[[#This Row],[PNEUS]]-Tabela4[[#This Row],[BATERIA]]</f>
        <v>1999.9</v>
      </c>
      <c r="AB1023" s="19" t="s">
        <v>32</v>
      </c>
      <c r="AC1023" s="30">
        <v>0</v>
      </c>
      <c r="AD1023" s="162">
        <v>0</v>
      </c>
      <c r="AE1023" s="151">
        <v>0</v>
      </c>
      <c r="AF1023" s="151">
        <v>0</v>
      </c>
      <c r="AG1023" s="151">
        <v>0</v>
      </c>
      <c r="AH1023" s="151">
        <v>0</v>
      </c>
      <c r="AI1023" s="151">
        <v>0</v>
      </c>
      <c r="AJ1023" s="151">
        <v>0</v>
      </c>
    </row>
    <row r="1024" spans="1:36" x14ac:dyDescent="0.25">
      <c r="A1024" s="68" t="s">
        <v>1558</v>
      </c>
      <c r="B1024" s="68" t="s">
        <v>1559</v>
      </c>
      <c r="C1024" s="146">
        <v>45481</v>
      </c>
      <c r="D1024" s="141">
        <v>45481</v>
      </c>
      <c r="E1024">
        <f>Tabela4[[#This Row],[DATA FATURAMENTO]]-Tabela4[[#This Row],[DATA ORÇAMENTO]]</f>
        <v>0</v>
      </c>
      <c r="F1024" s="68">
        <v>12044</v>
      </c>
      <c r="G1024" s="15" t="s">
        <v>22</v>
      </c>
      <c r="H1024" s="25"/>
      <c r="I1024" s="151">
        <v>498.1</v>
      </c>
      <c r="J1024" s="151">
        <f t="shared" si="3"/>
        <v>118.89999999999998</v>
      </c>
      <c r="K1024" s="158">
        <v>617</v>
      </c>
      <c r="L1024" s="151">
        <v>0</v>
      </c>
      <c r="M1024" s="151">
        <v>0</v>
      </c>
      <c r="N1024" s="24"/>
      <c r="O1024" s="151">
        <v>0</v>
      </c>
      <c r="P1024" s="151">
        <v>0</v>
      </c>
      <c r="Q1024" s="151">
        <v>0</v>
      </c>
      <c r="R1024" s="151">
        <v>0</v>
      </c>
      <c r="S1024" s="154">
        <v>0</v>
      </c>
      <c r="T1024" s="151">
        <v>0</v>
      </c>
      <c r="U1024" s="151">
        <v>0</v>
      </c>
      <c r="V1024" s="15"/>
      <c r="W1024" s="22">
        <v>4</v>
      </c>
      <c r="X1024" s="149">
        <v>84.7</v>
      </c>
      <c r="Y1024" s="15" t="s">
        <v>1344</v>
      </c>
      <c r="Z1024" s="151">
        <v>0</v>
      </c>
      <c r="AA1024" s="149">
        <f>Tabela4[[#This Row],[VALOR]]-Tabela4[[#This Row],[PNEUS]]-Tabela4[[#This Row],[BATERIA]]</f>
        <v>617</v>
      </c>
      <c r="AB1024" s="19" t="s">
        <v>32</v>
      </c>
      <c r="AC1024" s="30">
        <v>0</v>
      </c>
      <c r="AD1024" s="162">
        <v>0</v>
      </c>
      <c r="AE1024" s="151">
        <v>0</v>
      </c>
      <c r="AF1024" s="151">
        <v>0</v>
      </c>
      <c r="AG1024" s="151">
        <v>0</v>
      </c>
      <c r="AH1024" s="151">
        <v>0</v>
      </c>
      <c r="AI1024" s="151">
        <v>0</v>
      </c>
      <c r="AJ1024" s="151">
        <v>0</v>
      </c>
    </row>
    <row r="1025" spans="1:36" x14ac:dyDescent="0.25">
      <c r="A1025" s="68" t="s">
        <v>1560</v>
      </c>
      <c r="B1025" s="68" t="s">
        <v>1561</v>
      </c>
      <c r="C1025" s="146">
        <v>45481</v>
      </c>
      <c r="D1025" s="141">
        <v>45481</v>
      </c>
      <c r="E1025">
        <f>Tabela4[[#This Row],[DATA FATURAMENTO]]-Tabela4[[#This Row],[DATA ORÇAMENTO]]</f>
        <v>0</v>
      </c>
      <c r="F1025" s="68">
        <v>12045</v>
      </c>
      <c r="G1025" s="15" t="s">
        <v>1546</v>
      </c>
      <c r="H1025" s="25"/>
      <c r="I1025" s="151">
        <v>466</v>
      </c>
      <c r="J1025" s="151">
        <f t="shared" si="3"/>
        <v>361</v>
      </c>
      <c r="K1025" s="158">
        <v>827</v>
      </c>
      <c r="L1025" s="151">
        <v>0</v>
      </c>
      <c r="M1025" s="151">
        <v>0</v>
      </c>
      <c r="N1025" s="24"/>
      <c r="O1025" s="151">
        <v>0</v>
      </c>
      <c r="P1025" s="151">
        <v>0</v>
      </c>
      <c r="Q1025" s="151">
        <v>0</v>
      </c>
      <c r="R1025" s="151">
        <v>0</v>
      </c>
      <c r="S1025" s="154">
        <v>181</v>
      </c>
      <c r="T1025" s="151">
        <v>0</v>
      </c>
      <c r="U1025" s="151">
        <v>0</v>
      </c>
      <c r="V1025" s="15"/>
      <c r="W1025" s="22">
        <v>4</v>
      </c>
      <c r="X1025" s="149">
        <v>72.8</v>
      </c>
      <c r="Y1025" s="15" t="s">
        <v>1344</v>
      </c>
      <c r="Z1025" s="151">
        <v>0</v>
      </c>
      <c r="AA1025" s="149">
        <f>Tabela4[[#This Row],[VALOR]]-Tabela4[[#This Row],[PNEUS]]-Tabela4[[#This Row],[BATERIA]]</f>
        <v>827</v>
      </c>
      <c r="AB1025" s="19" t="s">
        <v>36</v>
      </c>
      <c r="AC1025" s="30">
        <v>0</v>
      </c>
      <c r="AD1025" s="162">
        <v>0</v>
      </c>
      <c r="AE1025" s="151">
        <v>0</v>
      </c>
      <c r="AF1025" s="151">
        <v>0</v>
      </c>
      <c r="AG1025" s="151">
        <v>0</v>
      </c>
      <c r="AH1025" s="151">
        <v>0</v>
      </c>
      <c r="AI1025" s="151">
        <v>0</v>
      </c>
      <c r="AJ1025" s="151">
        <v>0</v>
      </c>
    </row>
    <row r="1026" spans="1:36" x14ac:dyDescent="0.25">
      <c r="A1026" s="68" t="s">
        <v>1562</v>
      </c>
      <c r="B1026" s="68" t="s">
        <v>1563</v>
      </c>
      <c r="C1026" s="146">
        <v>45478</v>
      </c>
      <c r="D1026" s="141">
        <v>45483</v>
      </c>
      <c r="E1026">
        <f>Tabela4[[#This Row],[DATA FATURAMENTO]]-Tabela4[[#This Row],[DATA ORÇAMENTO]]</f>
        <v>5</v>
      </c>
      <c r="F1026" s="68">
        <v>12024</v>
      </c>
      <c r="G1026" s="15" t="s">
        <v>25</v>
      </c>
      <c r="H1026" s="25"/>
      <c r="I1026" s="151">
        <f>4790.51-957</f>
        <v>3833.51</v>
      </c>
      <c r="J1026" s="151">
        <f t="shared" si="3"/>
        <v>957</v>
      </c>
      <c r="K1026" s="158">
        <v>4790.51</v>
      </c>
      <c r="L1026" s="151">
        <v>170</v>
      </c>
      <c r="M1026" s="151">
        <f>87.78</f>
        <v>87.78</v>
      </c>
      <c r="N1026" s="24">
        <v>3</v>
      </c>
      <c r="O1026" s="151">
        <f>19.4+19.4+170</f>
        <v>208.8</v>
      </c>
      <c r="P1026" s="151">
        <f>85</f>
        <v>85</v>
      </c>
      <c r="Q1026" s="151">
        <v>0</v>
      </c>
      <c r="R1026" s="151">
        <v>0</v>
      </c>
      <c r="S1026" s="154">
        <v>79.900000000000006</v>
      </c>
      <c r="T1026" s="151">
        <v>1318.78</v>
      </c>
      <c r="U1026" s="151">
        <v>460</v>
      </c>
      <c r="V1026" s="15" t="s">
        <v>1564</v>
      </c>
      <c r="W1026" s="22">
        <v>4</v>
      </c>
      <c r="X1026" s="149">
        <v>35</v>
      </c>
      <c r="Y1026" s="15" t="s">
        <v>1550</v>
      </c>
      <c r="Z1026" s="151">
        <v>0</v>
      </c>
      <c r="AA1026" s="149">
        <f>Tabela4[[#This Row],[VALOR]]-Tabela4[[#This Row],[PNEUS]]-Tabela4[[#This Row],[BATERIA]]</f>
        <v>3011.7300000000005</v>
      </c>
      <c r="AB1026" s="19" t="s">
        <v>27</v>
      </c>
      <c r="AC1026" s="30">
        <v>0</v>
      </c>
      <c r="AD1026" s="162">
        <v>0</v>
      </c>
      <c r="AE1026" s="151">
        <v>0</v>
      </c>
      <c r="AF1026" s="151">
        <v>0</v>
      </c>
      <c r="AG1026" s="151">
        <v>0</v>
      </c>
      <c r="AH1026" s="151">
        <v>0</v>
      </c>
      <c r="AI1026" s="151">
        <v>0</v>
      </c>
      <c r="AJ1026" s="151">
        <v>0</v>
      </c>
    </row>
    <row r="1027" spans="1:36" x14ac:dyDescent="0.25">
      <c r="A1027" s="68" t="s">
        <v>545</v>
      </c>
      <c r="B1027" s="68" t="s">
        <v>975</v>
      </c>
      <c r="C1027" s="146">
        <v>45483</v>
      </c>
      <c r="D1027" s="141">
        <v>45483</v>
      </c>
      <c r="E1027">
        <f>Tabela4[[#This Row],[DATA FATURAMENTO]]-Tabela4[[#This Row],[DATA ORÇAMENTO]]</f>
        <v>0</v>
      </c>
      <c r="F1027" s="68">
        <v>12060</v>
      </c>
      <c r="G1027" s="15" t="s">
        <v>35</v>
      </c>
      <c r="H1027" s="25"/>
      <c r="I1027" s="151">
        <v>160</v>
      </c>
      <c r="J1027" s="151">
        <f t="shared" si="3"/>
        <v>140</v>
      </c>
      <c r="K1027" s="158">
        <v>300</v>
      </c>
      <c r="L1027" s="151">
        <v>0</v>
      </c>
      <c r="M1027" s="151">
        <v>0</v>
      </c>
      <c r="N1027" s="24"/>
      <c r="O1027" s="151">
        <v>0</v>
      </c>
      <c r="P1027" s="151">
        <v>0</v>
      </c>
      <c r="Q1027" s="151">
        <v>0</v>
      </c>
      <c r="R1027" s="151">
        <v>0</v>
      </c>
      <c r="S1027" s="154">
        <v>0</v>
      </c>
      <c r="T1027" s="151">
        <v>0</v>
      </c>
      <c r="U1027" s="151">
        <v>0</v>
      </c>
      <c r="V1027" s="15"/>
      <c r="W1027" s="22">
        <v>0</v>
      </c>
      <c r="X1027" s="149">
        <v>0</v>
      </c>
      <c r="Y1027" s="15"/>
      <c r="Z1027" s="151">
        <v>0</v>
      </c>
      <c r="AA1027" s="149">
        <f>Tabela4[[#This Row],[VALOR]]-Tabela4[[#This Row],[PNEUS]]-Tabela4[[#This Row],[BATERIA]]</f>
        <v>300</v>
      </c>
      <c r="AB1027" s="19" t="s">
        <v>32</v>
      </c>
      <c r="AC1027" s="30">
        <v>0</v>
      </c>
      <c r="AD1027" s="162">
        <v>0</v>
      </c>
      <c r="AE1027" s="151">
        <v>0</v>
      </c>
      <c r="AF1027" s="151">
        <v>0</v>
      </c>
      <c r="AG1027" s="151">
        <v>0</v>
      </c>
      <c r="AH1027" s="151">
        <v>0</v>
      </c>
      <c r="AI1027" s="151">
        <v>0</v>
      </c>
      <c r="AJ1027" s="151">
        <v>0</v>
      </c>
    </row>
    <row r="1028" spans="1:36" x14ac:dyDescent="0.25">
      <c r="A1028" s="68" t="s">
        <v>1565</v>
      </c>
      <c r="B1028" s="68" t="s">
        <v>915</v>
      </c>
      <c r="C1028" s="146">
        <v>45483</v>
      </c>
      <c r="D1028" s="141">
        <v>45483</v>
      </c>
      <c r="E1028">
        <f>Tabela4[[#This Row],[DATA FATURAMENTO]]-Tabela4[[#This Row],[DATA ORÇAMENTO]]</f>
        <v>0</v>
      </c>
      <c r="F1028" s="68">
        <v>12066</v>
      </c>
      <c r="G1028" s="15" t="s">
        <v>31</v>
      </c>
      <c r="H1028" s="25"/>
      <c r="I1028" s="151">
        <v>153.80000000000001</v>
      </c>
      <c r="J1028" s="151">
        <f t="shared" si="3"/>
        <v>546.20000000000005</v>
      </c>
      <c r="K1028" s="158">
        <v>700</v>
      </c>
      <c r="L1028" s="151">
        <v>0</v>
      </c>
      <c r="M1028" s="151">
        <v>0</v>
      </c>
      <c r="N1028" s="24"/>
      <c r="O1028" s="151">
        <v>0</v>
      </c>
      <c r="P1028" s="151">
        <v>0</v>
      </c>
      <c r="Q1028" s="151">
        <v>0</v>
      </c>
      <c r="R1028" s="151">
        <v>0</v>
      </c>
      <c r="S1028" s="154">
        <v>0</v>
      </c>
      <c r="T1028" s="151">
        <v>0</v>
      </c>
      <c r="U1028" s="151">
        <v>0</v>
      </c>
      <c r="V1028" s="15"/>
      <c r="W1028" s="22">
        <v>0</v>
      </c>
      <c r="X1028" s="149">
        <v>0</v>
      </c>
      <c r="Y1028" s="15"/>
      <c r="Z1028" s="151">
        <v>0</v>
      </c>
      <c r="AA1028" s="149">
        <f>Tabela4[[#This Row],[VALOR]]-Tabela4[[#This Row],[PNEUS]]-Tabela4[[#This Row],[BATERIA]]</f>
        <v>700</v>
      </c>
      <c r="AB1028" s="19" t="s">
        <v>32</v>
      </c>
      <c r="AC1028" s="30">
        <v>0</v>
      </c>
      <c r="AD1028" s="162">
        <v>0</v>
      </c>
      <c r="AE1028" s="151">
        <v>0</v>
      </c>
      <c r="AF1028" s="151">
        <v>0</v>
      </c>
      <c r="AG1028" s="151">
        <v>0</v>
      </c>
      <c r="AH1028" s="151">
        <v>0</v>
      </c>
      <c r="AI1028" s="151">
        <v>0</v>
      </c>
      <c r="AJ1028" s="151">
        <v>0</v>
      </c>
    </row>
    <row r="1029" spans="1:36" x14ac:dyDescent="0.25">
      <c r="A1029" s="68" t="s">
        <v>1566</v>
      </c>
      <c r="B1029" s="68" t="s">
        <v>1343</v>
      </c>
      <c r="C1029" s="146">
        <v>45483</v>
      </c>
      <c r="D1029" s="141">
        <v>45483</v>
      </c>
      <c r="E1029">
        <f>Tabela4[[#This Row],[DATA FATURAMENTO]]-Tabela4[[#This Row],[DATA ORÇAMENTO]]</f>
        <v>0</v>
      </c>
      <c r="F1029" s="68">
        <v>12068</v>
      </c>
      <c r="G1029" s="15" t="s">
        <v>22</v>
      </c>
      <c r="H1029" s="25"/>
      <c r="I1029" s="151">
        <v>35</v>
      </c>
      <c r="J1029" s="151">
        <f t="shared" si="3"/>
        <v>0</v>
      </c>
      <c r="K1029" s="158">
        <v>35</v>
      </c>
      <c r="L1029" s="151">
        <v>0</v>
      </c>
      <c r="M1029" s="151">
        <v>0</v>
      </c>
      <c r="N1029" s="24"/>
      <c r="O1029" s="151">
        <v>0</v>
      </c>
      <c r="P1029" s="151">
        <v>0</v>
      </c>
      <c r="Q1029" s="151">
        <v>0</v>
      </c>
      <c r="R1029" s="151">
        <v>0</v>
      </c>
      <c r="S1029" s="154">
        <v>0</v>
      </c>
      <c r="T1029" s="151">
        <v>0</v>
      </c>
      <c r="U1029" s="151">
        <v>0</v>
      </c>
      <c r="V1029" s="15"/>
      <c r="W1029" s="22">
        <v>0</v>
      </c>
      <c r="X1029" s="149">
        <v>0</v>
      </c>
      <c r="Y1029" s="15"/>
      <c r="Z1029" s="151">
        <v>0</v>
      </c>
      <c r="AA1029" s="149">
        <f>Tabela4[[#This Row],[VALOR]]-Tabela4[[#This Row],[PNEUS]]-Tabela4[[#This Row],[BATERIA]]</f>
        <v>35</v>
      </c>
      <c r="AB1029" s="19" t="s">
        <v>34</v>
      </c>
      <c r="AC1029" s="30">
        <v>0</v>
      </c>
      <c r="AD1029" s="162">
        <v>0</v>
      </c>
      <c r="AE1029" s="151">
        <v>0</v>
      </c>
      <c r="AF1029" s="151">
        <v>0</v>
      </c>
      <c r="AG1029" s="151">
        <v>0</v>
      </c>
      <c r="AH1029" s="151">
        <v>0</v>
      </c>
      <c r="AI1029" s="151">
        <v>0</v>
      </c>
      <c r="AJ1029" s="151">
        <v>0</v>
      </c>
    </row>
    <row r="1030" spans="1:36" x14ac:dyDescent="0.25">
      <c r="A1030" s="69" t="s">
        <v>1259</v>
      </c>
      <c r="B1030" s="72" t="s">
        <v>199</v>
      </c>
      <c r="C1030" s="148">
        <v>45475</v>
      </c>
      <c r="D1030" s="141">
        <v>45476</v>
      </c>
      <c r="E1030">
        <f>Tabela4[[#This Row],[DATA FATURAMENTO]]-Tabela4[[#This Row],[DATA ORÇAMENTO]]</f>
        <v>1</v>
      </c>
      <c r="F1030" s="69">
        <v>11984</v>
      </c>
      <c r="G1030" s="15" t="s">
        <v>22</v>
      </c>
      <c r="H1030" s="25"/>
      <c r="I1030" s="151">
        <v>1163</v>
      </c>
      <c r="J1030" s="151">
        <v>306.02</v>
      </c>
      <c r="K1030" s="159">
        <f>Tabela4[[#This Row],[PECAS]]+Tabela4[[#This Row],[SERVICOS]]</f>
        <v>1469.02</v>
      </c>
      <c r="L1030" s="151">
        <v>0</v>
      </c>
      <c r="M1030" s="151">
        <v>0</v>
      </c>
      <c r="N1030" s="24"/>
      <c r="O1030" s="151">
        <v>0</v>
      </c>
      <c r="P1030" s="151">
        <v>0</v>
      </c>
      <c r="Q1030" s="151">
        <v>0</v>
      </c>
      <c r="R1030" s="151">
        <v>0</v>
      </c>
      <c r="S1030" s="154">
        <v>0</v>
      </c>
      <c r="T1030" s="151">
        <v>0</v>
      </c>
      <c r="U1030" s="151">
        <v>0</v>
      </c>
      <c r="V1030" s="15"/>
      <c r="W1030" s="22">
        <v>0</v>
      </c>
      <c r="X1030" s="149">
        <v>0</v>
      </c>
      <c r="Y1030" s="15"/>
      <c r="Z1030" s="151">
        <v>0</v>
      </c>
      <c r="AA1030" s="149">
        <f>Tabela4[[#This Row],[VALOR]]-Tabela4[[#This Row],[PNEUS]]-Tabela4[[#This Row],[BATERIA]]</f>
        <v>1469.02</v>
      </c>
      <c r="AB1030" s="19" t="s">
        <v>24</v>
      </c>
      <c r="AC1030" s="30">
        <v>0</v>
      </c>
      <c r="AD1030" s="162">
        <v>0</v>
      </c>
      <c r="AE1030" s="151">
        <v>0</v>
      </c>
      <c r="AF1030" s="151">
        <v>0</v>
      </c>
      <c r="AG1030" s="151">
        <v>0</v>
      </c>
      <c r="AH1030" s="151">
        <v>0</v>
      </c>
      <c r="AI1030" s="151">
        <v>0</v>
      </c>
      <c r="AJ1030" s="151">
        <v>0</v>
      </c>
    </row>
    <row r="1031" spans="1:36" x14ac:dyDescent="0.25">
      <c r="A1031" s="69" t="s">
        <v>1529</v>
      </c>
      <c r="B1031" s="72" t="s">
        <v>199</v>
      </c>
      <c r="C1031" s="148">
        <v>45476</v>
      </c>
      <c r="D1031" s="141">
        <v>45476</v>
      </c>
      <c r="E1031">
        <f>Tabela4[[#This Row],[DATA FATURAMENTO]]-Tabela4[[#This Row],[DATA ORÇAMENTO]]</f>
        <v>0</v>
      </c>
      <c r="F1031" s="69">
        <v>11984</v>
      </c>
      <c r="G1031" s="15" t="s">
        <v>22</v>
      </c>
      <c r="H1031" s="25"/>
      <c r="I1031" s="151">
        <v>1340.6</v>
      </c>
      <c r="J1031" s="151">
        <v>739.54</v>
      </c>
      <c r="K1031" s="159">
        <f>Tabela4[[#This Row],[PECAS]]+Tabela4[[#This Row],[SERVICOS]]</f>
        <v>2080.14</v>
      </c>
      <c r="L1031" s="151">
        <v>0</v>
      </c>
      <c r="M1031" s="151">
        <v>0</v>
      </c>
      <c r="N1031" s="24"/>
      <c r="O1031" s="151">
        <v>0</v>
      </c>
      <c r="P1031" s="151">
        <v>0</v>
      </c>
      <c r="Q1031" s="151">
        <v>0</v>
      </c>
      <c r="R1031" s="151">
        <v>0</v>
      </c>
      <c r="S1031" s="154">
        <v>0</v>
      </c>
      <c r="T1031" s="151">
        <v>0</v>
      </c>
      <c r="U1031" s="151">
        <v>0</v>
      </c>
      <c r="V1031" s="15"/>
      <c r="W1031" s="22">
        <v>0</v>
      </c>
      <c r="X1031" s="149">
        <v>0</v>
      </c>
      <c r="Y1031" s="15"/>
      <c r="Z1031" s="151">
        <v>0</v>
      </c>
      <c r="AA1031" s="149">
        <f>Tabela4[[#This Row],[VALOR]]-Tabela4[[#This Row],[PNEUS]]-Tabela4[[#This Row],[BATERIA]]</f>
        <v>2080.14</v>
      </c>
      <c r="AB1031" s="19" t="s">
        <v>24</v>
      </c>
      <c r="AC1031" s="30">
        <v>0</v>
      </c>
      <c r="AD1031" s="162">
        <v>0</v>
      </c>
      <c r="AE1031" s="151">
        <v>0</v>
      </c>
      <c r="AF1031" s="151">
        <v>0</v>
      </c>
      <c r="AG1031" s="151">
        <v>0</v>
      </c>
      <c r="AH1031" s="151">
        <v>0</v>
      </c>
      <c r="AI1031" s="151">
        <v>0</v>
      </c>
      <c r="AJ1031" s="151">
        <v>0</v>
      </c>
    </row>
  </sheetData>
  <dataValidations count="2">
    <dataValidation type="list" allowBlank="1" showInputMessage="1" showErrorMessage="1" sqref="W2 Y2:Z2" xr:uid="{765DA2C8-3FA2-40E4-8E76-2A9C31794E20}">
      <formula1>"M48FD,M40SD,M50ED,M50JD,M60AD,M60GD,MA60AD,MF60AD, MF72LD,M75LD,M80RD"</formula1>
    </dataValidation>
    <dataValidation allowBlank="1" showInputMessage="1" showErrorMessage="1" sqref="Y822 X2:X821 X823:X928 X930:X931 X933:X936 X939:X940 X942 X944:X947 X949:X950 X952:X953 X955:X962 X966 X968 X970:X971 X975 X978 X980:X982 X984:X985 X987 X990 X992:X1000 X1003:X1005 X1008:X1010 X1016:X1019 X1021 X1027:X1031" xr:uid="{08F9F3A2-6529-4565-88C4-F88DBBD25F10}"/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K508 K509:K510 K511:K522 K523:K529 K530:K539 K540:K546 K547 K548:K553 K554:K563 K565:K573 K574:K579 K580 K581:K584 K585:K590 K591:K593 K594:K596 K598:K600 K601:K606 K607:K612 K614:K618 K619:K621 K622:K634 K635:K642 K643:K647 K648:K649 K650:K655 K656:K660 K661:K670 K671:K673 K674:K678 K682:K687 K679 K680:K681 K688 K689:K692 K693:K697 K698:K701 K721:K724 K725:K727 K728:K729 K730:K733 K734:K739 K740:K743 K744:K749" calculatedColumn="1"/>
  </ignoredErrors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7EAC-205D-41CF-9431-174EE4D821D6}">
  <dimension ref="A1:E26"/>
  <sheetViews>
    <sheetView workbookViewId="0">
      <selection activeCell="D4" sqref="D4"/>
    </sheetView>
  </sheetViews>
  <sheetFormatPr defaultRowHeight="15" x14ac:dyDescent="0.25"/>
  <cols>
    <col min="2" max="3" width="13.28515625" bestFit="1" customWidth="1"/>
    <col min="4" max="4" width="12.140625" bestFit="1" customWidth="1"/>
  </cols>
  <sheetData>
    <row r="1" spans="1:5" x14ac:dyDescent="0.25">
      <c r="A1" t="s">
        <v>1567</v>
      </c>
      <c r="B1" t="s">
        <v>1568</v>
      </c>
      <c r="C1" t="s">
        <v>1569</v>
      </c>
    </row>
    <row r="2" spans="1:5" x14ac:dyDescent="0.25">
      <c r="A2" s="41">
        <v>45352</v>
      </c>
      <c r="B2" s="1">
        <f>SUMIFS(Tabela4[VALOR],Tabela4[DATA FATURAMENTO],Planilha5!A2)</f>
        <v>5686.98</v>
      </c>
      <c r="C2" s="1">
        <f>13464.48-8300</f>
        <v>5164.4799999999996</v>
      </c>
      <c r="D2" s="32">
        <f>C2-B2</f>
        <v>-522.5</v>
      </c>
      <c r="E2" t="s">
        <v>1570</v>
      </c>
    </row>
    <row r="3" spans="1:5" x14ac:dyDescent="0.25">
      <c r="A3" s="41">
        <v>45353</v>
      </c>
      <c r="B3" s="1">
        <f>SUMIFS(Tabela4[VALOR],Tabela4[DATA FATURAMENTO],Planilha5!A3)</f>
        <v>1998.26</v>
      </c>
      <c r="C3" s="1">
        <f>675.76+2101</f>
        <v>2776.76</v>
      </c>
      <c r="D3" s="32">
        <f t="shared" ref="D3:D26" si="0">C3-B3</f>
        <v>778.50000000000023</v>
      </c>
    </row>
    <row r="4" spans="1:5" x14ac:dyDescent="0.25">
      <c r="A4" s="41">
        <v>45355</v>
      </c>
      <c r="B4" s="1">
        <f>SUMIFS(Tabela4[VALOR],Tabela4[DATA FATURAMENTO],Planilha5!A4)</f>
        <v>9553.23</v>
      </c>
      <c r="C4" s="1">
        <v>8508.26</v>
      </c>
      <c r="D4" s="32">
        <f t="shared" si="0"/>
        <v>-1044.9699999999993</v>
      </c>
    </row>
    <row r="5" spans="1:5" x14ac:dyDescent="0.25">
      <c r="A5" s="41">
        <v>45356</v>
      </c>
      <c r="B5" s="1">
        <f>SUMIFS(Tabela4[VALOR],Tabela4[DATA FATURAMENTO],Planilha5!A5)</f>
        <v>4048.36</v>
      </c>
      <c r="C5" s="1">
        <f>1710.26+1852.5</f>
        <v>3562.76</v>
      </c>
      <c r="D5" s="32">
        <f t="shared" si="0"/>
        <v>-485.59999999999991</v>
      </c>
    </row>
    <row r="6" spans="1:5" x14ac:dyDescent="0.25">
      <c r="A6" s="41">
        <v>45357</v>
      </c>
      <c r="B6" s="1">
        <f>SUMIFS(Tabela4[VALOR],Tabela4[DATA FATURAMENTO],Planilha5!A6)</f>
        <v>10158.32</v>
      </c>
      <c r="C6" s="1">
        <f>8185.75+5347.8</f>
        <v>13533.55</v>
      </c>
      <c r="D6" s="32">
        <f t="shared" si="0"/>
        <v>3375.2299999999996</v>
      </c>
    </row>
    <row r="7" spans="1:5" x14ac:dyDescent="0.25">
      <c r="A7" s="41">
        <v>45358</v>
      </c>
      <c r="B7" s="1">
        <f>SUMIFS(Tabela4[VALOR],Tabela4[DATA FATURAMENTO],Planilha5!A7)</f>
        <v>1983.9</v>
      </c>
      <c r="C7" s="1">
        <f>1450+533.9</f>
        <v>1983.9</v>
      </c>
      <c r="D7" s="32">
        <f t="shared" si="0"/>
        <v>0</v>
      </c>
    </row>
    <row r="8" spans="1:5" x14ac:dyDescent="0.25">
      <c r="A8" s="41">
        <v>45359</v>
      </c>
      <c r="B8" s="1">
        <f>SUMIFS(Tabela4[VALOR],Tabela4[DATA FATURAMENTO],Planilha5!A8)</f>
        <v>7761.66</v>
      </c>
      <c r="C8" s="1">
        <f>6888.2+522.5</f>
        <v>7410.7</v>
      </c>
      <c r="D8" s="32">
        <f t="shared" si="0"/>
        <v>-350.96000000000004</v>
      </c>
    </row>
    <row r="9" spans="1:5" x14ac:dyDescent="0.25">
      <c r="A9" s="41">
        <v>45360</v>
      </c>
      <c r="B9" s="1">
        <f>SUMIFS(Tabela4[VALOR],Tabela4[DATA FATURAMENTO],Planilha5!A9)</f>
        <v>1633.02</v>
      </c>
      <c r="C9" s="1">
        <v>1633.02</v>
      </c>
      <c r="D9" s="32">
        <f t="shared" si="0"/>
        <v>0</v>
      </c>
    </row>
    <row r="10" spans="1:5" x14ac:dyDescent="0.25">
      <c r="A10" s="41">
        <v>45362</v>
      </c>
      <c r="B10" s="1">
        <f>SUMIFS(Tabela4[VALOR],Tabela4[DATA FATURAMENTO],Planilha5!A10)</f>
        <v>5324.18</v>
      </c>
      <c r="C10" s="1">
        <f>3648.88+1675.3</f>
        <v>5324.18</v>
      </c>
      <c r="D10" s="32">
        <f t="shared" si="0"/>
        <v>0</v>
      </c>
    </row>
    <row r="11" spans="1:5" x14ac:dyDescent="0.25">
      <c r="A11" s="41">
        <v>45363</v>
      </c>
      <c r="B11" s="1">
        <f>SUMIFS(Tabela4[VALOR],Tabela4[DATA FATURAMENTO],Planilha5!A11)</f>
        <v>8544.58</v>
      </c>
      <c r="C11" s="1">
        <f>6522.11+2022.5</f>
        <v>8544.61</v>
      </c>
      <c r="D11" s="32">
        <f t="shared" si="0"/>
        <v>3.0000000000654836E-2</v>
      </c>
    </row>
    <row r="12" spans="1:5" x14ac:dyDescent="0.25">
      <c r="A12" s="41">
        <v>45364</v>
      </c>
      <c r="B12" s="1">
        <f>SUMIFS(Tabela4[VALOR],Tabela4[DATA FATURAMENTO],Planilha5!A12)</f>
        <v>5245.0400000000009</v>
      </c>
      <c r="C12" s="1">
        <v>5585.06</v>
      </c>
      <c r="D12" s="32">
        <f t="shared" si="0"/>
        <v>340.01999999999953</v>
      </c>
    </row>
    <row r="13" spans="1:5" x14ac:dyDescent="0.25">
      <c r="A13" s="41">
        <v>45365</v>
      </c>
      <c r="B13" s="1">
        <f>SUMIFS(Tabela4[VALOR],Tabela4[DATA FATURAMENTO],Planilha5!A13)</f>
        <v>830</v>
      </c>
      <c r="C13" s="1">
        <v>830</v>
      </c>
      <c r="D13" s="32">
        <f t="shared" si="0"/>
        <v>0</v>
      </c>
    </row>
    <row r="14" spans="1:5" x14ac:dyDescent="0.25">
      <c r="A14" s="41">
        <v>45366</v>
      </c>
      <c r="B14" s="1">
        <f>SUMIFS(Tabela4[VALOR],Tabela4[DATA FATURAMENTO],Planilha5!A14)</f>
        <v>10187.35</v>
      </c>
      <c r="C14" s="1">
        <f>7567.34+2097.5</f>
        <v>9664.84</v>
      </c>
      <c r="D14" s="32">
        <f t="shared" si="0"/>
        <v>-522.51000000000022</v>
      </c>
    </row>
    <row r="15" spans="1:5" x14ac:dyDescent="0.25">
      <c r="A15" s="41">
        <v>45367</v>
      </c>
      <c r="B15" s="1">
        <f>SUMIFS(Tabela4[VALOR],Tabela4[DATA FATURAMENTO],Planilha5!A15)</f>
        <v>6386.93</v>
      </c>
      <c r="C15" s="1">
        <v>6386.93</v>
      </c>
      <c r="D15" s="32">
        <f t="shared" si="0"/>
        <v>0</v>
      </c>
    </row>
    <row r="16" spans="1:5" x14ac:dyDescent="0.25">
      <c r="A16" s="41">
        <v>45369</v>
      </c>
      <c r="B16" s="1">
        <f>SUMIFS(Tabela4[VALOR],Tabela4[DATA FATURAMENTO],Planilha5!A16)</f>
        <v>5054</v>
      </c>
      <c r="C16" s="1">
        <v>5054</v>
      </c>
      <c r="D16" s="32">
        <f t="shared" si="0"/>
        <v>0</v>
      </c>
    </row>
    <row r="17" spans="1:4" x14ac:dyDescent="0.25">
      <c r="A17" s="41">
        <v>45370</v>
      </c>
      <c r="B17" s="1">
        <f>SUMIFS(Tabela4[VALOR],Tabela4[DATA FATURAMENTO],Planilha5!A17)</f>
        <v>5027.619999999999</v>
      </c>
      <c r="C17" s="1">
        <v>5027.2299999999996</v>
      </c>
      <c r="D17" s="32">
        <f t="shared" si="0"/>
        <v>-0.38999999999941792</v>
      </c>
    </row>
    <row r="18" spans="1:4" x14ac:dyDescent="0.25">
      <c r="A18" s="41">
        <v>45371</v>
      </c>
      <c r="B18" s="1">
        <f>SUMIFS(Tabela4[VALOR],Tabela4[DATA FATURAMENTO],Planilha5!A18)</f>
        <v>2879.0099999999998</v>
      </c>
      <c r="C18" s="1">
        <f>1983.6+895.4</f>
        <v>2879</v>
      </c>
      <c r="D18" s="32">
        <f t="shared" si="0"/>
        <v>-9.9999999997635314E-3</v>
      </c>
    </row>
    <row r="19" spans="1:4" x14ac:dyDescent="0.25">
      <c r="A19" s="41">
        <v>45372</v>
      </c>
      <c r="B19" s="1">
        <f>SUMIFS(Tabela4[VALOR],Tabela4[DATA FATURAMENTO],Planilha5!A19)</f>
        <v>2189</v>
      </c>
      <c r="C19" s="1">
        <v>2189</v>
      </c>
      <c r="D19" s="32">
        <f t="shared" si="0"/>
        <v>0</v>
      </c>
    </row>
    <row r="20" spans="1:4" x14ac:dyDescent="0.25">
      <c r="A20" s="41">
        <v>45373</v>
      </c>
      <c r="B20" s="1">
        <f>SUMIFS(Tabela4[VALOR],Tabela4[DATA FATURAMENTO],Planilha5!A20)</f>
        <v>9227.4100000000035</v>
      </c>
      <c r="C20" s="1">
        <f>2220.13+7007.3</f>
        <v>9227.43</v>
      </c>
      <c r="D20" s="32">
        <f t="shared" si="0"/>
        <v>1.9999999996798579E-2</v>
      </c>
    </row>
    <row r="21" spans="1:4" x14ac:dyDescent="0.25">
      <c r="A21" s="41">
        <v>45374</v>
      </c>
      <c r="B21" s="1">
        <f>SUMIFS(Tabela4[VALOR],Tabela4[DATA FATURAMENTO],Planilha5!A21)</f>
        <v>2838.24</v>
      </c>
      <c r="C21" s="1">
        <f>632.95+1675.3</f>
        <v>2308.25</v>
      </c>
      <c r="D21" s="32">
        <f t="shared" si="0"/>
        <v>-529.98999999999978</v>
      </c>
    </row>
    <row r="22" spans="1:4" x14ac:dyDescent="0.25">
      <c r="A22" s="41">
        <v>45376</v>
      </c>
      <c r="B22" s="1">
        <f>SUMIFS(Tabela4[VALOR],Tabela4[DATA FATURAMENTO],Planilha5!A22)</f>
        <v>13247.89</v>
      </c>
      <c r="C22" s="1">
        <f>12663.75+583.9</f>
        <v>13247.65</v>
      </c>
      <c r="D22" s="32">
        <f t="shared" si="0"/>
        <v>-0.23999999999978172</v>
      </c>
    </row>
    <row r="23" spans="1:4" x14ac:dyDescent="0.25">
      <c r="A23" s="41">
        <v>45377</v>
      </c>
      <c r="B23" s="1">
        <f>SUMIFS(Tabela4[VALOR],Tabela4[DATA FATURAMENTO],Planilha5!A23)</f>
        <v>17703.21</v>
      </c>
      <c r="C23" s="1">
        <f>17180.71+522.5</f>
        <v>17703.21</v>
      </c>
      <c r="D23" s="32">
        <f t="shared" si="0"/>
        <v>0</v>
      </c>
    </row>
    <row r="24" spans="1:4" x14ac:dyDescent="0.25">
      <c r="A24" s="41">
        <v>45378</v>
      </c>
      <c r="B24" s="1">
        <f>SUMIFS(Tabela4[VALOR],Tabela4[DATA FATURAMENTO],Planilha5!A24)</f>
        <v>5673.35</v>
      </c>
      <c r="C24" s="1">
        <v>5139.88</v>
      </c>
      <c r="D24" s="32">
        <f t="shared" si="0"/>
        <v>-533.47000000000025</v>
      </c>
    </row>
    <row r="25" spans="1:4" x14ac:dyDescent="0.25">
      <c r="A25" s="41">
        <v>45379</v>
      </c>
      <c r="B25" s="1">
        <f>SUMIFS(Tabela4[VALOR],Tabela4[DATA FATURAMENTO],Planilha5!A25)</f>
        <v>9366.82</v>
      </c>
      <c r="C25" s="1">
        <v>7853.61</v>
      </c>
      <c r="D25" s="32">
        <f t="shared" si="0"/>
        <v>-1513.21</v>
      </c>
    </row>
    <row r="26" spans="1:4" x14ac:dyDescent="0.25">
      <c r="A26" s="41">
        <v>45381</v>
      </c>
      <c r="B26" s="1">
        <f>SUMIFS(Tabela4[VALOR],Tabela4[DATA FATURAMENTO],Planilha5!A26)</f>
        <v>4162.34</v>
      </c>
      <c r="C26" s="1">
        <f>3098.84+1063.5</f>
        <v>4162.34</v>
      </c>
      <c r="D26" s="32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25F7-82AF-4E79-8094-0EEA80B80131}">
  <dimension ref="A1:L15"/>
  <sheetViews>
    <sheetView workbookViewId="0">
      <selection sqref="A1:I3"/>
    </sheetView>
  </sheetViews>
  <sheetFormatPr defaultRowHeight="15" x14ac:dyDescent="0.25"/>
  <cols>
    <col min="3" max="3" width="7.28515625" bestFit="1" customWidth="1"/>
    <col min="4" max="4" width="12.5703125" bestFit="1" customWidth="1"/>
    <col min="5" max="5" width="11.42578125" bestFit="1" customWidth="1"/>
    <col min="6" max="6" width="20.85546875" bestFit="1" customWidth="1"/>
    <col min="7" max="7" width="12.140625" bestFit="1" customWidth="1"/>
    <col min="8" max="8" width="10.5703125" bestFit="1" customWidth="1"/>
    <col min="9" max="9" width="12.140625" bestFit="1" customWidth="1"/>
    <col min="10" max="12" width="10.5703125" bestFit="1" customWidth="1"/>
    <col min="14" max="14" width="12.140625" bestFit="1" customWidth="1"/>
    <col min="21" max="21" width="9.5703125" bestFit="1" customWidth="1"/>
    <col min="22" max="22" width="12.140625" bestFit="1" customWidth="1"/>
  </cols>
  <sheetData>
    <row r="1" spans="1:12" x14ac:dyDescent="0.25">
      <c r="A1" s="121" t="s">
        <v>1571</v>
      </c>
      <c r="B1" s="122"/>
      <c r="C1" s="122"/>
      <c r="D1" s="122"/>
      <c r="E1" s="122"/>
      <c r="F1" s="122"/>
      <c r="G1" s="122"/>
      <c r="H1" s="122"/>
      <c r="I1" s="123"/>
    </row>
    <row r="2" spans="1:12" x14ac:dyDescent="0.25">
      <c r="A2" s="124"/>
      <c r="B2" s="125"/>
      <c r="C2" s="125"/>
      <c r="D2" s="125"/>
      <c r="E2" s="125"/>
      <c r="F2" s="125"/>
      <c r="G2" s="125"/>
      <c r="H2" s="125"/>
      <c r="I2" s="126"/>
    </row>
    <row r="3" spans="1:12" ht="15.75" thickBot="1" x14ac:dyDescent="0.3">
      <c r="A3" s="127"/>
      <c r="B3" s="128"/>
      <c r="C3" s="128"/>
      <c r="D3" s="128"/>
      <c r="E3" s="128"/>
      <c r="F3" s="128"/>
      <c r="G3" s="128"/>
      <c r="H3" s="128"/>
      <c r="I3" s="129"/>
    </row>
    <row r="4" spans="1:12" x14ac:dyDescent="0.25">
      <c r="A4" s="57" t="s">
        <v>106</v>
      </c>
      <c r="B4" s="58">
        <v>45329</v>
      </c>
      <c r="C4" s="58">
        <v>45329</v>
      </c>
      <c r="D4" s="57">
        <v>10565</v>
      </c>
      <c r="E4" s="57" t="s">
        <v>39</v>
      </c>
      <c r="F4" s="57" t="s">
        <v>44</v>
      </c>
      <c r="G4" s="50">
        <v>0</v>
      </c>
      <c r="H4" s="50">
        <v>120.01</v>
      </c>
      <c r="I4" s="50">
        <v>120.01</v>
      </c>
    </row>
    <row r="5" spans="1:12" x14ac:dyDescent="0.25">
      <c r="A5" s="15" t="s">
        <v>496</v>
      </c>
      <c r="B5" s="16">
        <v>45336</v>
      </c>
      <c r="C5" s="16">
        <v>45336</v>
      </c>
      <c r="D5" s="15">
        <v>10600</v>
      </c>
      <c r="E5" s="15" t="s">
        <v>39</v>
      </c>
      <c r="F5" s="15" t="s">
        <v>44</v>
      </c>
      <c r="G5" s="18">
        <v>20</v>
      </c>
      <c r="H5" s="18">
        <v>120.01</v>
      </c>
      <c r="I5" s="18">
        <v>140.01</v>
      </c>
    </row>
    <row r="6" spans="1:12" x14ac:dyDescent="0.25">
      <c r="A6" s="15" t="s">
        <v>535</v>
      </c>
      <c r="B6" s="16">
        <v>45344</v>
      </c>
      <c r="C6" s="16">
        <v>45344</v>
      </c>
      <c r="D6" s="15">
        <v>10685</v>
      </c>
      <c r="E6" s="15" t="s">
        <v>39</v>
      </c>
      <c r="F6" s="15" t="s">
        <v>44</v>
      </c>
      <c r="G6" s="18">
        <v>20</v>
      </c>
      <c r="H6" s="18">
        <v>145.01</v>
      </c>
      <c r="I6" s="18">
        <v>165.01</v>
      </c>
    </row>
    <row r="7" spans="1:12" x14ac:dyDescent="0.25">
      <c r="A7" s="15" t="s">
        <v>544</v>
      </c>
      <c r="B7" s="16">
        <v>45345</v>
      </c>
      <c r="C7" s="16">
        <v>45345</v>
      </c>
      <c r="D7" s="15">
        <v>10689</v>
      </c>
      <c r="E7" s="15" t="s">
        <v>39</v>
      </c>
      <c r="F7" s="15" t="s">
        <v>44</v>
      </c>
      <c r="G7" s="18">
        <v>20</v>
      </c>
      <c r="H7" s="18">
        <v>120.01</v>
      </c>
      <c r="I7" s="18">
        <v>140.01</v>
      </c>
    </row>
    <row r="8" spans="1:12" x14ac:dyDescent="0.25">
      <c r="A8" s="15" t="s">
        <v>548</v>
      </c>
      <c r="B8" s="16">
        <v>45346</v>
      </c>
      <c r="C8" s="16">
        <v>45346</v>
      </c>
      <c r="D8" s="15">
        <v>10698</v>
      </c>
      <c r="E8" s="15" t="s">
        <v>39</v>
      </c>
      <c r="F8" s="15" t="s">
        <v>44</v>
      </c>
      <c r="G8" s="18">
        <v>40</v>
      </c>
      <c r="H8" s="18">
        <v>220.01</v>
      </c>
      <c r="I8" s="18">
        <v>260.01</v>
      </c>
    </row>
    <row r="9" spans="1:12" x14ac:dyDescent="0.25">
      <c r="A9" s="15" t="s">
        <v>552</v>
      </c>
      <c r="B9" s="16">
        <v>45348</v>
      </c>
      <c r="C9" s="16">
        <v>45348</v>
      </c>
      <c r="D9" s="15">
        <v>10708</v>
      </c>
      <c r="E9" s="15" t="s">
        <v>39</v>
      </c>
      <c r="F9" s="15" t="s">
        <v>44</v>
      </c>
      <c r="G9" s="18">
        <v>20</v>
      </c>
      <c r="H9" s="18">
        <v>120.01</v>
      </c>
      <c r="I9" s="18">
        <v>140.01</v>
      </c>
    </row>
    <row r="10" spans="1:12" x14ac:dyDescent="0.25">
      <c r="A10" s="15" t="s">
        <v>70</v>
      </c>
      <c r="B10" s="16">
        <v>45351</v>
      </c>
      <c r="C10" s="16">
        <v>45355</v>
      </c>
      <c r="D10" s="55" t="s">
        <v>822</v>
      </c>
      <c r="E10" s="15" t="s">
        <v>39</v>
      </c>
      <c r="F10" s="15" t="s">
        <v>45</v>
      </c>
      <c r="G10" s="18">
        <v>1560</v>
      </c>
      <c r="H10" s="18">
        <v>544.73</v>
      </c>
      <c r="I10" s="18">
        <v>2104.73</v>
      </c>
    </row>
    <row r="11" spans="1:12" x14ac:dyDescent="0.25">
      <c r="A11" s="15" t="s">
        <v>106</v>
      </c>
      <c r="B11" s="16">
        <v>45355</v>
      </c>
      <c r="C11" s="16">
        <v>45355</v>
      </c>
      <c r="D11" s="15">
        <v>10803</v>
      </c>
      <c r="E11" s="15" t="s">
        <v>39</v>
      </c>
      <c r="F11" s="15" t="s">
        <v>45</v>
      </c>
      <c r="G11" s="18">
        <v>483.5</v>
      </c>
      <c r="H11" s="18">
        <v>120</v>
      </c>
      <c r="I11" s="18">
        <v>603.5</v>
      </c>
      <c r="L11">
        <f>360/12</f>
        <v>30</v>
      </c>
    </row>
    <row r="12" spans="1:12" x14ac:dyDescent="0.25">
      <c r="A12" s="15" t="s">
        <v>829</v>
      </c>
      <c r="B12" s="16">
        <v>45356</v>
      </c>
      <c r="C12" s="16">
        <v>45356</v>
      </c>
      <c r="D12" s="15">
        <v>10817</v>
      </c>
      <c r="E12" s="15" t="s">
        <v>39</v>
      </c>
      <c r="F12" s="15" t="s">
        <v>44</v>
      </c>
      <c r="G12" s="18">
        <v>0</v>
      </c>
      <c r="H12" s="18">
        <v>120</v>
      </c>
      <c r="I12" s="18">
        <v>120</v>
      </c>
    </row>
    <row r="13" spans="1:12" x14ac:dyDescent="0.25">
      <c r="A13" s="15" t="s">
        <v>830</v>
      </c>
      <c r="B13" s="16">
        <v>45357</v>
      </c>
      <c r="C13" s="16">
        <v>45357</v>
      </c>
      <c r="D13" s="15">
        <v>10824</v>
      </c>
      <c r="E13" s="15" t="s">
        <v>39</v>
      </c>
      <c r="F13" s="15" t="s">
        <v>44</v>
      </c>
      <c r="G13" s="18">
        <v>20</v>
      </c>
      <c r="H13" s="18">
        <v>120</v>
      </c>
      <c r="I13" s="18">
        <v>140</v>
      </c>
    </row>
    <row r="14" spans="1:12" x14ac:dyDescent="0.25">
      <c r="A14" s="15" t="s">
        <v>138</v>
      </c>
      <c r="B14" s="16">
        <v>45358</v>
      </c>
      <c r="C14" s="16">
        <v>45359</v>
      </c>
      <c r="D14" s="15" t="s">
        <v>839</v>
      </c>
      <c r="E14" s="15" t="s">
        <v>39</v>
      </c>
      <c r="F14" s="15" t="s">
        <v>44</v>
      </c>
      <c r="G14" s="18">
        <v>40</v>
      </c>
      <c r="H14" s="18">
        <v>220</v>
      </c>
      <c r="I14" s="18">
        <v>260</v>
      </c>
    </row>
    <row r="15" spans="1:12" x14ac:dyDescent="0.25">
      <c r="A15" s="15" t="s">
        <v>840</v>
      </c>
      <c r="B15" s="16">
        <v>45358</v>
      </c>
      <c r="C15" s="16">
        <v>45359</v>
      </c>
      <c r="D15" s="15" t="s">
        <v>841</v>
      </c>
      <c r="E15" s="15" t="s">
        <v>39</v>
      </c>
      <c r="F15" s="15" t="s">
        <v>44</v>
      </c>
      <c r="G15" s="18">
        <v>35</v>
      </c>
      <c r="H15" s="18">
        <v>120</v>
      </c>
      <c r="I15" s="18">
        <v>155</v>
      </c>
    </row>
  </sheetData>
  <mergeCells count="1">
    <mergeCell ref="A1:I3"/>
  </mergeCells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CD68-DC5D-4026-82AE-D10EA1680CAB}">
  <dimension ref="A1:H31"/>
  <sheetViews>
    <sheetView workbookViewId="0">
      <selection activeCell="K12" sqref="K12"/>
    </sheetView>
  </sheetViews>
  <sheetFormatPr defaultRowHeight="15" x14ac:dyDescent="0.25"/>
  <cols>
    <col min="2" max="2" width="10.7109375" bestFit="1" customWidth="1"/>
    <col min="5" max="5" width="13.42578125" bestFit="1" customWidth="1"/>
    <col min="6" max="8" width="12.140625" bestFit="1" customWidth="1"/>
  </cols>
  <sheetData>
    <row r="1" spans="1:8" x14ac:dyDescent="0.25">
      <c r="A1" s="130" t="s">
        <v>1572</v>
      </c>
      <c r="B1" s="131"/>
      <c r="C1" s="131"/>
      <c r="D1" s="131"/>
      <c r="E1" s="131"/>
      <c r="F1" s="131"/>
      <c r="G1" s="131"/>
      <c r="H1" s="132"/>
    </row>
    <row r="2" spans="1:8" x14ac:dyDescent="0.25">
      <c r="A2" s="133"/>
      <c r="B2" s="134"/>
      <c r="C2" s="134"/>
      <c r="D2" s="134"/>
      <c r="E2" s="134"/>
      <c r="F2" s="134"/>
      <c r="G2" s="134"/>
      <c r="H2" s="135"/>
    </row>
    <row r="3" spans="1:8" ht="15.75" thickBot="1" x14ac:dyDescent="0.3">
      <c r="A3" s="136"/>
      <c r="B3" s="137"/>
      <c r="C3" s="137"/>
      <c r="D3" s="137"/>
      <c r="E3" s="137"/>
      <c r="F3" s="137"/>
      <c r="G3" s="137"/>
      <c r="H3" s="138"/>
    </row>
    <row r="4" spans="1:8" x14ac:dyDescent="0.25">
      <c r="A4" s="57" t="s">
        <v>452</v>
      </c>
      <c r="B4" s="58">
        <v>45301</v>
      </c>
      <c r="C4" s="58">
        <v>45324</v>
      </c>
      <c r="D4" s="57">
        <v>10266</v>
      </c>
      <c r="E4" s="57" t="s">
        <v>25</v>
      </c>
      <c r="F4" s="50">
        <v>3136.77</v>
      </c>
      <c r="G4" s="50">
        <v>1278.2</v>
      </c>
      <c r="H4" s="50">
        <v>4414.97</v>
      </c>
    </row>
    <row r="5" spans="1:8" x14ac:dyDescent="0.25">
      <c r="A5" s="15" t="s">
        <v>466</v>
      </c>
      <c r="B5" s="16">
        <v>45323</v>
      </c>
      <c r="C5" s="16">
        <v>45328</v>
      </c>
      <c r="D5" s="15">
        <v>10497</v>
      </c>
      <c r="E5" s="15" t="s">
        <v>28</v>
      </c>
      <c r="F5" s="18">
        <v>914.01</v>
      </c>
      <c r="G5" s="18">
        <v>744.18</v>
      </c>
      <c r="H5" s="18">
        <v>1658.19</v>
      </c>
    </row>
    <row r="6" spans="1:8" x14ac:dyDescent="0.25">
      <c r="A6" s="15" t="s">
        <v>469</v>
      </c>
      <c r="B6" s="16">
        <v>45321</v>
      </c>
      <c r="C6" s="16">
        <v>45329</v>
      </c>
      <c r="D6" s="15">
        <v>10472</v>
      </c>
      <c r="E6" s="15" t="s">
        <v>28</v>
      </c>
      <c r="F6" s="18">
        <v>990</v>
      </c>
      <c r="G6" s="18">
        <v>570</v>
      </c>
      <c r="H6" s="18">
        <v>1560</v>
      </c>
    </row>
    <row r="7" spans="1:8" x14ac:dyDescent="0.25">
      <c r="A7" s="15" t="s">
        <v>472</v>
      </c>
      <c r="B7" s="16">
        <v>45328</v>
      </c>
      <c r="C7" s="16">
        <v>45330</v>
      </c>
      <c r="D7" s="15">
        <v>10546</v>
      </c>
      <c r="E7" s="15" t="s">
        <v>25</v>
      </c>
      <c r="F7" s="18">
        <v>4648.8500000000004</v>
      </c>
      <c r="G7" s="18">
        <v>1511.6</v>
      </c>
      <c r="H7" s="18">
        <v>6160.4500000000007</v>
      </c>
    </row>
    <row r="8" spans="1:8" x14ac:dyDescent="0.25">
      <c r="A8" s="15" t="s">
        <v>441</v>
      </c>
      <c r="B8" s="16">
        <v>45330</v>
      </c>
      <c r="C8" s="16">
        <v>45331</v>
      </c>
      <c r="D8" s="15">
        <v>10572</v>
      </c>
      <c r="E8" s="15" t="s">
        <v>37</v>
      </c>
      <c r="F8" s="18">
        <v>526.41</v>
      </c>
      <c r="G8" s="18">
        <v>552.4</v>
      </c>
      <c r="H8" s="18">
        <v>1078.81</v>
      </c>
    </row>
    <row r="9" spans="1:8" x14ac:dyDescent="0.25">
      <c r="A9" s="15" t="s">
        <v>491</v>
      </c>
      <c r="B9" s="16">
        <v>45331</v>
      </c>
      <c r="C9" s="16">
        <v>45332</v>
      </c>
      <c r="D9" s="15">
        <v>10584</v>
      </c>
      <c r="E9" s="15" t="s">
        <v>28</v>
      </c>
      <c r="F9" s="18">
        <v>284.89999999999998</v>
      </c>
      <c r="G9" s="18">
        <v>468</v>
      </c>
      <c r="H9" s="18">
        <v>752.9</v>
      </c>
    </row>
    <row r="10" spans="1:8" x14ac:dyDescent="0.25">
      <c r="A10" s="15" t="s">
        <v>326</v>
      </c>
      <c r="B10" s="16">
        <v>45329</v>
      </c>
      <c r="C10" s="16">
        <v>45338</v>
      </c>
      <c r="D10" s="15">
        <v>10558</v>
      </c>
      <c r="E10" s="15" t="s">
        <v>28</v>
      </c>
      <c r="F10" s="18">
        <v>128.6</v>
      </c>
      <c r="G10" s="18">
        <v>224.01</v>
      </c>
      <c r="H10" s="18">
        <v>352.61</v>
      </c>
    </row>
    <row r="11" spans="1:8" x14ac:dyDescent="0.25">
      <c r="A11" s="15" t="s">
        <v>503</v>
      </c>
      <c r="B11" s="16">
        <v>45337</v>
      </c>
      <c r="C11" s="16">
        <v>45338</v>
      </c>
      <c r="D11" s="15">
        <v>10616</v>
      </c>
      <c r="E11" s="15" t="s">
        <v>37</v>
      </c>
      <c r="F11" s="18">
        <v>508.41</v>
      </c>
      <c r="G11" s="18">
        <v>865</v>
      </c>
      <c r="H11" s="18">
        <v>1373.41</v>
      </c>
    </row>
    <row r="12" spans="1:8" x14ac:dyDescent="0.25">
      <c r="A12" s="15" t="s">
        <v>504</v>
      </c>
      <c r="B12" s="16">
        <v>45338</v>
      </c>
      <c r="C12" s="16">
        <v>45338</v>
      </c>
      <c r="D12" s="15">
        <v>10628</v>
      </c>
      <c r="E12" s="15" t="s">
        <v>37</v>
      </c>
      <c r="F12" s="18">
        <v>395.31</v>
      </c>
      <c r="G12" s="18">
        <v>650</v>
      </c>
      <c r="H12" s="18">
        <v>1045.31</v>
      </c>
    </row>
    <row r="13" spans="1:8" x14ac:dyDescent="0.25">
      <c r="A13" s="15" t="s">
        <v>505</v>
      </c>
      <c r="B13" s="16">
        <v>45331</v>
      </c>
      <c r="C13" s="16">
        <v>45339</v>
      </c>
      <c r="D13" s="15">
        <v>10583</v>
      </c>
      <c r="E13" s="15" t="s">
        <v>28</v>
      </c>
      <c r="F13" s="18">
        <v>866.5</v>
      </c>
      <c r="G13" s="18">
        <v>736</v>
      </c>
      <c r="H13" s="18">
        <v>1602.5</v>
      </c>
    </row>
    <row r="14" spans="1:8" x14ac:dyDescent="0.25">
      <c r="A14" s="15" t="s">
        <v>507</v>
      </c>
      <c r="B14" s="16">
        <v>45337</v>
      </c>
      <c r="C14" s="16">
        <v>45339</v>
      </c>
      <c r="D14" s="15">
        <v>10617</v>
      </c>
      <c r="E14" s="15" t="s">
        <v>25</v>
      </c>
      <c r="F14" s="18">
        <v>1906.1</v>
      </c>
      <c r="G14" s="18">
        <v>679.6</v>
      </c>
      <c r="H14" s="18">
        <v>2585.6999999999998</v>
      </c>
    </row>
    <row r="15" spans="1:8" x14ac:dyDescent="0.25">
      <c r="A15" s="15" t="s">
        <v>513</v>
      </c>
      <c r="B15" s="16">
        <v>45337</v>
      </c>
      <c r="C15" s="16">
        <v>45342</v>
      </c>
      <c r="D15" s="15">
        <v>10618</v>
      </c>
      <c r="E15" s="15" t="s">
        <v>25</v>
      </c>
      <c r="F15" s="18">
        <v>241.34</v>
      </c>
      <c r="G15" s="18">
        <v>72.02</v>
      </c>
      <c r="H15" s="18">
        <v>313.36</v>
      </c>
    </row>
    <row r="16" spans="1:8" x14ac:dyDescent="0.25">
      <c r="A16" s="15" t="s">
        <v>519</v>
      </c>
      <c r="B16" s="16">
        <v>45341</v>
      </c>
      <c r="C16" s="16">
        <v>45343</v>
      </c>
      <c r="D16" s="15">
        <v>10641</v>
      </c>
      <c r="E16" s="15" t="s">
        <v>28</v>
      </c>
      <c r="F16" s="18">
        <v>958.7</v>
      </c>
      <c r="G16" s="18">
        <v>623.20000000000005</v>
      </c>
      <c r="H16" s="18">
        <v>1581.9</v>
      </c>
    </row>
    <row r="17" spans="1:8" x14ac:dyDescent="0.25">
      <c r="A17" s="15" t="s">
        <v>525</v>
      </c>
      <c r="B17" s="16">
        <v>45341</v>
      </c>
      <c r="C17" s="16">
        <v>45344</v>
      </c>
      <c r="D17" s="15">
        <v>10639</v>
      </c>
      <c r="E17" s="15" t="s">
        <v>37</v>
      </c>
      <c r="F17" s="18">
        <v>1070.0899999999999</v>
      </c>
      <c r="G17" s="18">
        <v>744.01</v>
      </c>
      <c r="H17" s="18">
        <v>1814.1</v>
      </c>
    </row>
    <row r="18" spans="1:8" x14ac:dyDescent="0.25">
      <c r="A18" s="15" t="s">
        <v>537</v>
      </c>
      <c r="B18" s="16">
        <v>45321</v>
      </c>
      <c r="C18" s="16">
        <v>45345</v>
      </c>
      <c r="D18" s="15">
        <v>10479</v>
      </c>
      <c r="E18" s="15" t="s">
        <v>25</v>
      </c>
      <c r="F18" s="18">
        <v>2098.1999999999998</v>
      </c>
      <c r="G18" s="18">
        <v>3206</v>
      </c>
      <c r="H18" s="18">
        <v>5304.2</v>
      </c>
    </row>
    <row r="19" spans="1:8" x14ac:dyDescent="0.25">
      <c r="A19" s="15" t="s">
        <v>538</v>
      </c>
      <c r="B19" s="16">
        <v>45331</v>
      </c>
      <c r="C19" s="16">
        <v>45345</v>
      </c>
      <c r="D19" s="15">
        <v>10587</v>
      </c>
      <c r="E19" s="15" t="s">
        <v>28</v>
      </c>
      <c r="F19" s="18">
        <v>1826.61</v>
      </c>
      <c r="G19" s="18">
        <v>1240</v>
      </c>
      <c r="H19" s="18">
        <v>3066.6099999999997</v>
      </c>
    </row>
    <row r="20" spans="1:8" x14ac:dyDescent="0.25">
      <c r="A20" s="56" t="s">
        <v>539</v>
      </c>
      <c r="B20" s="16">
        <v>45337</v>
      </c>
      <c r="C20" s="16">
        <v>45345</v>
      </c>
      <c r="D20" s="15">
        <v>10609</v>
      </c>
      <c r="E20" s="15" t="s">
        <v>25</v>
      </c>
      <c r="F20" s="18">
        <v>1957.62</v>
      </c>
      <c r="G20" s="18">
        <v>681.6</v>
      </c>
      <c r="H20" s="18">
        <v>2639.22</v>
      </c>
    </row>
    <row r="21" spans="1:8" x14ac:dyDescent="0.25">
      <c r="A21" s="15" t="s">
        <v>540</v>
      </c>
      <c r="B21" s="16">
        <v>45337</v>
      </c>
      <c r="C21" s="16">
        <v>45345</v>
      </c>
      <c r="D21" s="15">
        <v>10612</v>
      </c>
      <c r="E21" s="15" t="s">
        <v>598</v>
      </c>
      <c r="F21" s="18">
        <v>1304.9000000000001</v>
      </c>
      <c r="G21" s="18">
        <v>827.3</v>
      </c>
      <c r="H21" s="18">
        <v>2132.1999999999998</v>
      </c>
    </row>
    <row r="22" spans="1:8" x14ac:dyDescent="0.25">
      <c r="A22" s="15" t="s">
        <v>559</v>
      </c>
      <c r="B22" s="16">
        <v>45349</v>
      </c>
      <c r="C22" s="16">
        <v>45349</v>
      </c>
      <c r="D22" s="15">
        <v>10727</v>
      </c>
      <c r="E22" s="15" t="s">
        <v>37</v>
      </c>
      <c r="F22" s="18">
        <v>242.04</v>
      </c>
      <c r="G22" s="18">
        <v>466</v>
      </c>
      <c r="H22" s="18">
        <v>708.04</v>
      </c>
    </row>
    <row r="23" spans="1:8" x14ac:dyDescent="0.25">
      <c r="A23" s="15" t="s">
        <v>83</v>
      </c>
      <c r="B23" s="16">
        <v>45351</v>
      </c>
      <c r="C23" s="16">
        <v>45357</v>
      </c>
      <c r="D23" s="15">
        <v>10768</v>
      </c>
      <c r="E23" s="15" t="s">
        <v>28</v>
      </c>
      <c r="F23" s="18">
        <v>721.6</v>
      </c>
      <c r="G23" s="18">
        <v>204</v>
      </c>
      <c r="H23" s="18">
        <v>925.6</v>
      </c>
    </row>
    <row r="24" spans="1:8" x14ac:dyDescent="0.25">
      <c r="A24" s="15" t="s">
        <v>134</v>
      </c>
      <c r="B24" s="16">
        <v>45357</v>
      </c>
      <c r="C24" s="16">
        <v>45359</v>
      </c>
      <c r="D24" s="15">
        <v>10829</v>
      </c>
      <c r="E24" s="15" t="s">
        <v>25</v>
      </c>
      <c r="F24" s="18">
        <v>220.16</v>
      </c>
      <c r="G24" s="18">
        <v>440</v>
      </c>
      <c r="H24" s="18">
        <v>660.16</v>
      </c>
    </row>
    <row r="25" spans="1:8" x14ac:dyDescent="0.25">
      <c r="A25" s="15" t="s">
        <v>853</v>
      </c>
      <c r="B25" s="29">
        <v>45357</v>
      </c>
      <c r="C25" s="16">
        <v>45363</v>
      </c>
      <c r="D25" s="15">
        <v>10827</v>
      </c>
      <c r="E25" s="15" t="s">
        <v>28</v>
      </c>
      <c r="F25" s="18">
        <v>881.27</v>
      </c>
      <c r="G25" s="18">
        <v>1561.6</v>
      </c>
      <c r="H25" s="18">
        <v>2442.87</v>
      </c>
    </row>
    <row r="26" spans="1:8" x14ac:dyDescent="0.25">
      <c r="A26" s="15" t="s">
        <v>146</v>
      </c>
      <c r="B26" s="29">
        <v>45357</v>
      </c>
      <c r="C26" s="16">
        <v>45363</v>
      </c>
      <c r="D26" s="15">
        <v>10833</v>
      </c>
      <c r="E26" s="15" t="s">
        <v>28</v>
      </c>
      <c r="F26" s="18">
        <v>792.88</v>
      </c>
      <c r="G26" s="18">
        <v>535.00000000000011</v>
      </c>
      <c r="H26" s="18">
        <v>1327.88</v>
      </c>
    </row>
    <row r="27" spans="1:8" x14ac:dyDescent="0.25">
      <c r="A27" s="15" t="s">
        <v>180</v>
      </c>
      <c r="B27" s="29">
        <v>45364</v>
      </c>
      <c r="C27" s="16">
        <v>45364</v>
      </c>
      <c r="D27" s="15">
        <v>10888</v>
      </c>
      <c r="E27" s="15" t="s">
        <v>25</v>
      </c>
      <c r="F27" s="18">
        <v>0</v>
      </c>
      <c r="G27" s="18">
        <v>220</v>
      </c>
      <c r="H27" s="18">
        <v>220</v>
      </c>
    </row>
    <row r="28" spans="1:8" x14ac:dyDescent="0.25">
      <c r="A28" s="15" t="s">
        <v>870</v>
      </c>
      <c r="B28" s="29">
        <v>45364</v>
      </c>
      <c r="C28" s="16">
        <v>45364</v>
      </c>
      <c r="D28" s="15">
        <v>10890</v>
      </c>
      <c r="E28" s="15" t="s">
        <v>37</v>
      </c>
      <c r="F28" s="18">
        <v>250.71</v>
      </c>
      <c r="G28" s="18">
        <v>577</v>
      </c>
      <c r="H28" s="18">
        <v>827.71</v>
      </c>
    </row>
    <row r="29" spans="1:8" x14ac:dyDescent="0.25">
      <c r="A29" s="15" t="s">
        <v>503</v>
      </c>
      <c r="B29" s="29">
        <v>45364</v>
      </c>
      <c r="C29" s="16">
        <v>45364</v>
      </c>
      <c r="D29" s="15">
        <v>10891</v>
      </c>
      <c r="E29" s="15" t="s">
        <v>37</v>
      </c>
      <c r="F29" s="18">
        <v>97.3</v>
      </c>
      <c r="G29" s="18">
        <v>200</v>
      </c>
      <c r="H29" s="18">
        <v>297.3</v>
      </c>
    </row>
    <row r="30" spans="1:8" x14ac:dyDescent="0.25">
      <c r="A30" s="15" t="s">
        <v>184</v>
      </c>
      <c r="B30" s="29">
        <v>45365</v>
      </c>
      <c r="C30" s="16">
        <v>45367</v>
      </c>
      <c r="D30" s="15">
        <v>10903</v>
      </c>
      <c r="E30" s="15" t="s">
        <v>37</v>
      </c>
      <c r="F30" s="18">
        <v>17.37</v>
      </c>
      <c r="G30" s="18">
        <v>386</v>
      </c>
      <c r="H30" s="18">
        <v>403.37</v>
      </c>
    </row>
    <row r="31" spans="1:8" x14ac:dyDescent="0.25">
      <c r="A31" s="15" t="s">
        <v>198</v>
      </c>
      <c r="B31" s="29">
        <v>45367</v>
      </c>
      <c r="C31" s="16">
        <v>45367</v>
      </c>
      <c r="D31" s="15">
        <v>10930</v>
      </c>
      <c r="E31" s="15" t="s">
        <v>25</v>
      </c>
      <c r="F31" s="18">
        <v>287.56</v>
      </c>
      <c r="G31" s="18">
        <v>651</v>
      </c>
      <c r="H31" s="18">
        <v>938.56</v>
      </c>
    </row>
  </sheetData>
  <mergeCells count="1">
    <mergeCell ref="A1:H3"/>
  </mergeCells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59B0-BB3F-4A52-9A20-F67967032195}">
  <dimension ref="A2:B22"/>
  <sheetViews>
    <sheetView topLeftCell="A3" workbookViewId="0">
      <selection activeCell="A2" sqref="A2:A22"/>
    </sheetView>
  </sheetViews>
  <sheetFormatPr defaultRowHeight="15" x14ac:dyDescent="0.25"/>
  <cols>
    <col min="1" max="1" width="17.42578125" bestFit="1" customWidth="1"/>
    <col min="2" max="2" width="10.7109375" bestFit="1" customWidth="1"/>
  </cols>
  <sheetData>
    <row r="2" spans="1:2" x14ac:dyDescent="0.25">
      <c r="A2" s="47" t="s">
        <v>1573</v>
      </c>
      <c r="B2" s="40" t="e">
        <f>VLOOKUP(A2,Tabela4[],3,FALSE)</f>
        <v>#N/A</v>
      </c>
    </row>
    <row r="3" spans="1:2" x14ac:dyDescent="0.25">
      <c r="A3" s="48" t="s">
        <v>1574</v>
      </c>
      <c r="B3" s="40" t="e">
        <f>VLOOKUP(A3,Tabela4[],3,FALSE)</f>
        <v>#N/A</v>
      </c>
    </row>
    <row r="4" spans="1:2" x14ac:dyDescent="0.25">
      <c r="A4" s="48" t="s">
        <v>1575</v>
      </c>
      <c r="B4" s="40" t="e">
        <f>VLOOKUP(A4,Tabela4[],3,FALSE)</f>
        <v>#N/A</v>
      </c>
    </row>
    <row r="5" spans="1:2" x14ac:dyDescent="0.25">
      <c r="A5" s="47" t="s">
        <v>1576</v>
      </c>
      <c r="B5" s="40" t="e">
        <f>VLOOKUP(A5,Tabela4[],3,FALSE)</f>
        <v>#N/A</v>
      </c>
    </row>
    <row r="6" spans="1:2" x14ac:dyDescent="0.25">
      <c r="A6" s="48" t="s">
        <v>1577</v>
      </c>
      <c r="B6" s="40" t="e">
        <f>VLOOKUP(A6,Tabela4[],3,FALSE)</f>
        <v>#N/A</v>
      </c>
    </row>
    <row r="7" spans="1:2" x14ac:dyDescent="0.25">
      <c r="A7" s="48" t="s">
        <v>1578</v>
      </c>
      <c r="B7" s="40" t="e">
        <f>VLOOKUP(A7,Tabela4[],3,FALSE)</f>
        <v>#N/A</v>
      </c>
    </row>
    <row r="8" spans="1:2" x14ac:dyDescent="0.25">
      <c r="A8" s="48" t="s">
        <v>1579</v>
      </c>
      <c r="B8" s="40" t="e">
        <f>VLOOKUP(A8,Tabela4[],3,FALSE)</f>
        <v>#N/A</v>
      </c>
    </row>
    <row r="9" spans="1:2" x14ac:dyDescent="0.25">
      <c r="A9" s="48" t="s">
        <v>1580</v>
      </c>
      <c r="B9" s="40" t="e">
        <f>VLOOKUP(A9,Tabela4[],3,FALSE)</f>
        <v>#N/A</v>
      </c>
    </row>
    <row r="10" spans="1:2" x14ac:dyDescent="0.25">
      <c r="A10" s="48" t="s">
        <v>1581</v>
      </c>
      <c r="B10" s="40" t="e">
        <f>VLOOKUP(A10,Tabela4[],3,FALSE)</f>
        <v>#N/A</v>
      </c>
    </row>
    <row r="11" spans="1:2" x14ac:dyDescent="0.25">
      <c r="A11" s="48" t="s">
        <v>1582</v>
      </c>
      <c r="B11" s="40" t="e">
        <f>VLOOKUP(A11,Tabela4[],3,FALSE)</f>
        <v>#N/A</v>
      </c>
    </row>
    <row r="12" spans="1:2" x14ac:dyDescent="0.25">
      <c r="A12" s="48" t="s">
        <v>1583</v>
      </c>
      <c r="B12" s="40" t="e">
        <f>VLOOKUP(A12,Tabela4[],3,FALSE)</f>
        <v>#N/A</v>
      </c>
    </row>
    <row r="13" spans="1:2" x14ac:dyDescent="0.25">
      <c r="A13" s="48" t="s">
        <v>1584</v>
      </c>
      <c r="B13" s="40" t="e">
        <f>VLOOKUP(A13,Tabela4[],3,FALSE)</f>
        <v>#N/A</v>
      </c>
    </row>
    <row r="14" spans="1:2" x14ac:dyDescent="0.25">
      <c r="A14" s="48" t="s">
        <v>552</v>
      </c>
      <c r="B14" s="40">
        <f>VLOOKUP(A14,Tabela4[],3,FALSE)</f>
        <v>45348</v>
      </c>
    </row>
    <row r="15" spans="1:2" x14ac:dyDescent="0.25">
      <c r="A15" s="48" t="s">
        <v>1585</v>
      </c>
      <c r="B15" s="40" t="e">
        <f>VLOOKUP(A15,Tabela4[],3,FALSE)</f>
        <v>#N/A</v>
      </c>
    </row>
    <row r="16" spans="1:2" x14ac:dyDescent="0.25">
      <c r="A16" s="48" t="s">
        <v>1586</v>
      </c>
      <c r="B16" s="40" t="e">
        <f>VLOOKUP(A16,Tabela4[],3,FALSE)</f>
        <v>#N/A</v>
      </c>
    </row>
    <row r="17" spans="1:2" x14ac:dyDescent="0.25">
      <c r="A17" s="48" t="s">
        <v>1587</v>
      </c>
      <c r="B17" s="40" t="e">
        <f>VLOOKUP(A17,Tabela4[],3,FALSE)</f>
        <v>#N/A</v>
      </c>
    </row>
    <row r="18" spans="1:2" x14ac:dyDescent="0.25">
      <c r="A18" s="48" t="s">
        <v>1588</v>
      </c>
      <c r="B18" s="40" t="e">
        <f>VLOOKUP(A18,Tabela4[],3,FALSE)</f>
        <v>#N/A</v>
      </c>
    </row>
    <row r="19" spans="1:2" x14ac:dyDescent="0.25">
      <c r="A19" s="49" t="s">
        <v>688</v>
      </c>
      <c r="B19" s="40">
        <f>VLOOKUP(A19,Tabela4[],3,FALSE)</f>
        <v>45299</v>
      </c>
    </row>
    <row r="20" spans="1:2" x14ac:dyDescent="0.25">
      <c r="A20" s="48" t="s">
        <v>712</v>
      </c>
      <c r="B20" s="40">
        <f>VLOOKUP(A20,Tabela4[],3,FALSE)</f>
        <v>45303</v>
      </c>
    </row>
    <row r="21" spans="1:2" x14ac:dyDescent="0.25">
      <c r="A21" s="48" t="s">
        <v>750</v>
      </c>
      <c r="B21" s="40">
        <f>VLOOKUP(A21,Tabela4[],3,FALSE)</f>
        <v>45307</v>
      </c>
    </row>
    <row r="22" spans="1:2" x14ac:dyDescent="0.25">
      <c r="A22" s="48" t="s">
        <v>768</v>
      </c>
      <c r="B22" s="40">
        <f>VLOOKUP(A22,Tabela4[],3,FALSE)</f>
        <v>45313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4277-24B6-4D5A-85D1-0A215F6065DD}">
  <sheetPr codeName="Planilha10"/>
  <dimension ref="B1:F13"/>
  <sheetViews>
    <sheetView workbookViewId="0">
      <selection activeCell="F2" sqref="F2"/>
    </sheetView>
  </sheetViews>
  <sheetFormatPr defaultRowHeight="15" x14ac:dyDescent="0.25"/>
  <cols>
    <col min="3" max="3" width="14.28515625" bestFit="1" customWidth="1"/>
    <col min="5" max="5" width="11.5703125" bestFit="1" customWidth="1"/>
    <col min="6" max="6" width="14.28515625" bestFit="1" customWidth="1"/>
  </cols>
  <sheetData>
    <row r="1" spans="2:6" x14ac:dyDescent="0.25">
      <c r="B1" s="139" t="s">
        <v>1589</v>
      </c>
      <c r="C1" s="139"/>
      <c r="E1" s="139" t="s">
        <v>1590</v>
      </c>
      <c r="F1" s="139"/>
    </row>
    <row r="2" spans="2:6" x14ac:dyDescent="0.25">
      <c r="B2" t="s">
        <v>600</v>
      </c>
      <c r="C2" s="1" t="e">
        <f>SUMIFS(Tabela4[VALOR],#REF!,'CONFIG FAT.ANUAL'!B2)</f>
        <v>#REF!</v>
      </c>
      <c r="E2" t="s">
        <v>600</v>
      </c>
      <c r="F2" s="1" t="e">
        <f>SUMIFS(Tabela4[VALOR TOTAL(S/BATERIA, S/PNEU)],#REF!,'CONFIG FAT.ANUAL'!E2)</f>
        <v>#REF!</v>
      </c>
    </row>
    <row r="3" spans="2:6" x14ac:dyDescent="0.25">
      <c r="B3" t="s">
        <v>601</v>
      </c>
      <c r="C3" s="1" t="e">
        <f>SUMIFS(Tabela4[VALOR],#REF!,'CONFIG FAT.ANUAL'!B3)</f>
        <v>#REF!</v>
      </c>
      <c r="E3" t="s">
        <v>601</v>
      </c>
      <c r="F3" s="1" t="e">
        <f>SUMIFS(Tabela4[VALOR TOTAL(S/BATERIA, S/PNEU)],#REF!,'CONFIG FAT.ANUAL'!E3)</f>
        <v>#REF!</v>
      </c>
    </row>
    <row r="4" spans="2:6" x14ac:dyDescent="0.25">
      <c r="B4" t="s">
        <v>602</v>
      </c>
      <c r="C4" s="1" t="e">
        <f>SUMIFS(Tabela4[VALOR],#REF!,'CONFIG FAT.ANUAL'!B4)</f>
        <v>#REF!</v>
      </c>
      <c r="E4" t="s">
        <v>602</v>
      </c>
      <c r="F4" s="1" t="e">
        <f>SUMIFS(Tabela4[VALOR TOTAL(S/BATERIA, S/PNEU)],#REF!,'CONFIG FAT.ANUAL'!E4)</f>
        <v>#REF!</v>
      </c>
    </row>
    <row r="5" spans="2:6" x14ac:dyDescent="0.25">
      <c r="B5" t="s">
        <v>603</v>
      </c>
      <c r="C5" s="1" t="e">
        <f>SUMIFS(Tabela4[VALOR],#REF!,'CONFIG FAT.ANUAL'!B5)</f>
        <v>#REF!</v>
      </c>
      <c r="E5" t="s">
        <v>603</v>
      </c>
      <c r="F5" s="1" t="e">
        <f>SUMIFS(Tabela4[VALOR TOTAL(S/BATERIA, S/PNEU)],#REF!,'CONFIG FAT.ANUAL'!E5)</f>
        <v>#REF!</v>
      </c>
    </row>
    <row r="6" spans="2:6" x14ac:dyDescent="0.25">
      <c r="B6" t="s">
        <v>604</v>
      </c>
      <c r="C6" s="1" t="e">
        <f>SUMIFS(Tabela4[VALOR],#REF!,'CONFIG FAT.ANUAL'!B6)</f>
        <v>#REF!</v>
      </c>
      <c r="E6" t="s">
        <v>604</v>
      </c>
      <c r="F6" s="1" t="e">
        <f>SUMIFS(Tabela4[VALOR TOTAL(S/BATERIA, S/PNEU)],#REF!,'CONFIG FAT.ANUAL'!E6)</f>
        <v>#REF!</v>
      </c>
    </row>
    <row r="7" spans="2:6" x14ac:dyDescent="0.25">
      <c r="B7" t="s">
        <v>41</v>
      </c>
      <c r="C7" s="1" t="e">
        <f>SUMIFS(Tabela4[VALOR],#REF!,'CONFIG FAT.ANUAL'!B7)</f>
        <v>#REF!</v>
      </c>
      <c r="E7" t="s">
        <v>41</v>
      </c>
      <c r="F7" s="1" t="e">
        <f>SUMIFS(Tabela4[VALOR TOTAL(S/BATERIA, S/PNEU)],#REF!,'CONFIG FAT.ANUAL'!E7)</f>
        <v>#REF!</v>
      </c>
    </row>
    <row r="8" spans="2:6" x14ac:dyDescent="0.25">
      <c r="B8" t="s">
        <v>1</v>
      </c>
      <c r="C8" s="1" t="e">
        <f>SUMIFS(Tabela4[VALOR],#REF!,'CONFIG FAT.ANUAL'!B8)</f>
        <v>#REF!</v>
      </c>
      <c r="E8" t="s">
        <v>1</v>
      </c>
      <c r="F8" s="1" t="e">
        <f>SUMIFS(Tabela4[VALOR TOTAL(S/BATERIA, S/PNEU)],#REF!,'CONFIG FAT.ANUAL'!E8)</f>
        <v>#REF!</v>
      </c>
    </row>
    <row r="9" spans="2:6" x14ac:dyDescent="0.25">
      <c r="B9" t="s">
        <v>605</v>
      </c>
      <c r="C9" s="1" t="e">
        <f>SUMIFS(Tabela4[VALOR],#REF!,'CONFIG FAT.ANUAL'!B9)</f>
        <v>#REF!</v>
      </c>
      <c r="E9" t="s">
        <v>605</v>
      </c>
      <c r="F9" s="1" t="e">
        <f>SUMIFS(Tabela4[VALOR TOTAL(S/BATERIA, S/PNEU)],#REF!,'CONFIG FAT.ANUAL'!E9)</f>
        <v>#REF!</v>
      </c>
    </row>
    <row r="10" spans="2:6" x14ac:dyDescent="0.25">
      <c r="B10" t="s">
        <v>606</v>
      </c>
      <c r="C10" s="1" t="e">
        <f>SUMIFS(Tabela4[VALOR],#REF!,'CONFIG FAT.ANUAL'!B10)</f>
        <v>#REF!</v>
      </c>
      <c r="E10" t="s">
        <v>606</v>
      </c>
      <c r="F10" s="1" t="e">
        <f>SUMIFS(Tabela4[VALOR TOTAL(S/BATERIA, S/PNEU)],#REF!,'CONFIG FAT.ANUAL'!E10)</f>
        <v>#REF!</v>
      </c>
    </row>
    <row r="11" spans="2:6" x14ac:dyDescent="0.25">
      <c r="B11" t="s">
        <v>607</v>
      </c>
      <c r="C11" s="1" t="e">
        <f>SUMIFS(Tabela4[VALOR],#REF!,'CONFIG FAT.ANUAL'!B11)</f>
        <v>#REF!</v>
      </c>
      <c r="E11" t="s">
        <v>607</v>
      </c>
      <c r="F11" s="1" t="e">
        <f>SUMIFS(Tabela4[VALOR TOTAL(S/BATERIA, S/PNEU)],#REF!,'CONFIG FAT.ANUAL'!E11)</f>
        <v>#REF!</v>
      </c>
    </row>
    <row r="12" spans="2:6" x14ac:dyDescent="0.25">
      <c r="B12" t="s">
        <v>608</v>
      </c>
      <c r="C12" s="1" t="e">
        <f>SUMIFS(Tabela4[VALOR],#REF!,'CONFIG FAT.ANUAL'!B12)</f>
        <v>#REF!</v>
      </c>
      <c r="E12" t="s">
        <v>608</v>
      </c>
      <c r="F12" s="1" t="e">
        <f>SUMIFS(Tabela4[VALOR TOTAL(S/BATERIA, S/PNEU)],#REF!,'CONFIG FAT.ANUAL'!E12)</f>
        <v>#REF!</v>
      </c>
    </row>
    <row r="13" spans="2:6" x14ac:dyDescent="0.25">
      <c r="B13" t="s">
        <v>609</v>
      </c>
      <c r="C13" s="1" t="e">
        <f>SUMIFS(Tabela4[VALOR],#REF!,'CONFIG FAT.ANUAL'!B13)</f>
        <v>#REF!</v>
      </c>
      <c r="E13" t="s">
        <v>609</v>
      </c>
      <c r="F13" s="1" t="e">
        <f>SUMIFS(Tabela4[VALOR TOTAL(S/BATERIA, S/PNEU)],#REF!,'CONFIG FAT.ANUAL'!E13)</f>
        <v>#REF!</v>
      </c>
    </row>
  </sheetData>
  <mergeCells count="2">
    <mergeCell ref="B1:C1"/>
    <mergeCell ref="E1:F1"/>
  </mergeCells>
  <phoneticPr fontId="4" type="noConversion"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2F04-E556-473E-BEEE-62F6ADB63F4B}">
  <sheetPr codeName="Planilha11"/>
  <dimension ref="A1:M21"/>
  <sheetViews>
    <sheetView topLeftCell="E18" workbookViewId="0">
      <selection activeCell="M33" sqref="M33"/>
    </sheetView>
  </sheetViews>
  <sheetFormatPr defaultRowHeight="15" x14ac:dyDescent="0.25"/>
  <cols>
    <col min="1" max="1" width="18" bestFit="1" customWidth="1"/>
    <col min="2" max="2" width="18.28515625" bestFit="1" customWidth="1"/>
    <col min="3" max="3" width="20.28515625" bestFit="1" customWidth="1"/>
    <col min="4" max="4" width="17.5703125" bestFit="1" customWidth="1"/>
    <col min="5" max="5" width="15.5703125" bestFit="1" customWidth="1"/>
    <col min="6" max="6" width="15.7109375" bestFit="1" customWidth="1"/>
    <col min="7" max="7" width="16.85546875" bestFit="1" customWidth="1"/>
    <col min="8" max="8" width="16.28515625" bestFit="1" customWidth="1"/>
    <col min="9" max="9" width="18.28515625" bestFit="1" customWidth="1"/>
    <col min="10" max="10" width="20.28515625" bestFit="1" customWidth="1"/>
    <col min="11" max="11" width="19.7109375" bestFit="1" customWidth="1"/>
    <col min="12" max="12" width="21.5703125" bestFit="1" customWidth="1"/>
    <col min="13" max="13" width="20.5703125" bestFit="1" customWidth="1"/>
  </cols>
  <sheetData>
    <row r="1" spans="1:13" ht="15.75" thickBot="1" x14ac:dyDescent="0.3">
      <c r="B1" s="139" t="s">
        <v>0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2" spans="1:13" x14ac:dyDescent="0.25">
      <c r="A2" s="34" t="s">
        <v>21</v>
      </c>
      <c r="B2" s="34" t="s">
        <v>600</v>
      </c>
      <c r="C2" s="34" t="s">
        <v>601</v>
      </c>
      <c r="D2" s="34" t="s">
        <v>602</v>
      </c>
      <c r="E2" s="34" t="s">
        <v>603</v>
      </c>
      <c r="F2" s="34" t="s">
        <v>604</v>
      </c>
      <c r="G2" s="34" t="s">
        <v>41</v>
      </c>
      <c r="H2" s="34" t="s">
        <v>1</v>
      </c>
      <c r="I2" s="34" t="s">
        <v>605</v>
      </c>
      <c r="J2" s="34" t="s">
        <v>606</v>
      </c>
      <c r="K2" s="34" t="s">
        <v>607</v>
      </c>
      <c r="L2" s="34" t="s">
        <v>608</v>
      </c>
      <c r="M2" s="34" t="s">
        <v>609</v>
      </c>
    </row>
    <row r="3" spans="1:13" x14ac:dyDescent="0.25">
      <c r="A3" s="35" t="s">
        <v>27</v>
      </c>
      <c r="B3" s="36" t="e">
        <f>SUMIFS(Tabela4[SERVICOS],#REF!,'COMPARATIVO MECANICO MÊS'!$B$2,Tabela4[MECANICO],'COMPARATIVO MECANICO MÊS'!A3)</f>
        <v>#REF!</v>
      </c>
      <c r="C3" s="36" t="e">
        <f>SUMIFS(Tabela4[SERVICOS],#REF!,'COMPARATIVO MECANICO MÊS'!$C$2,Tabela4[MECANICO],'COMPARATIVO MECANICO MÊS'!A3)</f>
        <v>#REF!</v>
      </c>
      <c r="D3" s="36" t="e">
        <f>SUMIFS(Tabela4[SERVICOS],#REF!,'COMPARATIVO MECANICO MÊS'!$D$2,Tabela4[MECANICO],'COMPARATIVO MECANICO MÊS'!A3)</f>
        <v>#REF!</v>
      </c>
      <c r="E3" s="36" t="e">
        <f>SUMIFS(Tabela4[SERVICOS],#REF!,'COMPARATIVO MECANICO MÊS'!$E$2,Tabela4[MECANICO],'COMPARATIVO MECANICO MÊS'!A3)</f>
        <v>#REF!</v>
      </c>
      <c r="F3" s="36" t="e">
        <f>SUMIFS(Tabela4[SERVICOS],#REF!,'COMPARATIVO MECANICO MÊS'!$F$2,Tabela4[MECANICO],'COMPARATIVO MECANICO MÊS'!A3)</f>
        <v>#REF!</v>
      </c>
      <c r="G3" s="36" t="e">
        <f>SUMIFS(Tabela4[SERVICOS],#REF!,'COMPARATIVO MECANICO MÊS'!$G$2,Tabela4[MECANICO],'COMPARATIVO MECANICO MÊS'!A3)</f>
        <v>#REF!</v>
      </c>
      <c r="H3" s="36" t="e">
        <f>SUMIFS(Tabela4[SERVICOS],#REF!,'COMPARATIVO MECANICO MÊS'!$H$2,Tabela4[MECANICO],'COMPARATIVO MECANICO MÊS'!A3)</f>
        <v>#REF!</v>
      </c>
      <c r="I3" s="36" t="e">
        <f>SUMIFS(Tabela4[SERVICOS],#REF!,'COMPARATIVO MECANICO MÊS'!$I$2,Tabela4[MECANICO],'COMPARATIVO MECANICO MÊS'!A3)</f>
        <v>#REF!</v>
      </c>
      <c r="J3" s="36" t="e">
        <f>SUMIFS(Tabela4[SERVICOS],#REF!,'COMPARATIVO MECANICO MÊS'!$J$2,Tabela4[MECANICO],'COMPARATIVO MECANICO MÊS'!A3)</f>
        <v>#REF!</v>
      </c>
      <c r="K3" s="36" t="e">
        <f>SUMIFS(Tabela4[SERVICOS],#REF!,'COMPARATIVO MECANICO MÊS'!$K$2,Tabela4[MECANICO],'COMPARATIVO MECANICO MÊS'!A3)</f>
        <v>#REF!</v>
      </c>
      <c r="L3" s="36" t="e">
        <f>SUMIFS(Tabela4[SERVICOS],#REF!,'COMPARATIVO MECANICO MÊS'!$L$2,Tabela4[MECANICO],'COMPARATIVO MECANICO MÊS'!A3)</f>
        <v>#REF!</v>
      </c>
      <c r="M3" s="36" t="e">
        <f>SUMIFS(Tabela4[SERVICOS],#REF!,'COMPARATIVO MECANICO MÊS'!$M$2,Tabela4[MECANICO],'COMPARATIVO MECANICO MÊS'!A3)</f>
        <v>#REF!</v>
      </c>
    </row>
    <row r="4" spans="1:13" x14ac:dyDescent="0.25">
      <c r="A4" s="35" t="s">
        <v>24</v>
      </c>
      <c r="B4" s="36" t="e">
        <f>SUMIFS(Tabela4[SERVICOS],#REF!,'COMPARATIVO MECANICO MÊS'!$B$2,Tabela4[MECANICO],'COMPARATIVO MECANICO MÊS'!A4)</f>
        <v>#REF!</v>
      </c>
      <c r="C4" s="36" t="e">
        <f>SUMIFS(Tabela4[SERVICOS],#REF!,'COMPARATIVO MECANICO MÊS'!$C$2,Tabela4[MECANICO],'COMPARATIVO MECANICO MÊS'!A4)</f>
        <v>#REF!</v>
      </c>
      <c r="D4" s="36" t="e">
        <f>SUMIFS(Tabela4[SERVICOS],#REF!,'COMPARATIVO MECANICO MÊS'!$D$2,Tabela4[MECANICO],'COMPARATIVO MECANICO MÊS'!A4)</f>
        <v>#REF!</v>
      </c>
      <c r="E4" s="36" t="e">
        <f>SUMIFS(Tabela4[SERVICOS],#REF!,'COMPARATIVO MECANICO MÊS'!$E$2,Tabela4[MECANICO],'COMPARATIVO MECANICO MÊS'!A4)</f>
        <v>#REF!</v>
      </c>
      <c r="F4" s="36" t="e">
        <f>SUMIFS(Tabela4[SERVICOS],#REF!,'COMPARATIVO MECANICO MÊS'!$F$2,Tabela4[MECANICO],'COMPARATIVO MECANICO MÊS'!A4)</f>
        <v>#REF!</v>
      </c>
      <c r="G4" s="36" t="e">
        <f>SUMIFS(Tabela4[SERVICOS],#REF!,'COMPARATIVO MECANICO MÊS'!$G$2,Tabela4[MECANICO],'COMPARATIVO MECANICO MÊS'!A4)</f>
        <v>#REF!</v>
      </c>
      <c r="H4" s="36" t="e">
        <f>SUMIFS(Tabela4[SERVICOS],#REF!,'COMPARATIVO MECANICO MÊS'!$H$2,Tabela4[MECANICO],'COMPARATIVO MECANICO MÊS'!A4)</f>
        <v>#REF!</v>
      </c>
      <c r="I4" s="36" t="e">
        <f>SUMIFS(Tabela4[SERVICOS],#REF!,'COMPARATIVO MECANICO MÊS'!$I$2,Tabela4[MECANICO],'COMPARATIVO MECANICO MÊS'!A4)</f>
        <v>#REF!</v>
      </c>
      <c r="J4" s="36" t="e">
        <f>SUMIFS(Tabela4[SERVICOS],#REF!,'COMPARATIVO MECANICO MÊS'!$J$2,Tabela4[MECANICO],'COMPARATIVO MECANICO MÊS'!A4)</f>
        <v>#REF!</v>
      </c>
      <c r="K4" s="36" t="e">
        <f>SUMIFS(Tabela4[SERVICOS],#REF!,'COMPARATIVO MECANICO MÊS'!$K$2,Tabela4[MECANICO],'COMPARATIVO MECANICO MÊS'!A4)</f>
        <v>#REF!</v>
      </c>
      <c r="L4" s="36" t="e">
        <f>SUMIFS(Tabela4[SERVICOS],#REF!,'COMPARATIVO MECANICO MÊS'!$L$2,Tabela4[MECANICO],'COMPARATIVO MECANICO MÊS'!A4)</f>
        <v>#REF!</v>
      </c>
      <c r="M4" s="36" t="e">
        <f>SUMIFS(Tabela4[SERVICOS],#REF!,'COMPARATIVO MECANICO MÊS'!$M$2,Tabela4[MECANICO],'COMPARATIVO MECANICO MÊS'!A4)</f>
        <v>#REF!</v>
      </c>
    </row>
    <row r="5" spans="1:13" x14ac:dyDescent="0.25">
      <c r="A5" s="35" t="s">
        <v>30</v>
      </c>
      <c r="B5" s="36" t="e">
        <f>SUMIFS(Tabela4[SERVICOS],#REF!,'COMPARATIVO MECANICO MÊS'!$B$2,Tabela4[MECANICO],'COMPARATIVO MECANICO MÊS'!A5)</f>
        <v>#REF!</v>
      </c>
      <c r="C5" s="36" t="e">
        <f>SUMIFS(Tabela4[SERVICOS],#REF!,'COMPARATIVO MECANICO MÊS'!$C$2,Tabela4[MECANICO],'COMPARATIVO MECANICO MÊS'!A5)</f>
        <v>#REF!</v>
      </c>
      <c r="D5" s="36" t="e">
        <f>SUMIFS(Tabela4[SERVICOS],#REF!,'COMPARATIVO MECANICO MÊS'!$D$2,Tabela4[MECANICO],'COMPARATIVO MECANICO MÊS'!A5)</f>
        <v>#REF!</v>
      </c>
      <c r="E5" s="36" t="e">
        <f>SUMIFS(Tabela4[SERVICOS],#REF!,'COMPARATIVO MECANICO MÊS'!$E$2,Tabela4[MECANICO],'COMPARATIVO MECANICO MÊS'!A5)</f>
        <v>#REF!</v>
      </c>
      <c r="F5" s="36" t="e">
        <f>SUMIFS(Tabela4[SERVICOS],#REF!,'COMPARATIVO MECANICO MÊS'!$F$2,Tabela4[MECANICO],'COMPARATIVO MECANICO MÊS'!A5)</f>
        <v>#REF!</v>
      </c>
      <c r="G5" s="36" t="e">
        <f>SUMIFS(Tabela4[SERVICOS],#REF!,'COMPARATIVO MECANICO MÊS'!$G$2,Tabela4[MECANICO],'COMPARATIVO MECANICO MÊS'!A5)</f>
        <v>#REF!</v>
      </c>
      <c r="H5" s="36" t="e">
        <f>SUMIFS(Tabela4[SERVICOS],#REF!,'COMPARATIVO MECANICO MÊS'!$H$2,Tabela4[MECANICO],'COMPARATIVO MECANICO MÊS'!A5)</f>
        <v>#REF!</v>
      </c>
      <c r="I5" s="36" t="e">
        <f>SUMIFS(Tabela4[SERVICOS],#REF!,'COMPARATIVO MECANICO MÊS'!$I$2,Tabela4[MECANICO],'COMPARATIVO MECANICO MÊS'!A5)</f>
        <v>#REF!</v>
      </c>
      <c r="J5" s="36" t="e">
        <f>SUMIFS(Tabela4[SERVICOS],#REF!,'COMPARATIVO MECANICO MÊS'!$J$2,Tabela4[MECANICO],'COMPARATIVO MECANICO MÊS'!A5)</f>
        <v>#REF!</v>
      </c>
      <c r="K5" s="36" t="e">
        <f>SUMIFS(Tabela4[SERVICOS],#REF!,'COMPARATIVO MECANICO MÊS'!$K$2,Tabela4[MECANICO],'COMPARATIVO MECANICO MÊS'!A5)</f>
        <v>#REF!</v>
      </c>
      <c r="L5" s="36" t="e">
        <f>SUMIFS(Tabela4[SERVICOS],#REF!,'COMPARATIVO MECANICO MÊS'!$L$2,Tabela4[MECANICO],'COMPARATIVO MECANICO MÊS'!A5)</f>
        <v>#REF!</v>
      </c>
      <c r="M5" s="36" t="e">
        <f>SUMIFS(Tabela4[SERVICOS],#REF!,'COMPARATIVO MECANICO MÊS'!$M$2,Tabela4[MECANICO],'COMPARATIVO MECANICO MÊS'!A5)</f>
        <v>#REF!</v>
      </c>
    </row>
    <row r="6" spans="1:13" x14ac:dyDescent="0.25">
      <c r="A6" s="35" t="s">
        <v>32</v>
      </c>
      <c r="B6" s="36" t="e">
        <f>SUMIFS(Tabela4[SERVICOS],#REF!,'COMPARATIVO MECANICO MÊS'!$B$2,Tabela4[MECANICO],'COMPARATIVO MECANICO MÊS'!A6)</f>
        <v>#REF!</v>
      </c>
      <c r="C6" s="36" t="e">
        <f>SUMIFS(Tabela4[SERVICOS],#REF!,'COMPARATIVO MECANICO MÊS'!$C$2,Tabela4[MECANICO],'COMPARATIVO MECANICO MÊS'!A6)</f>
        <v>#REF!</v>
      </c>
      <c r="D6" s="36" t="e">
        <f>SUMIFS(Tabela4[SERVICOS],#REF!,'COMPARATIVO MECANICO MÊS'!$D$2,Tabela4[MECANICO],'COMPARATIVO MECANICO MÊS'!A6)</f>
        <v>#REF!</v>
      </c>
      <c r="E6" s="36" t="e">
        <f>SUMIFS(Tabela4[SERVICOS],#REF!,'COMPARATIVO MECANICO MÊS'!$E$2,Tabela4[MECANICO],'COMPARATIVO MECANICO MÊS'!A6)</f>
        <v>#REF!</v>
      </c>
      <c r="F6" s="36" t="e">
        <f>SUMIFS(Tabela4[SERVICOS],#REF!,'COMPARATIVO MECANICO MÊS'!$F$2,Tabela4[MECANICO],'COMPARATIVO MECANICO MÊS'!A6)</f>
        <v>#REF!</v>
      </c>
      <c r="G6" s="36" t="e">
        <f>SUMIFS(Tabela4[SERVICOS],#REF!,'COMPARATIVO MECANICO MÊS'!$G$2,Tabela4[MECANICO],'COMPARATIVO MECANICO MÊS'!A6)</f>
        <v>#REF!</v>
      </c>
      <c r="H6" s="36" t="e">
        <f>SUMIFS(Tabela4[SERVICOS],#REF!,'COMPARATIVO MECANICO MÊS'!$H$2,Tabela4[MECANICO],'COMPARATIVO MECANICO MÊS'!A6)</f>
        <v>#REF!</v>
      </c>
      <c r="I6" s="36" t="e">
        <f>SUMIFS(Tabela4[SERVICOS],#REF!,'COMPARATIVO MECANICO MÊS'!$I$2,Tabela4[MECANICO],'COMPARATIVO MECANICO MÊS'!A6)</f>
        <v>#REF!</v>
      </c>
      <c r="J6" s="36" t="e">
        <f>SUMIFS(Tabela4[SERVICOS],#REF!,'COMPARATIVO MECANICO MÊS'!$J$2,Tabela4[MECANICO],'COMPARATIVO MECANICO MÊS'!A6)</f>
        <v>#REF!</v>
      </c>
      <c r="K6" s="36" t="e">
        <f>SUMIFS(Tabela4[SERVICOS],#REF!,'COMPARATIVO MECANICO MÊS'!$K$2,Tabela4[MECANICO],'COMPARATIVO MECANICO MÊS'!A6)</f>
        <v>#REF!</v>
      </c>
      <c r="L6" s="36" t="e">
        <f>SUMIFS(Tabela4[SERVICOS],#REF!,'COMPARATIVO MECANICO MÊS'!$L$2,Tabela4[MECANICO],'COMPARATIVO MECANICO MÊS'!A6)</f>
        <v>#REF!</v>
      </c>
      <c r="M6" s="36" t="e">
        <f>SUMIFS(Tabela4[SERVICOS],#REF!,'COMPARATIVO MECANICO MÊS'!$M$2,Tabela4[MECANICO],'COMPARATIVO MECANICO MÊS'!A6)</f>
        <v>#REF!</v>
      </c>
    </row>
    <row r="7" spans="1:13" x14ac:dyDescent="0.25">
      <c r="A7" s="35" t="s">
        <v>34</v>
      </c>
      <c r="B7" s="36" t="e">
        <f>SUMIFS(Tabela4[SERVICOS],#REF!,'COMPARATIVO MECANICO MÊS'!$B$2,Tabela4[MECANICO],'COMPARATIVO MECANICO MÊS'!A7)</f>
        <v>#REF!</v>
      </c>
      <c r="C7" s="36" t="e">
        <f>SUMIFS(Tabela4[SERVICOS],#REF!,'COMPARATIVO MECANICO MÊS'!$C$2,Tabela4[MECANICO],'COMPARATIVO MECANICO MÊS'!A7)</f>
        <v>#REF!</v>
      </c>
      <c r="D7" s="36" t="e">
        <f>SUMIFS(Tabela4[SERVICOS],#REF!,'COMPARATIVO MECANICO MÊS'!$D$2,Tabela4[MECANICO],'COMPARATIVO MECANICO MÊS'!A7)</f>
        <v>#REF!</v>
      </c>
      <c r="E7" s="36" t="e">
        <f>SUMIFS(Tabela4[SERVICOS],#REF!,'COMPARATIVO MECANICO MÊS'!$E$2,Tabela4[MECANICO],'COMPARATIVO MECANICO MÊS'!A7)</f>
        <v>#REF!</v>
      </c>
      <c r="F7" s="36" t="e">
        <f>SUMIFS(Tabela4[SERVICOS],#REF!,'COMPARATIVO MECANICO MÊS'!$F$2,Tabela4[MECANICO],'COMPARATIVO MECANICO MÊS'!A7)</f>
        <v>#REF!</v>
      </c>
      <c r="G7" s="36" t="e">
        <f>SUMIFS(Tabela4[SERVICOS],#REF!,'COMPARATIVO MECANICO MÊS'!$G$2,Tabela4[MECANICO],'COMPARATIVO MECANICO MÊS'!A7)</f>
        <v>#REF!</v>
      </c>
      <c r="H7" s="36" t="e">
        <f>SUMIFS(Tabela4[SERVICOS],#REF!,'COMPARATIVO MECANICO MÊS'!$H$2,Tabela4[MECANICO],'COMPARATIVO MECANICO MÊS'!A7)</f>
        <v>#REF!</v>
      </c>
      <c r="I7" s="36" t="e">
        <f>SUMIFS(Tabela4[SERVICOS],#REF!,'COMPARATIVO MECANICO MÊS'!$I$2,Tabela4[MECANICO],'COMPARATIVO MECANICO MÊS'!A7)</f>
        <v>#REF!</v>
      </c>
      <c r="J7" s="36" t="e">
        <f>SUMIFS(Tabela4[SERVICOS],#REF!,'COMPARATIVO MECANICO MÊS'!$J$2,Tabela4[MECANICO],'COMPARATIVO MECANICO MÊS'!A7)</f>
        <v>#REF!</v>
      </c>
      <c r="K7" s="36" t="e">
        <f>SUMIFS(Tabela4[SERVICOS],#REF!,'COMPARATIVO MECANICO MÊS'!$K$2,Tabela4[MECANICO],'COMPARATIVO MECANICO MÊS'!A7)</f>
        <v>#REF!</v>
      </c>
      <c r="L7" s="36" t="e">
        <f>SUMIFS(Tabela4[SERVICOS],#REF!,'COMPARATIVO MECANICO MÊS'!$L$2,Tabela4[MECANICO],'COMPARATIVO MECANICO MÊS'!A7)</f>
        <v>#REF!</v>
      </c>
      <c r="M7" s="36" t="e">
        <f>SUMIFS(Tabela4[SERVICOS],#REF!,'COMPARATIVO MECANICO MÊS'!$M$2,Tabela4[MECANICO],'COMPARATIVO MECANICO MÊS'!A7)</f>
        <v>#REF!</v>
      </c>
    </row>
    <row r="10" spans="1:13" x14ac:dyDescent="0.25">
      <c r="A10" s="37" t="s">
        <v>1591</v>
      </c>
      <c r="B10" s="32" t="s">
        <v>1592</v>
      </c>
      <c r="C10" s="32" t="s">
        <v>1593</v>
      </c>
      <c r="D10" s="32" t="s">
        <v>1594</v>
      </c>
      <c r="E10" s="32" t="s">
        <v>1595</v>
      </c>
      <c r="F10" s="32" t="s">
        <v>1596</v>
      </c>
      <c r="G10" s="32" t="s">
        <v>1597</v>
      </c>
      <c r="H10" s="32" t="s">
        <v>1598</v>
      </c>
      <c r="I10" s="32" t="s">
        <v>1599</v>
      </c>
      <c r="J10" s="32" t="s">
        <v>1600</v>
      </c>
      <c r="K10" s="32" t="s">
        <v>1601</v>
      </c>
      <c r="L10" s="32" t="s">
        <v>1602</v>
      </c>
      <c r="M10" s="32" t="s">
        <v>1603</v>
      </c>
    </row>
    <row r="11" spans="1:13" x14ac:dyDescent="0.25">
      <c r="A11" s="38" t="s">
        <v>24</v>
      </c>
      <c r="B11" s="32">
        <v>17687.16</v>
      </c>
      <c r="C11" s="32">
        <v>1623.56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</row>
    <row r="12" spans="1:13" x14ac:dyDescent="0.25">
      <c r="A12" s="38" t="s">
        <v>27</v>
      </c>
      <c r="B12" s="32">
        <v>10798.710000000001</v>
      </c>
      <c r="C12" s="32">
        <v>14099.830000000002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</row>
    <row r="13" spans="1:13" x14ac:dyDescent="0.25">
      <c r="A13" s="38" t="s">
        <v>30</v>
      </c>
      <c r="B13" s="32">
        <v>18928.219999999998</v>
      </c>
      <c r="C13" s="32">
        <v>13012.640000000001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</row>
    <row r="14" spans="1:13" x14ac:dyDescent="0.25">
      <c r="A14" s="38" t="s">
        <v>32</v>
      </c>
      <c r="B14" s="32">
        <v>13824.16</v>
      </c>
      <c r="C14" s="32">
        <v>11116.88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</row>
    <row r="15" spans="1:13" x14ac:dyDescent="0.25">
      <c r="A15" s="38" t="s">
        <v>34</v>
      </c>
      <c r="B15" s="32">
        <v>12848.359999999999</v>
      </c>
      <c r="C15" s="32">
        <v>8622.7999999999993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</row>
    <row r="16" spans="1:13" x14ac:dyDescent="0.25">
      <c r="A16" s="38" t="s">
        <v>1604</v>
      </c>
      <c r="B16" s="32">
        <v>74086.61</v>
      </c>
      <c r="C16" s="32">
        <v>48475.710000000006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</row>
    <row r="19" spans="1:13" x14ac:dyDescent="0.25">
      <c r="A19" s="38" t="s">
        <v>1605</v>
      </c>
      <c r="B19" t="s">
        <v>600</v>
      </c>
      <c r="C19" t="s">
        <v>601</v>
      </c>
      <c r="D19" t="s">
        <v>602</v>
      </c>
      <c r="E19" t="s">
        <v>603</v>
      </c>
      <c r="F19" t="s">
        <v>604</v>
      </c>
      <c r="G19" t="s">
        <v>41</v>
      </c>
      <c r="H19" t="s">
        <v>1</v>
      </c>
      <c r="I19" t="s">
        <v>605</v>
      </c>
      <c r="J19" t="s">
        <v>606</v>
      </c>
      <c r="K19" t="s">
        <v>607</v>
      </c>
      <c r="L19" t="s">
        <v>608</v>
      </c>
      <c r="M19" t="s">
        <v>609</v>
      </c>
    </row>
    <row r="20" spans="1:13" x14ac:dyDescent="0.25">
      <c r="A20" s="38" t="s">
        <v>42</v>
      </c>
      <c r="B20" s="1" t="e">
        <f>SUMIFS(Tabela4[VALOR TOTAL(S/BATERIA, S/PNEU)],#REF!,'COMPARATIVO MECANICO MÊS'!B19)</f>
        <v>#REF!</v>
      </c>
      <c r="C20" s="1" t="e">
        <f>SUMIFS(Tabela4[VALOR TOTAL(S/BATERIA, S/PNEU)],#REF!,'COMPARATIVO MECANICO MÊS'!C19)</f>
        <v>#REF!</v>
      </c>
      <c r="D20" s="1" t="e">
        <f>SUMIFS(Tabela4[VALOR TOTAL(S/BATERIA, S/PNEU)],#REF!,'COMPARATIVO MECANICO MÊS'!D19)</f>
        <v>#REF!</v>
      </c>
      <c r="E20" s="1" t="e">
        <f>SUMIFS(Tabela4[[#This Row],[VALOR TOTAL(S/BATERIA, S/PNEU)]],#REF!,'COMPARATIVO MECANICO MÊS'!E19)</f>
        <v>#REF!</v>
      </c>
      <c r="F20" s="1" t="e">
        <f>SUMIFS(Tabela4[[#This Row],[VALOR TOTAL(S/BATERIA, S/PNEU)]],#REF!,'COMPARATIVO MECANICO MÊS'!F19)</f>
        <v>#REF!</v>
      </c>
      <c r="G20" s="1" t="e">
        <f>SUMIFS(Tabela4[[#This Row],[VALOR TOTAL(S/BATERIA, S/PNEU)]],#REF!,'COMPARATIVO MECANICO MÊS'!G19)</f>
        <v>#REF!</v>
      </c>
      <c r="H20" s="1" t="e">
        <f>SUMIFS(Tabela4[[#This Row],[VALOR TOTAL(S/BATERIA, S/PNEU)]],#REF!,'COMPARATIVO MECANICO MÊS'!H19)</f>
        <v>#REF!</v>
      </c>
      <c r="I20" s="1" t="e">
        <f>SUMIFS(Tabela4[[#This Row],[VALOR TOTAL(S/BATERIA, S/PNEU)]],#REF!,'COMPARATIVO MECANICO MÊS'!I19)</f>
        <v>#REF!</v>
      </c>
      <c r="J20" s="1" t="e">
        <f>SUMIFS(Tabela4[[#This Row],[VALOR TOTAL(S/BATERIA, S/PNEU)]],#REF!,'COMPARATIVO MECANICO MÊS'!J19)</f>
        <v>#REF!</v>
      </c>
      <c r="K20" s="1" t="e">
        <f>SUMIFS(Tabela4[[#This Row],[VALOR TOTAL(S/BATERIA, S/PNEU)]],#REF!,'COMPARATIVO MECANICO MÊS'!L19)</f>
        <v>#REF!</v>
      </c>
      <c r="L20" s="1" t="e">
        <f>SUMIFS(Tabela4[[#This Row],[VALOR TOTAL(S/BATERIA, S/PNEU)]],#REF!,'COMPARATIVO MECANICO MÊS'!M19)</f>
        <v>#REF!</v>
      </c>
      <c r="M20" s="1" t="e">
        <f>SUMIFS(Tabela4[[#This Row],[VALOR TOTAL(S/BATERIA, S/PNEU)]],#REF!,'COMPARATIVO MECANICO MÊS'!N19)</f>
        <v>#REF!</v>
      </c>
    </row>
    <row r="21" spans="1:13" x14ac:dyDescent="0.25">
      <c r="A21" s="38" t="s">
        <v>3</v>
      </c>
      <c r="B21" s="1" t="e">
        <f>SUMIFS(#REF!,#REF!, 'COMPARATIVO MECANICO MÊS'!B19)</f>
        <v>#REF!</v>
      </c>
      <c r="C21" s="1" t="e">
        <f>SUMIFS(#REF!,#REF!, 'COMPARATIVO MECANICO MÊS'!C19)</f>
        <v>#REF!</v>
      </c>
      <c r="D21" s="1" t="e">
        <f>SUMIFS(#REF!,#REF!, 'COMPARATIVO MECANICO MÊS'!D19)</f>
        <v>#REF!</v>
      </c>
      <c r="E21" s="1" t="e">
        <f>SUMIFS(#REF!,#REF!, 'COMPARATIVO MECANICO MÊS'!E19)</f>
        <v>#REF!</v>
      </c>
      <c r="F21" s="1" t="e">
        <f>SUMIFS(#REF!,#REF!, 'COMPARATIVO MECANICO MÊS'!F19)</f>
        <v>#REF!</v>
      </c>
      <c r="G21" s="1" t="e">
        <f>SUMIFS(#REF!,#REF!, 'COMPARATIVO MECANICO MÊS'!G19)</f>
        <v>#REF!</v>
      </c>
      <c r="H21" s="1" t="e">
        <f>SUMIFS(#REF!,#REF!, 'COMPARATIVO MECANICO MÊS'!H19)</f>
        <v>#REF!</v>
      </c>
      <c r="I21" s="1" t="e">
        <f>SUMIFS(#REF!,#REF!, 'COMPARATIVO MECANICO MÊS'!I19)</f>
        <v>#REF!</v>
      </c>
      <c r="J21" s="1" t="e">
        <f>SUMIFS(#REF!,#REF!, 'COMPARATIVO MECANICO MÊS'!J19)</f>
        <v>#REF!</v>
      </c>
      <c r="K21" s="1" t="e">
        <f>SUMIFS(#REF!,#REF!, 'COMPARATIVO MECANICO MÊS'!K19)</f>
        <v>#REF!</v>
      </c>
      <c r="L21" s="1" t="e">
        <f>SUMIFS(#REF!,#REF!, 'COMPARATIVO MECANICO MÊS'!L19)</f>
        <v>#REF!</v>
      </c>
      <c r="M21" s="1" t="e">
        <f>SUMIFS(#REF!,#REF!, 'COMPARATIVO MECANICO MÊS'!M19)</f>
        <v>#REF!</v>
      </c>
    </row>
  </sheetData>
  <mergeCells count="1">
    <mergeCell ref="B1:M1"/>
  </mergeCells>
  <phoneticPr fontId="4" type="noConversion"/>
  <pageMargins left="0.511811024" right="0.511811024" top="0.78740157499999996" bottom="0.78740157499999996" header="0.31496062000000002" footer="0.31496062000000002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6240-7C95-4FFD-8935-477C0A518973}">
  <sheetPr codeName="Planilha12"/>
  <dimension ref="A1:Q71"/>
  <sheetViews>
    <sheetView workbookViewId="0">
      <selection activeCell="K3" sqref="K2:K3"/>
    </sheetView>
  </sheetViews>
  <sheetFormatPr defaultRowHeight="15" x14ac:dyDescent="0.25"/>
  <cols>
    <col min="15" max="15" width="34.28515625" bestFit="1" customWidth="1"/>
    <col min="16" max="17" width="12" bestFit="1" customWidth="1"/>
  </cols>
  <sheetData>
    <row r="1" spans="1:17" x14ac:dyDescent="0.25">
      <c r="A1" t="s">
        <v>22</v>
      </c>
      <c r="G1">
        <f>SUBTOTAL(3,G2:G71)</f>
        <v>70</v>
      </c>
      <c r="I1">
        <f t="shared" ref="I1" si="0">SUBTOTAL(3,I2:I71)</f>
        <v>34</v>
      </c>
      <c r="K1">
        <f>G1-I1</f>
        <v>36</v>
      </c>
      <c r="L1">
        <v>34</v>
      </c>
      <c r="O1" t="s">
        <v>1606</v>
      </c>
      <c r="P1" t="s">
        <v>1607</v>
      </c>
      <c r="Q1" t="s">
        <v>1608</v>
      </c>
    </row>
    <row r="2" spans="1:17" x14ac:dyDescent="0.25">
      <c r="B2" s="15" t="s">
        <v>633</v>
      </c>
      <c r="C2" s="16">
        <v>45293</v>
      </c>
      <c r="D2" s="15">
        <v>10023</v>
      </c>
      <c r="E2" s="15" t="s">
        <v>22</v>
      </c>
      <c r="G2" t="e">
        <v>#REF!</v>
      </c>
      <c r="I2" t="s">
        <v>633</v>
      </c>
      <c r="K2">
        <f>(K1/G1)*100</f>
        <v>51.428571428571423</v>
      </c>
      <c r="L2">
        <f>(L1/G1)*100</f>
        <v>48.571428571428569</v>
      </c>
      <c r="O2">
        <f>G1</f>
        <v>70</v>
      </c>
      <c r="P2">
        <f>K1</f>
        <v>36</v>
      </c>
      <c r="Q2">
        <f>L1</f>
        <v>34</v>
      </c>
    </row>
    <row r="3" spans="1:17" x14ac:dyDescent="0.25">
      <c r="B3" s="15" t="s">
        <v>634</v>
      </c>
      <c r="C3" s="16">
        <v>45293</v>
      </c>
      <c r="D3" s="15">
        <v>10151</v>
      </c>
      <c r="E3" s="15" t="s">
        <v>22</v>
      </c>
      <c r="G3" t="e">
        <v>#REF!</v>
      </c>
      <c r="P3">
        <f>(P2/O2)*100</f>
        <v>51.428571428571423</v>
      </c>
      <c r="Q3">
        <f>(Q2/O2)*100</f>
        <v>48.571428571428569</v>
      </c>
    </row>
    <row r="4" spans="1:17" x14ac:dyDescent="0.25">
      <c r="B4" s="15" t="s">
        <v>636</v>
      </c>
      <c r="C4" s="16">
        <v>45293</v>
      </c>
      <c r="D4" s="15">
        <v>10157</v>
      </c>
      <c r="E4" s="15" t="s">
        <v>22</v>
      </c>
      <c r="G4" t="e">
        <v>#REF!</v>
      </c>
    </row>
    <row r="5" spans="1:17" x14ac:dyDescent="0.25">
      <c r="B5" s="15" t="s">
        <v>213</v>
      </c>
      <c r="C5" s="16">
        <v>45293</v>
      </c>
      <c r="D5" s="15">
        <v>10164</v>
      </c>
      <c r="E5" s="15" t="s">
        <v>22</v>
      </c>
      <c r="G5" t="e">
        <v>#REF!</v>
      </c>
      <c r="I5" t="s">
        <v>213</v>
      </c>
    </row>
    <row r="6" spans="1:17" x14ac:dyDescent="0.25">
      <c r="B6" s="15" t="s">
        <v>643</v>
      </c>
      <c r="C6" s="16">
        <v>45293</v>
      </c>
      <c r="D6" s="15">
        <v>10169</v>
      </c>
      <c r="E6" s="15" t="s">
        <v>22</v>
      </c>
      <c r="G6" t="e">
        <v>#REF!</v>
      </c>
      <c r="I6" t="s">
        <v>643</v>
      </c>
    </row>
    <row r="7" spans="1:17" x14ac:dyDescent="0.25">
      <c r="B7" s="15" t="s">
        <v>644</v>
      </c>
      <c r="C7" s="16">
        <v>45293</v>
      </c>
      <c r="D7" s="15">
        <v>10170</v>
      </c>
      <c r="E7" s="15" t="s">
        <v>22</v>
      </c>
      <c r="G7" t="e">
        <v>#REF!</v>
      </c>
    </row>
    <row r="8" spans="1:17" x14ac:dyDescent="0.25">
      <c r="B8" s="15" t="s">
        <v>648</v>
      </c>
      <c r="C8" s="16">
        <v>45294</v>
      </c>
      <c r="D8" s="15">
        <v>10155</v>
      </c>
      <c r="E8" s="15" t="s">
        <v>22</v>
      </c>
      <c r="G8" t="e">
        <v>#REF!</v>
      </c>
    </row>
    <row r="9" spans="1:17" x14ac:dyDescent="0.25">
      <c r="B9" s="15" t="s">
        <v>649</v>
      </c>
      <c r="C9" s="16">
        <v>45294</v>
      </c>
      <c r="D9" s="15">
        <v>10159</v>
      </c>
      <c r="E9" s="15" t="s">
        <v>22</v>
      </c>
      <c r="G9" t="e">
        <v>#REF!</v>
      </c>
    </row>
    <row r="10" spans="1:17" x14ac:dyDescent="0.25">
      <c r="B10" s="15" t="s">
        <v>655</v>
      </c>
      <c r="C10" s="16">
        <v>45295</v>
      </c>
      <c r="D10" s="15">
        <v>10176</v>
      </c>
      <c r="E10" s="15" t="s">
        <v>22</v>
      </c>
      <c r="G10" t="e">
        <v>#REF!</v>
      </c>
      <c r="I10" t="s">
        <v>655</v>
      </c>
    </row>
    <row r="11" spans="1:17" x14ac:dyDescent="0.25">
      <c r="B11" s="15" t="s">
        <v>656</v>
      </c>
      <c r="C11" s="16">
        <v>45295</v>
      </c>
      <c r="D11" s="15">
        <v>10177</v>
      </c>
      <c r="E11" s="15" t="s">
        <v>22</v>
      </c>
      <c r="G11" t="e">
        <v>#REF!</v>
      </c>
    </row>
    <row r="12" spans="1:17" x14ac:dyDescent="0.25">
      <c r="B12" s="15" t="s">
        <v>657</v>
      </c>
      <c r="C12" s="16">
        <v>45295</v>
      </c>
      <c r="D12" s="15">
        <v>10178</v>
      </c>
      <c r="E12" s="15" t="s">
        <v>22</v>
      </c>
      <c r="G12" t="e">
        <v>#REF!</v>
      </c>
    </row>
    <row r="13" spans="1:17" x14ac:dyDescent="0.25">
      <c r="B13" s="15" t="s">
        <v>291</v>
      </c>
      <c r="C13" s="16">
        <v>45295</v>
      </c>
      <c r="D13" s="15">
        <v>10182</v>
      </c>
      <c r="E13" s="15" t="s">
        <v>22</v>
      </c>
      <c r="G13" t="e">
        <v>#REF!</v>
      </c>
      <c r="I13" t="s">
        <v>291</v>
      </c>
    </row>
    <row r="14" spans="1:17" x14ac:dyDescent="0.25">
      <c r="B14" s="15" t="s">
        <v>140</v>
      </c>
      <c r="C14" s="16">
        <v>45295</v>
      </c>
      <c r="D14" s="15">
        <v>10183</v>
      </c>
      <c r="E14" s="15" t="s">
        <v>22</v>
      </c>
      <c r="G14" t="e">
        <v>#REF!</v>
      </c>
    </row>
    <row r="15" spans="1:17" x14ac:dyDescent="0.25">
      <c r="B15" s="15" t="s">
        <v>103</v>
      </c>
      <c r="C15" s="16">
        <v>45295</v>
      </c>
      <c r="D15" s="15">
        <v>10186</v>
      </c>
      <c r="E15" s="15" t="s">
        <v>22</v>
      </c>
      <c r="G15" t="e">
        <v>#REF!</v>
      </c>
    </row>
    <row r="16" spans="1:17" x14ac:dyDescent="0.25">
      <c r="B16" s="15" t="s">
        <v>660</v>
      </c>
      <c r="C16" s="16">
        <v>45296</v>
      </c>
      <c r="D16" s="15">
        <v>10192</v>
      </c>
      <c r="E16" s="15" t="s">
        <v>22</v>
      </c>
      <c r="G16" t="e">
        <v>#REF!</v>
      </c>
      <c r="I16" t="s">
        <v>660</v>
      </c>
    </row>
    <row r="17" spans="1:14" x14ac:dyDescent="0.25">
      <c r="B17" s="15" t="s">
        <v>668</v>
      </c>
      <c r="C17" s="16">
        <v>45297</v>
      </c>
      <c r="D17" s="15">
        <v>10123</v>
      </c>
      <c r="E17" s="15" t="s">
        <v>22</v>
      </c>
      <c r="G17" t="e">
        <v>#REF!</v>
      </c>
      <c r="I17" t="s">
        <v>668</v>
      </c>
    </row>
    <row r="18" spans="1:14" x14ac:dyDescent="0.25">
      <c r="B18" s="15" t="s">
        <v>669</v>
      </c>
      <c r="C18" s="16">
        <v>45297</v>
      </c>
      <c r="D18" s="15">
        <v>10203</v>
      </c>
      <c r="E18" s="15" t="s">
        <v>22</v>
      </c>
      <c r="G18" t="e">
        <v>#REF!</v>
      </c>
    </row>
    <row r="19" spans="1:14" x14ac:dyDescent="0.25">
      <c r="A19" t="s">
        <v>1609</v>
      </c>
      <c r="B19" s="15" t="s">
        <v>1610</v>
      </c>
      <c r="C19" s="16">
        <v>45297</v>
      </c>
      <c r="D19" s="15">
        <v>10216</v>
      </c>
      <c r="E19" s="15" t="s">
        <v>22</v>
      </c>
      <c r="G19" t="e">
        <v>#REF!</v>
      </c>
    </row>
    <row r="20" spans="1:14" x14ac:dyDescent="0.25">
      <c r="B20" s="15" t="s">
        <v>674</v>
      </c>
      <c r="C20" s="16">
        <v>45297</v>
      </c>
      <c r="D20" s="15">
        <v>10212</v>
      </c>
      <c r="E20" s="15" t="s">
        <v>22</v>
      </c>
      <c r="G20" t="e">
        <v>#REF!</v>
      </c>
      <c r="I20" t="s">
        <v>674</v>
      </c>
    </row>
    <row r="21" spans="1:14" x14ac:dyDescent="0.25">
      <c r="B21" s="15" t="s">
        <v>675</v>
      </c>
      <c r="C21" s="16">
        <v>45299</v>
      </c>
      <c r="D21" s="15">
        <v>10221</v>
      </c>
      <c r="E21" s="15" t="s">
        <v>22</v>
      </c>
      <c r="G21" t="e">
        <v>#REF!</v>
      </c>
    </row>
    <row r="22" spans="1:14" x14ac:dyDescent="0.25">
      <c r="B22" s="15" t="s">
        <v>678</v>
      </c>
      <c r="C22" s="16">
        <v>45300</v>
      </c>
      <c r="D22" s="15">
        <v>10215</v>
      </c>
      <c r="E22" s="15" t="s">
        <v>22</v>
      </c>
      <c r="G22" t="e">
        <v>#REF!</v>
      </c>
    </row>
    <row r="23" spans="1:14" x14ac:dyDescent="0.25">
      <c r="B23" s="15" t="s">
        <v>680</v>
      </c>
      <c r="C23" s="16">
        <v>45300</v>
      </c>
      <c r="D23" s="15">
        <v>10234</v>
      </c>
      <c r="E23" s="15" t="s">
        <v>22</v>
      </c>
      <c r="G23" t="e">
        <v>#REF!</v>
      </c>
      <c r="I23" t="s">
        <v>680</v>
      </c>
    </row>
    <row r="24" spans="1:14" x14ac:dyDescent="0.25">
      <c r="B24" s="15" t="s">
        <v>103</v>
      </c>
      <c r="C24" s="16">
        <v>45300</v>
      </c>
      <c r="D24" s="15">
        <v>10238</v>
      </c>
      <c r="E24" s="15" t="s">
        <v>22</v>
      </c>
      <c r="G24" t="e">
        <v>#REF!</v>
      </c>
    </row>
    <row r="25" spans="1:14" x14ac:dyDescent="0.25">
      <c r="B25" s="15" t="s">
        <v>686</v>
      </c>
      <c r="C25" s="16">
        <v>45301</v>
      </c>
      <c r="D25" s="15">
        <v>10148</v>
      </c>
      <c r="E25" s="15" t="s">
        <v>22</v>
      </c>
      <c r="G25" t="e">
        <v>#REF!</v>
      </c>
      <c r="I25" t="s">
        <v>686</v>
      </c>
    </row>
    <row r="26" spans="1:14" x14ac:dyDescent="0.25">
      <c r="B26" s="15" t="s">
        <v>687</v>
      </c>
      <c r="C26" s="16">
        <v>45301</v>
      </c>
      <c r="D26" s="15">
        <v>10172</v>
      </c>
      <c r="E26" s="15" t="s">
        <v>22</v>
      </c>
      <c r="G26" t="e">
        <v>#REF!</v>
      </c>
    </row>
    <row r="27" spans="1:14" x14ac:dyDescent="0.25">
      <c r="B27" s="15" t="s">
        <v>688</v>
      </c>
      <c r="C27" s="16">
        <v>45301</v>
      </c>
      <c r="D27" s="15">
        <v>10224</v>
      </c>
      <c r="E27" s="15" t="s">
        <v>22</v>
      </c>
      <c r="G27" t="e">
        <v>#REF!</v>
      </c>
      <c r="I27" t="s">
        <v>688</v>
      </c>
      <c r="N27">
        <v>287</v>
      </c>
    </row>
    <row r="28" spans="1:14" x14ac:dyDescent="0.25">
      <c r="B28" s="15" t="s">
        <v>689</v>
      </c>
      <c r="C28" s="16">
        <v>45301</v>
      </c>
      <c r="D28" s="15">
        <v>10249</v>
      </c>
      <c r="E28" s="15" t="s">
        <v>22</v>
      </c>
      <c r="G28" t="e">
        <v>#REF!</v>
      </c>
      <c r="I28" t="s">
        <v>689</v>
      </c>
      <c r="N28">
        <v>36</v>
      </c>
    </row>
    <row r="29" spans="1:14" x14ac:dyDescent="0.25">
      <c r="B29" s="15" t="s">
        <v>257</v>
      </c>
      <c r="C29" s="16">
        <v>45301</v>
      </c>
      <c r="D29" s="15">
        <v>10250</v>
      </c>
      <c r="E29" s="15" t="s">
        <v>22</v>
      </c>
      <c r="G29" t="e">
        <v>#REF!</v>
      </c>
      <c r="N29">
        <f>N27-N28</f>
        <v>251</v>
      </c>
    </row>
    <row r="30" spans="1:14" x14ac:dyDescent="0.25">
      <c r="B30" s="15" t="s">
        <v>695</v>
      </c>
      <c r="C30" s="16">
        <v>45302</v>
      </c>
      <c r="D30" s="15">
        <v>10257</v>
      </c>
      <c r="E30" s="15" t="s">
        <v>22</v>
      </c>
      <c r="G30" t="e">
        <v>#REF!</v>
      </c>
      <c r="I30" t="s">
        <v>695</v>
      </c>
    </row>
    <row r="31" spans="1:14" x14ac:dyDescent="0.25">
      <c r="B31" s="15" t="s">
        <v>255</v>
      </c>
      <c r="C31" s="16">
        <v>45302</v>
      </c>
      <c r="D31" s="15">
        <v>10274</v>
      </c>
      <c r="E31" s="15" t="s">
        <v>22</v>
      </c>
      <c r="G31" t="e">
        <v>#REF!</v>
      </c>
      <c r="I31" t="s">
        <v>255</v>
      </c>
    </row>
    <row r="32" spans="1:14" x14ac:dyDescent="0.25">
      <c r="B32" s="15" t="s">
        <v>702</v>
      </c>
      <c r="C32" s="16">
        <v>45303</v>
      </c>
      <c r="D32" s="15">
        <v>10277</v>
      </c>
      <c r="E32" s="15" t="s">
        <v>22</v>
      </c>
      <c r="G32" t="e">
        <v>#REF!</v>
      </c>
      <c r="I32" t="s">
        <v>702</v>
      </c>
    </row>
    <row r="33" spans="2:9" x14ac:dyDescent="0.25">
      <c r="B33" s="15" t="s">
        <v>300</v>
      </c>
      <c r="C33" s="16">
        <v>45303</v>
      </c>
      <c r="D33" s="15">
        <v>10287</v>
      </c>
      <c r="E33" s="15" t="s">
        <v>22</v>
      </c>
      <c r="G33" t="e">
        <v>#REF!</v>
      </c>
      <c r="I33" t="s">
        <v>300</v>
      </c>
    </row>
    <row r="34" spans="2:9" x14ac:dyDescent="0.25">
      <c r="B34" s="15" t="s">
        <v>705</v>
      </c>
      <c r="C34" s="16">
        <v>45303</v>
      </c>
      <c r="D34" s="15">
        <v>10278</v>
      </c>
      <c r="E34" s="15" t="s">
        <v>22</v>
      </c>
      <c r="G34" t="e">
        <v>#REF!</v>
      </c>
      <c r="I34" t="s">
        <v>705</v>
      </c>
    </row>
    <row r="35" spans="2:9" x14ac:dyDescent="0.25">
      <c r="B35" s="15" t="s">
        <v>709</v>
      </c>
      <c r="C35" s="16">
        <v>45303</v>
      </c>
      <c r="D35" s="15">
        <v>10285</v>
      </c>
      <c r="E35" s="15" t="s">
        <v>22</v>
      </c>
      <c r="G35" t="e">
        <v>#REF!</v>
      </c>
      <c r="I35" t="s">
        <v>709</v>
      </c>
    </row>
    <row r="36" spans="2:9" x14ac:dyDescent="0.25">
      <c r="B36" s="15" t="s">
        <v>713</v>
      </c>
      <c r="C36" s="16">
        <v>45303</v>
      </c>
      <c r="D36" s="15">
        <v>10293</v>
      </c>
      <c r="E36" s="15" t="s">
        <v>22</v>
      </c>
      <c r="G36" t="e">
        <v>#REF!</v>
      </c>
      <c r="I36" t="s">
        <v>713</v>
      </c>
    </row>
    <row r="37" spans="2:9" x14ac:dyDescent="0.25">
      <c r="B37" s="15" t="s">
        <v>719</v>
      </c>
      <c r="C37" s="16">
        <v>45306</v>
      </c>
      <c r="D37" s="15">
        <v>10306</v>
      </c>
      <c r="E37" s="15" t="s">
        <v>22</v>
      </c>
      <c r="G37" t="e">
        <v>#REF!</v>
      </c>
    </row>
    <row r="38" spans="2:9" x14ac:dyDescent="0.25">
      <c r="B38" s="15" t="s">
        <v>724</v>
      </c>
      <c r="C38" s="16">
        <v>45307</v>
      </c>
      <c r="D38" s="15">
        <v>10300</v>
      </c>
      <c r="E38" s="15" t="s">
        <v>22</v>
      </c>
      <c r="G38" t="e">
        <v>#REF!</v>
      </c>
    </row>
    <row r="39" spans="2:9" x14ac:dyDescent="0.25">
      <c r="B39" s="15" t="s">
        <v>725</v>
      </c>
      <c r="C39" s="16">
        <v>45307</v>
      </c>
      <c r="D39" s="15">
        <v>10317</v>
      </c>
      <c r="E39" s="15" t="s">
        <v>22</v>
      </c>
      <c r="G39" t="e">
        <v>#REF!</v>
      </c>
    </row>
    <row r="40" spans="2:9" x14ac:dyDescent="0.25">
      <c r="B40" s="15" t="s">
        <v>729</v>
      </c>
      <c r="C40" s="16">
        <v>45307</v>
      </c>
      <c r="D40" s="15">
        <v>10321</v>
      </c>
      <c r="E40" s="15" t="s">
        <v>22</v>
      </c>
      <c r="G40" t="e">
        <v>#REF!</v>
      </c>
    </row>
    <row r="41" spans="2:9" x14ac:dyDescent="0.25">
      <c r="B41" s="15" t="s">
        <v>731</v>
      </c>
      <c r="C41" s="16">
        <v>45307</v>
      </c>
      <c r="D41" s="15">
        <v>10325</v>
      </c>
      <c r="E41" s="15" t="s">
        <v>22</v>
      </c>
      <c r="G41" t="e">
        <v>#REF!</v>
      </c>
    </row>
    <row r="42" spans="2:9" x14ac:dyDescent="0.25">
      <c r="B42" s="15" t="s">
        <v>733</v>
      </c>
      <c r="C42" s="16">
        <v>45307</v>
      </c>
      <c r="D42" s="15">
        <v>10328</v>
      </c>
      <c r="E42" s="15" t="s">
        <v>22</v>
      </c>
      <c r="G42" t="e">
        <v>#REF!</v>
      </c>
    </row>
    <row r="43" spans="2:9" x14ac:dyDescent="0.25">
      <c r="B43" s="15" t="s">
        <v>737</v>
      </c>
      <c r="C43" s="16">
        <v>45308</v>
      </c>
      <c r="D43" s="15">
        <v>10318</v>
      </c>
      <c r="E43" s="15" t="s">
        <v>22</v>
      </c>
      <c r="G43" t="e">
        <v>#REF!</v>
      </c>
      <c r="I43" t="s">
        <v>737</v>
      </c>
    </row>
    <row r="44" spans="2:9" x14ac:dyDescent="0.25">
      <c r="B44" s="15" t="s">
        <v>268</v>
      </c>
      <c r="C44" s="16">
        <v>45308</v>
      </c>
      <c r="D44" s="15">
        <v>10335</v>
      </c>
      <c r="E44" s="15" t="s">
        <v>22</v>
      </c>
      <c r="G44" t="e">
        <v>#REF!</v>
      </c>
    </row>
    <row r="45" spans="2:9" x14ac:dyDescent="0.25">
      <c r="B45" s="15" t="s">
        <v>740</v>
      </c>
      <c r="C45" s="16">
        <v>45309</v>
      </c>
      <c r="D45" s="15">
        <v>10334</v>
      </c>
      <c r="E45" s="15" t="s">
        <v>22</v>
      </c>
      <c r="G45" t="e">
        <v>#REF!</v>
      </c>
      <c r="I45" t="s">
        <v>740</v>
      </c>
    </row>
    <row r="46" spans="2:9" x14ac:dyDescent="0.25">
      <c r="B46" s="15" t="s">
        <v>741</v>
      </c>
      <c r="C46" s="16">
        <v>45309</v>
      </c>
      <c r="D46" s="15">
        <v>10352</v>
      </c>
      <c r="E46" s="15" t="s">
        <v>22</v>
      </c>
      <c r="G46" t="e">
        <v>#REF!</v>
      </c>
    </row>
    <row r="47" spans="2:9" x14ac:dyDescent="0.25">
      <c r="B47" s="15" t="s">
        <v>742</v>
      </c>
      <c r="C47" s="16">
        <v>45309</v>
      </c>
      <c r="D47" s="15">
        <v>10346</v>
      </c>
      <c r="E47" s="15" t="s">
        <v>22</v>
      </c>
      <c r="G47" t="e">
        <v>#REF!</v>
      </c>
      <c r="I47" t="s">
        <v>742</v>
      </c>
    </row>
    <row r="48" spans="2:9" x14ac:dyDescent="0.25">
      <c r="B48" s="15" t="s">
        <v>104</v>
      </c>
      <c r="C48" s="16">
        <v>45310</v>
      </c>
      <c r="D48" s="15">
        <v>10364</v>
      </c>
      <c r="E48" s="15" t="s">
        <v>22</v>
      </c>
      <c r="G48" t="e">
        <v>#REF!</v>
      </c>
    </row>
    <row r="49" spans="1:9" x14ac:dyDescent="0.25">
      <c r="B49" s="15" t="s">
        <v>751</v>
      </c>
      <c r="C49" s="16">
        <v>45311</v>
      </c>
      <c r="D49" s="15">
        <v>10370</v>
      </c>
      <c r="E49" s="15" t="s">
        <v>22</v>
      </c>
      <c r="G49" t="e">
        <v>#REF!</v>
      </c>
    </row>
    <row r="50" spans="1:9" x14ac:dyDescent="0.25">
      <c r="B50" s="15" t="s">
        <v>757</v>
      </c>
      <c r="C50" s="16">
        <v>45311</v>
      </c>
      <c r="D50" s="15">
        <v>10379</v>
      </c>
      <c r="E50" s="15" t="s">
        <v>22</v>
      </c>
      <c r="G50" t="e">
        <v>#REF!</v>
      </c>
    </row>
    <row r="51" spans="1:9" x14ac:dyDescent="0.25">
      <c r="A51" t="s">
        <v>1609</v>
      </c>
      <c r="B51" s="15" t="s">
        <v>542</v>
      </c>
      <c r="C51" s="16">
        <v>45313</v>
      </c>
      <c r="D51" s="15">
        <v>10336</v>
      </c>
      <c r="E51" s="15" t="s">
        <v>22</v>
      </c>
      <c r="G51" t="e">
        <v>#REF!</v>
      </c>
      <c r="I51" t="s">
        <v>542</v>
      </c>
    </row>
    <row r="52" spans="1:9" x14ac:dyDescent="0.25">
      <c r="B52" s="15" t="s">
        <v>758</v>
      </c>
      <c r="C52" s="16">
        <v>45313</v>
      </c>
      <c r="D52" s="15">
        <v>10373</v>
      </c>
      <c r="E52" s="15" t="s">
        <v>22</v>
      </c>
      <c r="G52" t="e">
        <v>#REF!</v>
      </c>
      <c r="I52" t="s">
        <v>758</v>
      </c>
    </row>
    <row r="53" spans="1:9" x14ac:dyDescent="0.25">
      <c r="A53" t="s">
        <v>1609</v>
      </c>
      <c r="B53" s="15" t="s">
        <v>765</v>
      </c>
      <c r="C53" s="16">
        <v>45314</v>
      </c>
      <c r="D53" s="15">
        <v>10406</v>
      </c>
      <c r="E53" s="15" t="s">
        <v>22</v>
      </c>
      <c r="G53" t="e">
        <v>#REF!</v>
      </c>
      <c r="I53" t="s">
        <v>765</v>
      </c>
    </row>
    <row r="54" spans="1:9" x14ac:dyDescent="0.25">
      <c r="B54" s="15" t="s">
        <v>757</v>
      </c>
      <c r="C54" s="16">
        <v>45314</v>
      </c>
      <c r="D54" s="15">
        <v>10407</v>
      </c>
      <c r="E54" s="15" t="s">
        <v>22</v>
      </c>
      <c r="G54" t="e">
        <v>#REF!</v>
      </c>
    </row>
    <row r="55" spans="1:9" x14ac:dyDescent="0.25">
      <c r="B55" s="15" t="s">
        <v>766</v>
      </c>
      <c r="C55" s="16">
        <v>45314</v>
      </c>
      <c r="D55" s="15">
        <v>10409</v>
      </c>
      <c r="E55" s="15" t="s">
        <v>22</v>
      </c>
      <c r="G55" t="e">
        <v>#REF!</v>
      </c>
    </row>
    <row r="56" spans="1:9" x14ac:dyDescent="0.25">
      <c r="B56" s="15" t="s">
        <v>330</v>
      </c>
      <c r="C56" s="16">
        <v>45315</v>
      </c>
      <c r="D56" s="15">
        <v>10415</v>
      </c>
      <c r="E56" s="15" t="s">
        <v>22</v>
      </c>
      <c r="G56" t="e">
        <v>#REF!</v>
      </c>
      <c r="H56" t="s">
        <v>1609</v>
      </c>
      <c r="I56" t="s">
        <v>330</v>
      </c>
    </row>
    <row r="57" spans="1:9" x14ac:dyDescent="0.25">
      <c r="B57" s="15" t="s">
        <v>776</v>
      </c>
      <c r="C57" s="16">
        <v>45317</v>
      </c>
      <c r="D57" s="15">
        <v>10419</v>
      </c>
      <c r="E57" s="15" t="s">
        <v>22</v>
      </c>
      <c r="G57" t="e">
        <v>#REF!</v>
      </c>
      <c r="I57" t="s">
        <v>776</v>
      </c>
    </row>
    <row r="58" spans="1:9" x14ac:dyDescent="0.25">
      <c r="B58" s="15" t="s">
        <v>782</v>
      </c>
      <c r="C58" s="16">
        <v>45318</v>
      </c>
      <c r="D58" s="15">
        <v>10428</v>
      </c>
      <c r="E58" s="15" t="s">
        <v>22</v>
      </c>
      <c r="G58" t="e">
        <v>#REF!</v>
      </c>
    </row>
    <row r="59" spans="1:9" x14ac:dyDescent="0.25">
      <c r="B59" s="15" t="s">
        <v>783</v>
      </c>
      <c r="C59" s="16">
        <v>45318</v>
      </c>
      <c r="D59" s="15">
        <v>10439</v>
      </c>
      <c r="E59" s="15" t="s">
        <v>22</v>
      </c>
      <c r="G59" t="e">
        <v>#REF!</v>
      </c>
      <c r="I59" t="s">
        <v>783</v>
      </c>
    </row>
    <row r="60" spans="1:9" x14ac:dyDescent="0.25">
      <c r="B60" s="15" t="s">
        <v>784</v>
      </c>
      <c r="C60" s="16">
        <v>45320</v>
      </c>
      <c r="D60" s="15">
        <v>10302</v>
      </c>
      <c r="E60" s="15" t="s">
        <v>22</v>
      </c>
      <c r="G60" t="e">
        <v>#REF!</v>
      </c>
      <c r="I60" t="s">
        <v>784</v>
      </c>
    </row>
    <row r="61" spans="1:9" x14ac:dyDescent="0.25">
      <c r="B61" s="15" t="s">
        <v>446</v>
      </c>
      <c r="C61" s="16">
        <v>45320</v>
      </c>
      <c r="D61" s="15">
        <v>10366</v>
      </c>
      <c r="E61" s="15" t="s">
        <v>22</v>
      </c>
      <c r="G61" t="e">
        <v>#REF!</v>
      </c>
      <c r="I61" t="s">
        <v>446</v>
      </c>
    </row>
    <row r="62" spans="1:9" x14ac:dyDescent="0.25">
      <c r="B62" s="15" t="s">
        <v>785</v>
      </c>
      <c r="C62" s="16">
        <v>45320</v>
      </c>
      <c r="D62" s="15">
        <v>10380</v>
      </c>
      <c r="E62" s="15" t="s">
        <v>22</v>
      </c>
      <c r="G62" t="e">
        <v>#REF!</v>
      </c>
    </row>
    <row r="63" spans="1:9" x14ac:dyDescent="0.25">
      <c r="B63" s="15" t="s">
        <v>787</v>
      </c>
      <c r="C63" s="16">
        <v>45320</v>
      </c>
      <c r="D63" s="15">
        <v>10443</v>
      </c>
      <c r="E63" s="15" t="s">
        <v>22</v>
      </c>
      <c r="G63" t="e">
        <v>#REF!</v>
      </c>
    </row>
    <row r="64" spans="1:9" x14ac:dyDescent="0.25">
      <c r="B64" s="15" t="s">
        <v>788</v>
      </c>
      <c r="C64" s="16">
        <v>45320</v>
      </c>
      <c r="D64" s="15">
        <v>10457</v>
      </c>
      <c r="E64" s="15" t="s">
        <v>22</v>
      </c>
      <c r="G64" t="e">
        <v>#REF!</v>
      </c>
    </row>
    <row r="65" spans="1:9" x14ac:dyDescent="0.25">
      <c r="B65" s="15" t="s">
        <v>797</v>
      </c>
      <c r="C65" s="16">
        <v>45321</v>
      </c>
      <c r="D65" s="15">
        <v>10446</v>
      </c>
      <c r="E65" s="15" t="s">
        <v>22</v>
      </c>
      <c r="G65" t="e">
        <v>#REF!</v>
      </c>
      <c r="I65" t="s">
        <v>797</v>
      </c>
    </row>
    <row r="66" spans="1:9" x14ac:dyDescent="0.25">
      <c r="B66" s="15" t="s">
        <v>365</v>
      </c>
      <c r="C66" s="16">
        <v>45321</v>
      </c>
      <c r="D66" s="15">
        <v>10464</v>
      </c>
      <c r="E66" s="15" t="s">
        <v>22</v>
      </c>
      <c r="G66" t="e">
        <v>#REF!</v>
      </c>
      <c r="I66" t="s">
        <v>365</v>
      </c>
    </row>
    <row r="67" spans="1:9" x14ac:dyDescent="0.25">
      <c r="B67" s="15" t="s">
        <v>799</v>
      </c>
      <c r="C67" s="16">
        <v>45321</v>
      </c>
      <c r="D67" s="15">
        <v>10471</v>
      </c>
      <c r="E67" s="15" t="s">
        <v>22</v>
      </c>
      <c r="G67" t="e">
        <v>#REF!</v>
      </c>
    </row>
    <row r="68" spans="1:9" x14ac:dyDescent="0.25">
      <c r="A68" t="s">
        <v>1609</v>
      </c>
      <c r="B68" s="15" t="s">
        <v>800</v>
      </c>
      <c r="C68" s="16">
        <v>45321</v>
      </c>
      <c r="D68" s="15">
        <v>10473</v>
      </c>
      <c r="E68" s="15" t="s">
        <v>22</v>
      </c>
      <c r="G68" t="e">
        <v>#REF!</v>
      </c>
      <c r="I68" t="s">
        <v>800</v>
      </c>
    </row>
    <row r="69" spans="1:9" x14ac:dyDescent="0.25">
      <c r="B69" s="15" t="s">
        <v>483</v>
      </c>
      <c r="C69" s="16">
        <v>45321</v>
      </c>
      <c r="D69" s="15">
        <v>10478</v>
      </c>
      <c r="E69" s="15" t="s">
        <v>22</v>
      </c>
      <c r="G69" t="e">
        <v>#REF!</v>
      </c>
      <c r="I69" t="s">
        <v>483</v>
      </c>
    </row>
    <row r="70" spans="1:9" x14ac:dyDescent="0.25">
      <c r="B70" s="15" t="s">
        <v>802</v>
      </c>
      <c r="C70" s="16">
        <v>45322</v>
      </c>
      <c r="D70" s="15">
        <v>10339</v>
      </c>
      <c r="E70" s="15" t="s">
        <v>22</v>
      </c>
      <c r="G70" t="e">
        <v>#REF!</v>
      </c>
    </row>
    <row r="71" spans="1:9" x14ac:dyDescent="0.25">
      <c r="B71" s="15" t="s">
        <v>556</v>
      </c>
      <c r="C71" s="16">
        <v>45322</v>
      </c>
      <c r="D71" s="15">
        <v>10489</v>
      </c>
      <c r="E71" s="15" t="s">
        <v>22</v>
      </c>
      <c r="G71" t="e">
        <v>#REF!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C13E-79D6-4000-AF46-61B0900A1440}">
  <sheetPr codeName="Planilha4"/>
  <dimension ref="A1:P374"/>
  <sheetViews>
    <sheetView workbookViewId="0">
      <selection activeCell="B11" sqref="B11"/>
    </sheetView>
  </sheetViews>
  <sheetFormatPr defaultRowHeight="15" x14ac:dyDescent="0.25"/>
  <cols>
    <col min="1" max="1" width="23.85546875" bestFit="1" customWidth="1"/>
    <col min="2" max="2" width="14.5703125" bestFit="1" customWidth="1"/>
    <col min="3" max="3" width="15.42578125" customWidth="1"/>
    <col min="4" max="9" width="14.5703125" bestFit="1" customWidth="1"/>
    <col min="10" max="10" width="15.28515625" customWidth="1"/>
    <col min="11" max="11" width="14.42578125" customWidth="1"/>
    <col min="12" max="12" width="16.5703125" customWidth="1"/>
    <col min="13" max="13" width="15.7109375" customWidth="1"/>
    <col min="16" max="16" width="15.85546875" bestFit="1" customWidth="1"/>
  </cols>
  <sheetData>
    <row r="1" spans="1:16" ht="18.75" x14ac:dyDescent="0.3">
      <c r="B1" s="140">
        <v>2022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</row>
    <row r="2" spans="1:16" ht="18.75" x14ac:dyDescent="0.3">
      <c r="A2" s="5" t="s">
        <v>1605</v>
      </c>
      <c r="B2" s="4" t="s">
        <v>600</v>
      </c>
      <c r="C2" s="4" t="s">
        <v>601</v>
      </c>
      <c r="D2" s="4" t="s">
        <v>602</v>
      </c>
      <c r="E2" s="4" t="s">
        <v>603</v>
      </c>
      <c r="F2" s="4" t="s">
        <v>604</v>
      </c>
      <c r="G2" s="4" t="s">
        <v>41</v>
      </c>
      <c r="H2" s="4" t="s">
        <v>1</v>
      </c>
      <c r="I2" s="4" t="s">
        <v>605</v>
      </c>
      <c r="J2" s="4" t="s">
        <v>606</v>
      </c>
      <c r="K2" s="4" t="s">
        <v>607</v>
      </c>
      <c r="L2" s="4" t="s">
        <v>608</v>
      </c>
      <c r="M2" s="4" t="s">
        <v>609</v>
      </c>
      <c r="O2" t="s">
        <v>1611</v>
      </c>
      <c r="P2" s="1" t="e">
        <v>#REF!</v>
      </c>
    </row>
    <row r="3" spans="1:16" x14ac:dyDescent="0.25">
      <c r="A3" s="2" t="s">
        <v>26</v>
      </c>
      <c r="B3" s="6" t="e">
        <v>#REF!</v>
      </c>
      <c r="C3" s="6" t="e">
        <v>#REF!</v>
      </c>
      <c r="D3" s="6" t="e">
        <v>#REF!</v>
      </c>
      <c r="E3" s="6" t="e">
        <v>#REF!</v>
      </c>
      <c r="F3" s="7" t="e">
        <v>#REF!</v>
      </c>
      <c r="G3" s="6" t="e">
        <v>#REF!</v>
      </c>
      <c r="H3" s="6" t="e">
        <v>#REF!</v>
      </c>
      <c r="I3" s="6" t="e">
        <v>#REF!</v>
      </c>
      <c r="J3" s="6" t="e">
        <v>#REF!</v>
      </c>
      <c r="K3" s="6" t="e">
        <v>#REF!</v>
      </c>
      <c r="L3" s="6" t="e">
        <v>#REF!</v>
      </c>
      <c r="M3" s="6" t="e">
        <v>#REF!</v>
      </c>
    </row>
    <row r="4" spans="1:16" x14ac:dyDescent="0.25">
      <c r="A4" s="2" t="s">
        <v>611</v>
      </c>
      <c r="B4" s="6" t="e">
        <v>#REF!</v>
      </c>
      <c r="C4" s="6" t="e">
        <v>#REF!</v>
      </c>
      <c r="D4" s="6" t="e">
        <v>#REF!</v>
      </c>
      <c r="E4" s="6" t="e">
        <v>#REF!</v>
      </c>
      <c r="F4" s="7" t="e">
        <v>#REF!</v>
      </c>
      <c r="G4" s="6" t="e">
        <v>#REF!</v>
      </c>
      <c r="H4" s="6" t="e">
        <v>#REF!</v>
      </c>
      <c r="I4" s="6" t="e">
        <v>#REF!</v>
      </c>
      <c r="J4" s="6" t="e">
        <v>#REF!</v>
      </c>
      <c r="K4" s="6" t="e">
        <v>#REF!</v>
      </c>
      <c r="L4" s="6" t="e">
        <v>#REF!</v>
      </c>
      <c r="M4" s="6" t="e">
        <v>#REF!</v>
      </c>
    </row>
    <row r="5" spans="1:16" x14ac:dyDescent="0.25">
      <c r="A5" s="2" t="s">
        <v>1612</v>
      </c>
      <c r="B5" s="6" t="e">
        <v>#REF!</v>
      </c>
      <c r="C5" s="6" t="e">
        <v>#REF!</v>
      </c>
      <c r="D5" s="6" t="e">
        <v>#REF!</v>
      </c>
      <c r="E5" s="6" t="e">
        <v>#REF!</v>
      </c>
      <c r="F5" s="7" t="e">
        <v>#REF!</v>
      </c>
      <c r="G5" s="6" t="e">
        <v>#REF!</v>
      </c>
      <c r="H5" s="6" t="e">
        <v>#REF!</v>
      </c>
      <c r="I5" s="6" t="e">
        <v>#REF!</v>
      </c>
      <c r="J5" s="6" t="e">
        <v>#REF!</v>
      </c>
      <c r="K5" s="6" t="e">
        <v>#REF!</v>
      </c>
      <c r="L5" s="6" t="e">
        <v>#REF!</v>
      </c>
      <c r="M5" s="6" t="e">
        <v>#REF!</v>
      </c>
    </row>
    <row r="6" spans="1:16" x14ac:dyDescent="0.25">
      <c r="A6" s="2" t="s">
        <v>1613</v>
      </c>
      <c r="B6" s="6" t="e">
        <v>#REF!</v>
      </c>
      <c r="C6" s="6" t="e">
        <v>#REF!</v>
      </c>
      <c r="D6" s="6" t="e">
        <v>#REF!</v>
      </c>
      <c r="E6" s="6" t="e">
        <v>#REF!</v>
      </c>
      <c r="F6" s="7" t="e">
        <v>#REF!</v>
      </c>
      <c r="G6" s="6" t="e">
        <v>#REF!</v>
      </c>
      <c r="H6" s="6" t="e">
        <v>#REF!</v>
      </c>
      <c r="I6" s="6" t="e">
        <v>#REF!</v>
      </c>
      <c r="J6" s="6" t="e">
        <v>#REF!</v>
      </c>
      <c r="K6" s="6" t="e">
        <v>#REF!</v>
      </c>
      <c r="L6" s="6" t="e">
        <v>#REF!</v>
      </c>
      <c r="M6" s="6" t="e">
        <v>#REF!</v>
      </c>
    </row>
    <row r="7" spans="1:16" x14ac:dyDescent="0.25">
      <c r="A7" s="2" t="s">
        <v>1614</v>
      </c>
      <c r="B7" s="6" t="e">
        <v>#REF!</v>
      </c>
      <c r="C7" s="6" t="e">
        <v>#REF!</v>
      </c>
      <c r="D7" s="6" t="e">
        <v>#REF!</v>
      </c>
      <c r="E7" s="6" t="e">
        <v>#REF!</v>
      </c>
      <c r="F7" s="7" t="e">
        <v>#REF!</v>
      </c>
      <c r="G7" s="6" t="e">
        <v>#REF!</v>
      </c>
      <c r="H7" s="6" t="e">
        <v>#REF!</v>
      </c>
      <c r="I7" s="6" t="e">
        <v>#REF!</v>
      </c>
      <c r="J7" s="6" t="e">
        <v>#REF!</v>
      </c>
      <c r="K7" s="6" t="e">
        <v>#REF!</v>
      </c>
      <c r="L7" s="6" t="e">
        <v>#REF!</v>
      </c>
      <c r="M7" s="6" t="e">
        <v>#REF!</v>
      </c>
    </row>
    <row r="8" spans="1:16" x14ac:dyDescent="0.25">
      <c r="A8" s="2" t="s">
        <v>596</v>
      </c>
      <c r="B8" s="6" t="e">
        <v>#REF!</v>
      </c>
      <c r="C8" s="6" t="e">
        <v>#REF!</v>
      </c>
      <c r="D8" s="6" t="e">
        <v>#REF!</v>
      </c>
      <c r="E8" s="6" t="e">
        <v>#REF!</v>
      </c>
      <c r="F8" s="7" t="e">
        <v>#REF!</v>
      </c>
      <c r="G8" s="6" t="e">
        <v>#REF!</v>
      </c>
      <c r="H8" s="6" t="e">
        <v>#REF!</v>
      </c>
      <c r="I8" s="6" t="e">
        <v>#REF!</v>
      </c>
      <c r="J8" s="6" t="e">
        <v>#REF!</v>
      </c>
      <c r="K8" s="6" t="e">
        <v>#REF!</v>
      </c>
      <c r="L8" s="6" t="e">
        <v>#REF!</v>
      </c>
      <c r="M8" s="6" t="e">
        <v>#REF!</v>
      </c>
    </row>
    <row r="9" spans="1:16" x14ac:dyDescent="0.25">
      <c r="A9" s="2" t="s">
        <v>1615</v>
      </c>
      <c r="B9" s="6" t="e">
        <v>#REF!</v>
      </c>
      <c r="C9" s="6" t="e">
        <v>#REF!</v>
      </c>
      <c r="D9" s="6" t="e">
        <v>#REF!</v>
      </c>
      <c r="E9" s="6" t="e">
        <v>#REF!</v>
      </c>
      <c r="F9" s="7" t="e">
        <v>#REF!</v>
      </c>
      <c r="G9" s="6" t="e">
        <v>#REF!</v>
      </c>
      <c r="H9" s="6" t="e">
        <v>#REF!</v>
      </c>
      <c r="I9" s="6" t="e">
        <v>#REF!</v>
      </c>
      <c r="J9" s="6" t="e">
        <v>#REF!</v>
      </c>
      <c r="K9" s="6" t="e">
        <v>#REF!</v>
      </c>
      <c r="L9" s="6" t="e">
        <v>#REF!</v>
      </c>
      <c r="M9" s="6" t="e">
        <v>#REF!</v>
      </c>
    </row>
    <row r="10" spans="1:16" x14ac:dyDescent="0.25">
      <c r="A10" s="2" t="s">
        <v>612</v>
      </c>
      <c r="B10" s="6" t="e">
        <v>#REF!</v>
      </c>
      <c r="C10" s="6" t="e">
        <v>#REF!</v>
      </c>
      <c r="D10" s="6" t="e">
        <v>#REF!</v>
      </c>
      <c r="E10" s="6" t="e">
        <v>#REF!</v>
      </c>
      <c r="F10" s="7" t="e">
        <v>#REF!</v>
      </c>
      <c r="G10" s="6" t="e">
        <v>#REF!</v>
      </c>
      <c r="H10" s="6" t="e">
        <v>#REF!</v>
      </c>
      <c r="I10" s="6" t="e">
        <v>#REF!</v>
      </c>
      <c r="J10" s="6" t="e">
        <v>#REF!</v>
      </c>
      <c r="K10" s="6" t="e">
        <v>#REF!</v>
      </c>
      <c r="L10" s="6" t="e">
        <v>#REF!</v>
      </c>
      <c r="M10" s="6" t="e">
        <v>#REF!</v>
      </c>
    </row>
    <row r="11" spans="1:16" x14ac:dyDescent="0.25">
      <c r="A11" s="2" t="s">
        <v>15</v>
      </c>
      <c r="B11" s="6" t="e">
        <v>#REF!</v>
      </c>
      <c r="C11" s="6" t="e">
        <v>#REF!</v>
      </c>
      <c r="D11" s="6" t="e">
        <v>#REF!</v>
      </c>
      <c r="E11" s="6" t="e">
        <v>#REF!</v>
      </c>
      <c r="F11" s="7" t="e">
        <v>#REF!</v>
      </c>
      <c r="G11" s="6" t="e">
        <v>#REF!</v>
      </c>
      <c r="H11" s="6" t="e">
        <v>#REF!</v>
      </c>
      <c r="I11" s="6" t="e">
        <v>#REF!</v>
      </c>
      <c r="J11" s="6" t="e">
        <v>#REF!</v>
      </c>
      <c r="K11" s="6" t="e">
        <v>#REF!</v>
      </c>
      <c r="L11" s="6" t="e">
        <v>#REF!</v>
      </c>
      <c r="M11" s="6" t="e">
        <v>#REF!</v>
      </c>
    </row>
    <row r="12" spans="1:16" x14ac:dyDescent="0.25">
      <c r="A12" s="2" t="s">
        <v>1616</v>
      </c>
      <c r="B12" s="6" t="e">
        <v>#REF!</v>
      </c>
      <c r="C12" s="6" t="e">
        <v>#REF!</v>
      </c>
      <c r="D12" s="6" t="e">
        <v>#REF!</v>
      </c>
      <c r="E12" s="6" t="e">
        <v>#REF!</v>
      </c>
      <c r="F12" s="7" t="e">
        <v>#REF!</v>
      </c>
      <c r="G12" s="6" t="e">
        <v>#REF!</v>
      </c>
      <c r="H12" s="6" t="e">
        <v>#REF!</v>
      </c>
      <c r="I12" s="6" t="e">
        <v>#REF!</v>
      </c>
      <c r="J12" s="6" t="e">
        <v>#REF!</v>
      </c>
      <c r="K12" s="6" t="e">
        <v>#REF!</v>
      </c>
      <c r="L12" s="6" t="e">
        <v>#REF!</v>
      </c>
      <c r="M12" s="6" t="e">
        <v>#REF!</v>
      </c>
    </row>
    <row r="13" spans="1:16" x14ac:dyDescent="0.25">
      <c r="A13" s="2" t="s">
        <v>11</v>
      </c>
      <c r="B13" s="6" t="e">
        <v>#REF!</v>
      </c>
      <c r="C13" s="6" t="e">
        <v>#REF!</v>
      </c>
      <c r="D13" s="6" t="e">
        <v>#REF!</v>
      </c>
      <c r="E13" s="6" t="e">
        <v>#REF!</v>
      </c>
      <c r="F13" s="7" t="e">
        <v>#REF!</v>
      </c>
      <c r="G13" s="6" t="e">
        <v>#REF!</v>
      </c>
      <c r="H13" s="6" t="e">
        <v>#REF!</v>
      </c>
      <c r="I13" s="6" t="e">
        <v>#REF!</v>
      </c>
      <c r="J13" s="6" t="e">
        <v>#REF!</v>
      </c>
      <c r="K13" s="6" t="e">
        <v>#REF!</v>
      </c>
      <c r="L13" s="6" t="e">
        <v>#REF!</v>
      </c>
      <c r="M13" s="6" t="e">
        <v>#REF!</v>
      </c>
    </row>
    <row r="14" spans="1:16" x14ac:dyDescent="0.25">
      <c r="A14" s="2" t="s">
        <v>1569</v>
      </c>
      <c r="B14" s="6" t="e">
        <v>#REF!</v>
      </c>
      <c r="C14" s="6" t="e">
        <v>#REF!</v>
      </c>
      <c r="D14" s="6" t="e">
        <v>#REF!</v>
      </c>
      <c r="E14" s="6" t="e">
        <v>#REF!</v>
      </c>
      <c r="F14" s="7" t="e">
        <v>#REF!</v>
      </c>
      <c r="G14" s="6" t="e">
        <v>#REF!</v>
      </c>
      <c r="H14" s="6" t="e">
        <v>#REF!</v>
      </c>
      <c r="I14" s="6" t="e">
        <v>#REF!</v>
      </c>
      <c r="J14" s="6" t="e">
        <v>#REF!</v>
      </c>
      <c r="K14" s="6" t="e">
        <v>#REF!</v>
      </c>
      <c r="L14" s="6" t="e">
        <v>#REF!</v>
      </c>
      <c r="M14" s="6" t="e">
        <v>#REF!</v>
      </c>
    </row>
    <row r="15" spans="1:16" x14ac:dyDescent="0.25">
      <c r="A15" s="2" t="s">
        <v>9</v>
      </c>
      <c r="B15" s="6" t="e">
        <v>#REF!</v>
      </c>
      <c r="C15" s="6" t="e">
        <v>#REF!</v>
      </c>
      <c r="D15" s="6" t="e">
        <v>#REF!</v>
      </c>
      <c r="E15" s="6" t="e">
        <v>#REF!</v>
      </c>
      <c r="F15" s="7" t="e">
        <v>#REF!</v>
      </c>
      <c r="G15" s="6" t="e">
        <v>#REF!</v>
      </c>
      <c r="H15" s="6" t="e">
        <v>#REF!</v>
      </c>
      <c r="I15" s="6" t="e">
        <v>#REF!</v>
      </c>
      <c r="J15" s="6" t="e">
        <v>#REF!</v>
      </c>
      <c r="K15" s="6" t="e">
        <v>#REF!</v>
      </c>
      <c r="L15" s="6" t="e">
        <v>#REF!</v>
      </c>
      <c r="M15" s="6" t="e">
        <v>#REF!</v>
      </c>
    </row>
    <row r="16" spans="1:16" x14ac:dyDescent="0.25">
      <c r="A16" s="2" t="s">
        <v>7</v>
      </c>
      <c r="B16" s="6" t="e">
        <v>#REF!</v>
      </c>
      <c r="C16" s="6" t="e">
        <v>#REF!</v>
      </c>
      <c r="D16" s="6" t="e">
        <v>#REF!</v>
      </c>
      <c r="E16" s="6" t="e">
        <v>#REF!</v>
      </c>
      <c r="F16" s="7" t="e">
        <v>#REF!</v>
      </c>
      <c r="G16" s="6" t="e">
        <v>#REF!</v>
      </c>
      <c r="H16" s="6" t="e">
        <v>#REF!</v>
      </c>
      <c r="I16" s="6" t="e">
        <v>#REF!</v>
      </c>
      <c r="J16" s="6" t="e">
        <v>#REF!</v>
      </c>
      <c r="K16" s="6" t="e">
        <v>#REF!</v>
      </c>
      <c r="L16" s="6" t="e">
        <v>#REF!</v>
      </c>
      <c r="M16" s="6" t="e">
        <v>#REF!</v>
      </c>
    </row>
    <row r="17" spans="1:13" x14ac:dyDescent="0.25">
      <c r="A17" s="2" t="s">
        <v>1617</v>
      </c>
      <c r="B17" s="6" t="e">
        <v>#REF!</v>
      </c>
      <c r="C17" s="6" t="e">
        <v>#REF!</v>
      </c>
      <c r="D17" s="6" t="e">
        <v>#REF!</v>
      </c>
      <c r="E17" s="6" t="e">
        <v>#REF!</v>
      </c>
      <c r="F17" s="7" t="e">
        <v>#REF!</v>
      </c>
      <c r="G17" s="6" t="e">
        <v>#REF!</v>
      </c>
      <c r="H17" s="6" t="e">
        <v>#REF!</v>
      </c>
      <c r="I17" s="6" t="e">
        <v>#REF!</v>
      </c>
      <c r="J17" s="6" t="e">
        <v>#REF!</v>
      </c>
      <c r="K17" s="6" t="e">
        <v>#REF!</v>
      </c>
      <c r="L17" s="6" t="e">
        <v>#REF!</v>
      </c>
      <c r="M17" s="6" t="e">
        <v>#REF!</v>
      </c>
    </row>
    <row r="18" spans="1:13" x14ac:dyDescent="0.25">
      <c r="A18" s="2" t="s">
        <v>5</v>
      </c>
      <c r="B18" s="6" t="e">
        <v>#REF!</v>
      </c>
      <c r="C18" s="6" t="e">
        <v>#REF!</v>
      </c>
      <c r="D18" s="6" t="e">
        <v>#REF!</v>
      </c>
      <c r="E18" s="6" t="e">
        <v>#REF!</v>
      </c>
      <c r="F18" s="7" t="e">
        <v>#REF!</v>
      </c>
      <c r="G18" s="6" t="e">
        <v>#REF!</v>
      </c>
      <c r="H18" s="6" t="e">
        <v>#REF!</v>
      </c>
      <c r="I18" s="6" t="e">
        <v>#REF!</v>
      </c>
      <c r="J18" s="6" t="e">
        <v>#REF!</v>
      </c>
      <c r="K18" s="6" t="e">
        <v>#REF!</v>
      </c>
      <c r="L18" s="6" t="e">
        <v>#REF!</v>
      </c>
      <c r="M18" s="6" t="e">
        <v>#REF!</v>
      </c>
    </row>
    <row r="19" spans="1:13" x14ac:dyDescent="0.25">
      <c r="A19" s="2" t="s">
        <v>1618</v>
      </c>
      <c r="B19" s="6" t="e">
        <v>#REF!</v>
      </c>
      <c r="C19" s="6" t="e">
        <v>#REF!</v>
      </c>
      <c r="D19" s="6" t="e">
        <v>#REF!</v>
      </c>
      <c r="E19" s="6" t="e">
        <v>#REF!</v>
      </c>
      <c r="F19" s="7" t="e">
        <v>#REF!</v>
      </c>
      <c r="G19" s="6" t="e">
        <v>#REF!</v>
      </c>
      <c r="H19" s="6" t="e">
        <v>#REF!</v>
      </c>
      <c r="I19" s="6" t="e">
        <v>#REF!</v>
      </c>
      <c r="J19" s="6" t="e">
        <v>#REF!</v>
      </c>
      <c r="K19" s="6" t="e">
        <v>#REF!</v>
      </c>
      <c r="L19" s="6" t="e">
        <v>#REF!</v>
      </c>
      <c r="M19" s="6" t="e">
        <v>#REF!</v>
      </c>
    </row>
    <row r="20" spans="1:13" x14ac:dyDescent="0.25">
      <c r="A20" s="3" t="s">
        <v>613</v>
      </c>
      <c r="B20" s="6" t="e">
        <v>#REF!</v>
      </c>
      <c r="C20" s="6" t="e">
        <v>#REF!</v>
      </c>
      <c r="D20" s="6" t="e">
        <v>#REF!</v>
      </c>
      <c r="E20" s="6" t="e">
        <v>#REF!</v>
      </c>
      <c r="F20" s="7" t="e">
        <v>#REF!</v>
      </c>
      <c r="G20" s="6" t="e">
        <v>#REF!</v>
      </c>
      <c r="H20" s="6" t="e">
        <v>#REF!</v>
      </c>
      <c r="I20" s="6" t="e">
        <v>#REF!</v>
      </c>
      <c r="J20" s="6" t="e">
        <v>#REF!</v>
      </c>
      <c r="K20" s="6" t="e">
        <v>#REF!</v>
      </c>
      <c r="L20" s="6" t="e">
        <v>#REF!</v>
      </c>
      <c r="M20" s="6" t="e">
        <v>#REF!</v>
      </c>
    </row>
    <row r="21" spans="1:13" x14ac:dyDescent="0.25">
      <c r="A21" s="2" t="s">
        <v>1619</v>
      </c>
      <c r="B21" s="6" t="e">
        <v>#REF!</v>
      </c>
      <c r="C21" s="6" t="e">
        <v>#REF!</v>
      </c>
      <c r="D21" s="6" t="e">
        <v>#REF!</v>
      </c>
      <c r="E21" s="6" t="e">
        <v>#REF!</v>
      </c>
      <c r="F21" s="7" t="e">
        <v>#REF!</v>
      </c>
      <c r="G21" s="6" t="e">
        <v>#REF!</v>
      </c>
      <c r="H21" s="6" t="e">
        <v>#REF!</v>
      </c>
      <c r="I21" s="6" t="e">
        <v>#REF!</v>
      </c>
      <c r="J21" s="6" t="e">
        <v>#REF!</v>
      </c>
      <c r="K21" s="6" t="e">
        <v>#REF!</v>
      </c>
      <c r="L21" s="6" t="e">
        <v>#REF!</v>
      </c>
      <c r="M21" s="6" t="e">
        <v>#REF!</v>
      </c>
    </row>
    <row r="22" spans="1:13" x14ac:dyDescent="0.25">
      <c r="A22" s="2" t="s">
        <v>6</v>
      </c>
      <c r="B22" s="6" t="e">
        <v>#REF!</v>
      </c>
      <c r="C22" s="6" t="e">
        <v>#REF!</v>
      </c>
      <c r="D22" s="6" t="e">
        <v>#REF!</v>
      </c>
      <c r="E22" s="6" t="e">
        <v>#REF!</v>
      </c>
      <c r="F22" s="7" t="e">
        <v>#REF!</v>
      </c>
      <c r="G22" s="6" t="e">
        <v>#REF!</v>
      </c>
      <c r="H22" s="6" t="e">
        <v>#REF!</v>
      </c>
      <c r="I22" s="6" t="e">
        <v>#REF!</v>
      </c>
      <c r="J22" s="6" t="e">
        <v>#REF!</v>
      </c>
      <c r="K22" s="6" t="e">
        <v>#REF!</v>
      </c>
      <c r="L22" s="6" t="e">
        <v>#REF!</v>
      </c>
      <c r="M22" s="6" t="e">
        <v>#REF!</v>
      </c>
    </row>
    <row r="23" spans="1:13" x14ac:dyDescent="0.25">
      <c r="A23" s="2" t="s">
        <v>610</v>
      </c>
      <c r="B23" s="6" t="e">
        <v>#REF!</v>
      </c>
      <c r="C23" s="6" t="e">
        <v>#REF!</v>
      </c>
      <c r="D23" s="6" t="e">
        <v>#REF!</v>
      </c>
      <c r="E23" s="6" t="e">
        <v>#REF!</v>
      </c>
      <c r="F23" s="7" t="e">
        <v>#REF!</v>
      </c>
      <c r="G23" s="6" t="e">
        <v>#REF!</v>
      </c>
      <c r="H23" s="6" t="e">
        <v>#REF!</v>
      </c>
      <c r="I23" s="6" t="e">
        <v>#REF!</v>
      </c>
      <c r="J23" s="6" t="e">
        <v>#REF!</v>
      </c>
      <c r="K23" s="6" t="e">
        <v>#REF!</v>
      </c>
      <c r="L23" s="6" t="e">
        <v>#REF!</v>
      </c>
      <c r="M23" s="6" t="e">
        <v>#REF!</v>
      </c>
    </row>
    <row r="24" spans="1:13" x14ac:dyDescent="0.25">
      <c r="A24" s="2" t="s">
        <v>1620</v>
      </c>
      <c r="B24" s="6" t="e">
        <v>#REF!</v>
      </c>
      <c r="C24" s="6" t="e">
        <v>#REF!</v>
      </c>
      <c r="D24" s="6" t="e">
        <v>#REF!</v>
      </c>
      <c r="E24" s="6" t="e">
        <v>#REF!</v>
      </c>
      <c r="F24" s="7" t="e">
        <v>#REF!</v>
      </c>
      <c r="G24" s="6" t="e">
        <v>#REF!</v>
      </c>
      <c r="H24" s="6" t="e">
        <v>#REF!</v>
      </c>
      <c r="I24" s="6" t="e">
        <v>#REF!</v>
      </c>
      <c r="J24" s="6" t="e">
        <v>#REF!</v>
      </c>
      <c r="K24" s="6" t="e">
        <v>#REF!</v>
      </c>
      <c r="L24" s="6" t="e">
        <v>#REF!</v>
      </c>
      <c r="M24" s="6" t="e">
        <v>#REF!</v>
      </c>
    </row>
    <row r="25" spans="1:13" x14ac:dyDescent="0.25">
      <c r="A25" s="2" t="s">
        <v>40</v>
      </c>
      <c r="B25" s="6" t="e">
        <v>#REF!</v>
      </c>
      <c r="C25" s="6" t="e">
        <v>#REF!</v>
      </c>
      <c r="D25" s="6" t="e">
        <v>#REF!</v>
      </c>
      <c r="E25" s="6" t="e">
        <v>#REF!</v>
      </c>
      <c r="F25" s="7" t="e">
        <v>#REF!</v>
      </c>
      <c r="G25" s="6" t="e">
        <v>#REF!</v>
      </c>
      <c r="H25" s="6" t="e">
        <v>#REF!</v>
      </c>
      <c r="I25" s="6" t="e">
        <v>#REF!</v>
      </c>
      <c r="J25" s="6" t="e">
        <v>#REF!</v>
      </c>
      <c r="K25" s="6" t="e">
        <v>#REF!</v>
      </c>
      <c r="L25" s="6" t="e">
        <v>#REF!</v>
      </c>
      <c r="M25" s="6" t="e">
        <v>#REF!</v>
      </c>
    </row>
    <row r="26" spans="1:13" x14ac:dyDescent="0.25">
      <c r="A26" s="2" t="s">
        <v>23</v>
      </c>
      <c r="B26" s="6" t="e">
        <v>#REF!</v>
      </c>
      <c r="C26" s="6" t="e">
        <v>#REF!</v>
      </c>
      <c r="D26" s="6" t="e">
        <v>#REF!</v>
      </c>
      <c r="E26" s="6" t="e">
        <v>#REF!</v>
      </c>
      <c r="F26" s="7" t="e">
        <v>#REF!</v>
      </c>
      <c r="G26" s="6" t="e">
        <v>#REF!</v>
      </c>
      <c r="H26" s="6" t="e">
        <v>#REF!</v>
      </c>
      <c r="I26" s="6" t="e">
        <v>#REF!</v>
      </c>
      <c r="J26" s="6" t="e">
        <v>#REF!</v>
      </c>
      <c r="K26" s="6" t="e">
        <v>#REF!</v>
      </c>
      <c r="L26" s="6" t="e">
        <v>#REF!</v>
      </c>
      <c r="M26" s="6" t="e">
        <v>#REF!</v>
      </c>
    </row>
    <row r="27" spans="1:13" x14ac:dyDescent="0.25">
      <c r="A27" s="2" t="s">
        <v>1621</v>
      </c>
      <c r="B27" s="6" t="e">
        <v>#REF!</v>
      </c>
      <c r="C27" s="6" t="e">
        <v>#REF!</v>
      </c>
      <c r="D27" s="6" t="e">
        <v>#REF!</v>
      </c>
      <c r="E27" s="6" t="e">
        <v>#REF!</v>
      </c>
      <c r="F27" s="7" t="e">
        <v>#REF!</v>
      </c>
      <c r="G27" s="6" t="e">
        <v>#REF!</v>
      </c>
      <c r="H27" s="6" t="e">
        <v>#REF!</v>
      </c>
      <c r="I27" s="6" t="e">
        <v>#REF!</v>
      </c>
      <c r="J27" s="6" t="e">
        <v>#REF!</v>
      </c>
      <c r="K27" s="6" t="e">
        <v>#REF!</v>
      </c>
      <c r="L27" s="6" t="e">
        <v>#REF!</v>
      </c>
      <c r="M27" s="6" t="e">
        <v>#REF!</v>
      </c>
    </row>
    <row r="28" spans="1:13" x14ac:dyDescent="0.25">
      <c r="A28" s="2" t="s">
        <v>1622</v>
      </c>
      <c r="B28" s="6" t="e">
        <v>#REF!</v>
      </c>
      <c r="C28" s="6" t="e">
        <v>#REF!</v>
      </c>
      <c r="D28" s="6" t="e">
        <v>#REF!</v>
      </c>
      <c r="E28" s="6" t="e">
        <v>#REF!</v>
      </c>
      <c r="F28" s="7" t="e">
        <v>#REF!</v>
      </c>
      <c r="G28" s="6" t="e">
        <v>#REF!</v>
      </c>
      <c r="H28" s="6" t="e">
        <v>#REF!</v>
      </c>
      <c r="I28" s="6" t="e">
        <v>#REF!</v>
      </c>
      <c r="J28" s="6" t="e">
        <v>#REF!</v>
      </c>
      <c r="K28" s="6" t="e">
        <v>#REF!</v>
      </c>
      <c r="L28" s="6" t="e">
        <v>#REF!</v>
      </c>
      <c r="M28" s="6" t="e">
        <v>#REF!</v>
      </c>
    </row>
    <row r="29" spans="1:13" x14ac:dyDescent="0.25">
      <c r="A29" s="2" t="s">
        <v>1623</v>
      </c>
      <c r="B29" s="6" t="e">
        <v>#REF!</v>
      </c>
      <c r="C29" s="6" t="e">
        <v>#REF!</v>
      </c>
      <c r="D29" s="6" t="e">
        <v>#REF!</v>
      </c>
      <c r="E29" s="6" t="e">
        <v>#REF!</v>
      </c>
      <c r="F29" s="7" t="e">
        <v>#REF!</v>
      </c>
      <c r="G29" s="6" t="e">
        <v>#REF!</v>
      </c>
      <c r="H29" s="6" t="e">
        <v>#REF!</v>
      </c>
      <c r="I29" s="6" t="e">
        <v>#REF!</v>
      </c>
      <c r="J29" s="6" t="e">
        <v>#REF!</v>
      </c>
      <c r="K29" s="6" t="e">
        <v>#REF!</v>
      </c>
      <c r="L29" s="6" t="e">
        <v>#REF!</v>
      </c>
      <c r="M29" s="6" t="e">
        <v>#REF!</v>
      </c>
    </row>
    <row r="30" spans="1:13" x14ac:dyDescent="0.25">
      <c r="A30" s="2" t="s">
        <v>1624</v>
      </c>
      <c r="B30" s="6" t="e">
        <v>#REF!</v>
      </c>
      <c r="C30" s="6" t="e">
        <v>#REF!</v>
      </c>
      <c r="D30" s="6" t="e">
        <v>#REF!</v>
      </c>
      <c r="E30" s="6" t="e">
        <v>#REF!</v>
      </c>
      <c r="F30" s="7" t="e">
        <v>#REF!</v>
      </c>
      <c r="G30" s="6" t="e">
        <v>#REF!</v>
      </c>
      <c r="H30" s="6" t="e">
        <v>#REF!</v>
      </c>
      <c r="I30" s="6" t="e">
        <v>#REF!</v>
      </c>
      <c r="J30" s="6" t="e">
        <v>#REF!</v>
      </c>
      <c r="K30" s="6" t="e">
        <v>#REF!</v>
      </c>
      <c r="L30" s="6" t="e">
        <v>#REF!</v>
      </c>
      <c r="M30" s="6" t="e">
        <v>#REF!</v>
      </c>
    </row>
    <row r="31" spans="1:13" x14ac:dyDescent="0.25">
      <c r="A31" s="2" t="s">
        <v>1625</v>
      </c>
      <c r="B31" s="6" t="e">
        <v>#REF!</v>
      </c>
      <c r="C31" s="6" t="e">
        <v>#REF!</v>
      </c>
      <c r="D31" s="6" t="e">
        <v>#REF!</v>
      </c>
      <c r="E31" s="6" t="e">
        <v>#REF!</v>
      </c>
      <c r="F31" s="7" t="e">
        <v>#REF!</v>
      </c>
      <c r="G31" s="6" t="e">
        <v>#REF!</v>
      </c>
      <c r="H31" s="6" t="e">
        <v>#REF!</v>
      </c>
      <c r="I31" s="6" t="e">
        <v>#REF!</v>
      </c>
      <c r="J31" s="6" t="e">
        <v>#REF!</v>
      </c>
      <c r="K31" s="6" t="e">
        <v>#REF!</v>
      </c>
      <c r="L31" s="6" t="e">
        <v>#REF!</v>
      </c>
      <c r="M31" s="6" t="e">
        <v>#REF!</v>
      </c>
    </row>
    <row r="32" spans="1:13" x14ac:dyDescent="0.25">
      <c r="A32" s="2" t="s">
        <v>1626</v>
      </c>
      <c r="B32" s="6" t="e">
        <v>#REF!</v>
      </c>
      <c r="C32" s="6" t="e">
        <v>#REF!</v>
      </c>
      <c r="D32" s="6" t="e">
        <v>#REF!</v>
      </c>
      <c r="E32" s="6" t="e">
        <v>#REF!</v>
      </c>
      <c r="F32" s="7" t="e">
        <v>#REF!</v>
      </c>
      <c r="G32" s="6" t="e">
        <v>#REF!</v>
      </c>
      <c r="H32" s="6" t="e">
        <v>#REF!</v>
      </c>
      <c r="I32" s="6" t="e">
        <v>#REF!</v>
      </c>
      <c r="J32" s="6" t="e">
        <v>#REF!</v>
      </c>
      <c r="K32" s="6" t="e">
        <v>#REF!</v>
      </c>
      <c r="L32" s="6" t="e">
        <v>#REF!</v>
      </c>
      <c r="M32" s="6" t="e">
        <v>#REF!</v>
      </c>
    </row>
    <row r="33" spans="1:13" x14ac:dyDescent="0.25">
      <c r="A33" s="2" t="s">
        <v>29</v>
      </c>
      <c r="B33" s="6" t="e">
        <v>#REF!</v>
      </c>
      <c r="C33" s="6" t="e">
        <v>#REF!</v>
      </c>
      <c r="D33" s="6" t="e">
        <v>#REF!</v>
      </c>
      <c r="E33" s="6" t="e">
        <v>#REF!</v>
      </c>
      <c r="F33" s="7" t="e">
        <v>#REF!</v>
      </c>
      <c r="G33" s="6" t="e">
        <v>#REF!</v>
      </c>
      <c r="H33" s="6" t="e">
        <v>#REF!</v>
      </c>
      <c r="I33" s="6" t="e">
        <v>#REF!</v>
      </c>
      <c r="J33" s="6" t="e">
        <v>#REF!</v>
      </c>
      <c r="K33" s="6" t="e">
        <v>#REF!</v>
      </c>
      <c r="L33" s="6" t="e">
        <v>#REF!</v>
      </c>
      <c r="M33" s="6" t="e">
        <v>#REF!</v>
      </c>
    </row>
    <row r="34" spans="1:13" x14ac:dyDescent="0.25">
      <c r="A34" s="2" t="s">
        <v>1627</v>
      </c>
      <c r="B34" s="6" t="e">
        <v>#REF!</v>
      </c>
      <c r="C34" s="6" t="e">
        <v>#REF!</v>
      </c>
      <c r="D34" s="6" t="e">
        <v>#REF!</v>
      </c>
      <c r="E34" s="6" t="e">
        <v>#REF!</v>
      </c>
      <c r="F34" s="7" t="e">
        <v>#REF!</v>
      </c>
      <c r="G34" s="6" t="e">
        <v>#REF!</v>
      </c>
      <c r="H34" s="6" t="e">
        <v>#REF!</v>
      </c>
      <c r="I34" s="6" t="e">
        <v>#REF!</v>
      </c>
      <c r="J34" s="6" t="e">
        <v>#REF!</v>
      </c>
      <c r="K34" s="6" t="e">
        <v>#REF!</v>
      </c>
      <c r="L34" s="6" t="e">
        <v>#REF!</v>
      </c>
      <c r="M34" s="6" t="e">
        <v>#REF!</v>
      </c>
    </row>
    <row r="35" spans="1:13" x14ac:dyDescent="0.25">
      <c r="A35" s="2" t="s">
        <v>1628</v>
      </c>
      <c r="B35" s="6" t="e">
        <v>#REF!</v>
      </c>
      <c r="C35" s="6" t="e">
        <v>#REF!</v>
      </c>
      <c r="D35" s="6" t="e">
        <v>#REF!</v>
      </c>
      <c r="E35" s="6" t="e">
        <v>#REF!</v>
      </c>
      <c r="F35" s="7" t="e">
        <v>#REF!</v>
      </c>
      <c r="G35" s="6" t="e">
        <v>#REF!</v>
      </c>
      <c r="H35" s="6" t="e">
        <v>#REF!</v>
      </c>
      <c r="I35" s="6" t="e">
        <v>#REF!</v>
      </c>
      <c r="J35" s="6" t="e">
        <v>#REF!</v>
      </c>
      <c r="K35" s="6" t="e">
        <v>#REF!</v>
      </c>
      <c r="L35" s="6" t="e">
        <v>#REF!</v>
      </c>
      <c r="M35" s="6" t="e">
        <v>#REF!</v>
      </c>
    </row>
    <row r="36" spans="1:13" x14ac:dyDescent="0.25">
      <c r="A36" s="2" t="s">
        <v>1629</v>
      </c>
      <c r="B36" s="6" t="e">
        <v>#REF!</v>
      </c>
      <c r="C36" s="6" t="e">
        <v>#REF!</v>
      </c>
      <c r="D36" s="6" t="e">
        <v>#REF!</v>
      </c>
      <c r="E36" s="6" t="e">
        <v>#REF!</v>
      </c>
      <c r="F36" s="7" t="e">
        <v>#REF!</v>
      </c>
      <c r="G36" s="6" t="e">
        <v>#REF!</v>
      </c>
      <c r="H36" s="6" t="e">
        <v>#REF!</v>
      </c>
      <c r="I36" s="6" t="e">
        <v>#REF!</v>
      </c>
      <c r="J36" s="6" t="e">
        <v>#REF!</v>
      </c>
      <c r="K36" s="6" t="e">
        <v>#REF!</v>
      </c>
      <c r="L36" s="6" t="e">
        <v>#REF!</v>
      </c>
      <c r="M36" s="6" t="e">
        <v>#REF!</v>
      </c>
    </row>
    <row r="37" spans="1:13" x14ac:dyDescent="0.25">
      <c r="A37" s="2" t="s">
        <v>1630</v>
      </c>
      <c r="B37" s="6" t="e">
        <v>#REF!</v>
      </c>
      <c r="C37" s="6" t="e">
        <v>#REF!</v>
      </c>
      <c r="D37" s="6" t="e">
        <v>#REF!</v>
      </c>
      <c r="E37" s="6" t="e">
        <v>#REF!</v>
      </c>
      <c r="F37" s="7" t="e">
        <v>#REF!</v>
      </c>
      <c r="G37" s="6" t="e">
        <v>#REF!</v>
      </c>
      <c r="H37" s="6" t="e">
        <v>#REF!</v>
      </c>
      <c r="I37" s="6" t="e">
        <v>#REF!</v>
      </c>
      <c r="J37" s="6" t="e">
        <v>#REF!</v>
      </c>
      <c r="K37" s="6" t="e">
        <v>#REF!</v>
      </c>
      <c r="L37" s="6" t="e">
        <v>#REF!</v>
      </c>
      <c r="M37" s="6" t="e">
        <v>#REF!</v>
      </c>
    </row>
    <row r="38" spans="1:13" x14ac:dyDescent="0.25">
      <c r="A38" s="2" t="s">
        <v>12</v>
      </c>
      <c r="B38" s="6" t="e">
        <v>#REF!</v>
      </c>
      <c r="C38" s="6" t="e">
        <v>#REF!</v>
      </c>
      <c r="D38" s="6" t="e">
        <v>#REF!</v>
      </c>
      <c r="E38" s="6" t="e">
        <v>#REF!</v>
      </c>
      <c r="F38" s="7" t="e">
        <v>#REF!</v>
      </c>
      <c r="G38" s="6" t="e">
        <v>#REF!</v>
      </c>
      <c r="H38" s="6" t="e">
        <v>#REF!</v>
      </c>
      <c r="I38" s="6" t="e">
        <v>#REF!</v>
      </c>
      <c r="J38" s="6" t="e">
        <v>#REF!</v>
      </c>
      <c r="K38" s="6" t="e">
        <v>#REF!</v>
      </c>
      <c r="L38" s="6" t="e">
        <v>#REF!</v>
      </c>
      <c r="M38" s="6" t="e">
        <v>#REF!</v>
      </c>
    </row>
    <row r="39" spans="1:13" x14ac:dyDescent="0.25">
      <c r="A39" s="2" t="s">
        <v>1631</v>
      </c>
      <c r="B39" s="6" t="e">
        <v>#REF!</v>
      </c>
      <c r="C39" s="6" t="e">
        <v>#REF!</v>
      </c>
      <c r="D39" s="6" t="e">
        <v>#REF!</v>
      </c>
      <c r="E39" s="6" t="e">
        <v>#REF!</v>
      </c>
      <c r="F39" s="7" t="e">
        <v>#REF!</v>
      </c>
      <c r="G39" s="6" t="e">
        <v>#REF!</v>
      </c>
      <c r="H39" s="6" t="e">
        <v>#REF!</v>
      </c>
      <c r="I39" s="6" t="e">
        <v>#REF!</v>
      </c>
      <c r="J39" s="6" t="e">
        <v>#REF!</v>
      </c>
      <c r="K39" s="6" t="e">
        <v>#REF!</v>
      </c>
      <c r="L39" s="6" t="e">
        <v>#REF!</v>
      </c>
      <c r="M39" s="6" t="e">
        <v>#REF!</v>
      </c>
    </row>
    <row r="40" spans="1:13" x14ac:dyDescent="0.25">
      <c r="A40" s="2" t="s">
        <v>1632</v>
      </c>
      <c r="B40" s="6" t="e">
        <v>#REF!</v>
      </c>
      <c r="C40" s="6" t="e">
        <v>#REF!</v>
      </c>
      <c r="D40" s="6" t="e">
        <v>#REF!</v>
      </c>
      <c r="E40" s="6" t="e">
        <v>#REF!</v>
      </c>
      <c r="F40" s="7" t="e">
        <v>#REF!</v>
      </c>
      <c r="G40" s="6" t="e">
        <v>#REF!</v>
      </c>
      <c r="H40" s="6" t="e">
        <v>#REF!</v>
      </c>
      <c r="I40" s="6" t="e">
        <v>#REF!</v>
      </c>
      <c r="J40" s="6" t="e">
        <v>#REF!</v>
      </c>
      <c r="K40" s="6" t="e">
        <v>#REF!</v>
      </c>
      <c r="L40" s="6" t="e">
        <v>#REF!</v>
      </c>
      <c r="M40" s="6" t="e">
        <v>#REF!</v>
      </c>
    </row>
    <row r="41" spans="1:13" x14ac:dyDescent="0.25">
      <c r="A41" s="2" t="s">
        <v>1633</v>
      </c>
      <c r="B41" s="6" t="e">
        <v>#REF!</v>
      </c>
      <c r="C41" s="6" t="e">
        <v>#REF!</v>
      </c>
      <c r="D41" s="6" t="e">
        <v>#REF!</v>
      </c>
      <c r="E41" s="6" t="e">
        <v>#REF!</v>
      </c>
      <c r="F41" s="7" t="e">
        <v>#REF!</v>
      </c>
      <c r="G41" s="6" t="e">
        <v>#REF!</v>
      </c>
      <c r="H41" s="6" t="e">
        <v>#REF!</v>
      </c>
      <c r="I41" s="6" t="e">
        <v>#REF!</v>
      </c>
      <c r="J41" s="6" t="e">
        <v>#REF!</v>
      </c>
      <c r="K41" s="6" t="e">
        <v>#REF!</v>
      </c>
      <c r="L41" s="6" t="e">
        <v>#REF!</v>
      </c>
      <c r="M41" s="6" t="e">
        <v>#REF!</v>
      </c>
    </row>
    <row r="42" spans="1:13" x14ac:dyDescent="0.25">
      <c r="A42" s="2" t="s">
        <v>1634</v>
      </c>
      <c r="B42" s="6" t="e">
        <v>#REF!</v>
      </c>
      <c r="C42" s="6" t="e">
        <v>#REF!</v>
      </c>
      <c r="D42" s="6" t="e">
        <v>#REF!</v>
      </c>
      <c r="E42" s="6" t="e">
        <v>#REF!</v>
      </c>
      <c r="F42" s="7" t="e">
        <v>#REF!</v>
      </c>
      <c r="G42" s="6" t="e">
        <v>#REF!</v>
      </c>
      <c r="H42" s="6" t="e">
        <v>#REF!</v>
      </c>
      <c r="I42" s="6" t="e">
        <v>#REF!</v>
      </c>
      <c r="J42" s="6" t="e">
        <v>#REF!</v>
      </c>
      <c r="K42" s="6" t="e">
        <v>#REF!</v>
      </c>
      <c r="L42" s="6" t="e">
        <v>#REF!</v>
      </c>
      <c r="M42" s="6" t="e">
        <v>#REF!</v>
      </c>
    </row>
    <row r="43" spans="1:13" x14ac:dyDescent="0.25">
      <c r="A43" s="2" t="s">
        <v>597</v>
      </c>
      <c r="B43" s="6" t="e">
        <v>#REF!</v>
      </c>
      <c r="C43" s="6" t="e">
        <v>#REF!</v>
      </c>
      <c r="D43" s="6" t="e">
        <v>#REF!</v>
      </c>
      <c r="E43" s="6" t="e">
        <v>#REF!</v>
      </c>
      <c r="F43" s="7" t="e">
        <v>#REF!</v>
      </c>
      <c r="G43" s="6" t="e">
        <v>#REF!</v>
      </c>
      <c r="H43" s="6" t="e">
        <v>#REF!</v>
      </c>
      <c r="I43" s="6" t="e">
        <v>#REF!</v>
      </c>
      <c r="J43" s="6" t="e">
        <v>#REF!</v>
      </c>
      <c r="K43" s="6" t="e">
        <v>#REF!</v>
      </c>
      <c r="L43" s="6" t="e">
        <v>#REF!</v>
      </c>
      <c r="M43" s="6" t="e">
        <v>#REF!</v>
      </c>
    </row>
    <row r="44" spans="1:13" x14ac:dyDescent="0.25">
      <c r="A44" s="2" t="s">
        <v>1635</v>
      </c>
      <c r="B44" s="6" t="e">
        <v>#REF!</v>
      </c>
      <c r="C44" s="6" t="e">
        <v>#REF!</v>
      </c>
      <c r="D44" s="6" t="e">
        <v>#REF!</v>
      </c>
      <c r="E44" s="6" t="e">
        <v>#REF!</v>
      </c>
      <c r="F44" s="7" t="e">
        <v>#REF!</v>
      </c>
      <c r="G44" s="6" t="e">
        <v>#REF!</v>
      </c>
      <c r="H44" s="6" t="e">
        <v>#REF!</v>
      </c>
      <c r="I44" s="6" t="e">
        <v>#REF!</v>
      </c>
      <c r="J44" s="6" t="e">
        <v>#REF!</v>
      </c>
      <c r="K44" s="6" t="e">
        <v>#REF!</v>
      </c>
      <c r="L44" s="6" t="e">
        <v>#REF!</v>
      </c>
      <c r="M44" s="6" t="e">
        <v>#REF!</v>
      </c>
    </row>
    <row r="45" spans="1:13" x14ac:dyDescent="0.25">
      <c r="A45" s="2" t="s">
        <v>1636</v>
      </c>
      <c r="B45" s="6" t="e">
        <v>#REF!</v>
      </c>
      <c r="C45" s="6" t="e">
        <v>#REF!</v>
      </c>
      <c r="D45" s="6" t="e">
        <v>#REF!</v>
      </c>
      <c r="E45" s="6" t="e">
        <v>#REF!</v>
      </c>
      <c r="F45" s="7" t="e">
        <v>#REF!</v>
      </c>
      <c r="G45" s="6" t="e">
        <v>#REF!</v>
      </c>
      <c r="H45" s="6" t="e">
        <v>#REF!</v>
      </c>
      <c r="I45" s="6" t="e">
        <v>#REF!</v>
      </c>
      <c r="J45" s="6" t="e">
        <v>#REF!</v>
      </c>
      <c r="K45" s="6" t="e">
        <v>#REF!</v>
      </c>
      <c r="L45" s="6" t="e">
        <v>#REF!</v>
      </c>
      <c r="M45" s="6" t="e">
        <v>#REF!</v>
      </c>
    </row>
    <row r="46" spans="1:13" x14ac:dyDescent="0.25">
      <c r="A46" s="2" t="s">
        <v>1637</v>
      </c>
      <c r="B46" s="6" t="e">
        <v>#REF!</v>
      </c>
      <c r="C46" s="6" t="e">
        <v>#REF!</v>
      </c>
      <c r="D46" s="6" t="e">
        <v>#REF!</v>
      </c>
      <c r="E46" s="6" t="e">
        <v>#REF!</v>
      </c>
      <c r="F46" s="7" t="e">
        <v>#REF!</v>
      </c>
      <c r="G46" s="6" t="e">
        <v>#REF!</v>
      </c>
      <c r="H46" s="6" t="e">
        <v>#REF!</v>
      </c>
      <c r="I46" s="6" t="e">
        <v>#REF!</v>
      </c>
      <c r="J46" s="6" t="e">
        <v>#REF!</v>
      </c>
      <c r="K46" s="6" t="e">
        <v>#REF!</v>
      </c>
      <c r="L46" s="6" t="e">
        <v>#REF!</v>
      </c>
      <c r="M46" s="6" t="e">
        <v>#REF!</v>
      </c>
    </row>
    <row r="47" spans="1:13" x14ac:dyDescent="0.25">
      <c r="A47" s="2" t="s">
        <v>1638</v>
      </c>
      <c r="B47" s="6" t="e">
        <v>#REF!</v>
      </c>
      <c r="C47" s="6" t="e">
        <v>#REF!</v>
      </c>
      <c r="D47" s="6" t="e">
        <v>#REF!</v>
      </c>
      <c r="E47" s="6" t="e">
        <v>#REF!</v>
      </c>
      <c r="F47" s="7" t="e">
        <v>#REF!</v>
      </c>
      <c r="G47" s="6" t="e">
        <v>#REF!</v>
      </c>
      <c r="H47" s="6" t="e">
        <v>#REF!</v>
      </c>
      <c r="I47" s="6" t="e">
        <v>#REF!</v>
      </c>
      <c r="J47" s="6" t="e">
        <v>#REF!</v>
      </c>
      <c r="K47" s="6" t="e">
        <v>#REF!</v>
      </c>
      <c r="L47" s="6" t="e">
        <v>#REF!</v>
      </c>
      <c r="M47" s="6" t="e">
        <v>#REF!</v>
      </c>
    </row>
    <row r="48" spans="1:13" x14ac:dyDescent="0.25">
      <c r="A48" s="2" t="s">
        <v>1639</v>
      </c>
      <c r="B48" s="6" t="e">
        <v>#REF!</v>
      </c>
      <c r="C48" s="6" t="e">
        <v>#REF!</v>
      </c>
      <c r="D48" s="6" t="e">
        <v>#REF!</v>
      </c>
      <c r="E48" s="6" t="e">
        <v>#REF!</v>
      </c>
      <c r="F48" s="7" t="e">
        <v>#REF!</v>
      </c>
      <c r="G48" s="6" t="e">
        <v>#REF!</v>
      </c>
      <c r="H48" s="6" t="e">
        <v>#REF!</v>
      </c>
      <c r="I48" s="6" t="e">
        <v>#REF!</v>
      </c>
      <c r="J48" s="6" t="e">
        <v>#REF!</v>
      </c>
      <c r="K48" s="6" t="e">
        <v>#REF!</v>
      </c>
      <c r="L48" s="6" t="e">
        <v>#REF!</v>
      </c>
      <c r="M48" s="6" t="e">
        <v>#REF!</v>
      </c>
    </row>
    <row r="49" spans="1:13" x14ac:dyDescent="0.25">
      <c r="A49" s="2" t="s">
        <v>1640</v>
      </c>
      <c r="B49" s="6" t="e">
        <v>#REF!</v>
      </c>
      <c r="C49" s="6" t="e">
        <v>#REF!</v>
      </c>
      <c r="D49" s="6" t="e">
        <v>#REF!</v>
      </c>
      <c r="E49" s="6" t="e">
        <v>#REF!</v>
      </c>
      <c r="F49" s="7" t="e">
        <v>#REF!</v>
      </c>
      <c r="G49" s="6" t="e">
        <v>#REF!</v>
      </c>
      <c r="H49" s="6" t="e">
        <v>#REF!</v>
      </c>
      <c r="I49" s="6" t="e">
        <v>#REF!</v>
      </c>
      <c r="J49" s="6" t="e">
        <v>#REF!</v>
      </c>
      <c r="K49" s="6" t="e">
        <v>#REF!</v>
      </c>
      <c r="L49" s="6" t="e">
        <v>#REF!</v>
      </c>
      <c r="M49" s="6" t="e">
        <v>#REF!</v>
      </c>
    </row>
    <row r="50" spans="1:13" x14ac:dyDescent="0.25">
      <c r="A50" s="2" t="s">
        <v>1641</v>
      </c>
      <c r="B50" s="6" t="e">
        <v>#REF!</v>
      </c>
      <c r="C50" s="6" t="e">
        <v>#REF!</v>
      </c>
      <c r="D50" s="6" t="e">
        <v>#REF!</v>
      </c>
      <c r="E50" s="6" t="e">
        <v>#REF!</v>
      </c>
      <c r="F50" s="7" t="e">
        <v>#REF!</v>
      </c>
      <c r="G50" s="6" t="e">
        <v>#REF!</v>
      </c>
      <c r="H50" s="6" t="e">
        <v>#REF!</v>
      </c>
      <c r="I50" s="6" t="e">
        <v>#REF!</v>
      </c>
      <c r="J50" s="6" t="e">
        <v>#REF!</v>
      </c>
      <c r="K50" s="6" t="e">
        <v>#REF!</v>
      </c>
      <c r="L50" s="6" t="e">
        <v>#REF!</v>
      </c>
      <c r="M50" s="6" t="e">
        <v>#REF!</v>
      </c>
    </row>
    <row r="272" spans="3:3" x14ac:dyDescent="0.25"/>
    <row r="316" spans="3:3" x14ac:dyDescent="0.25"/>
    <row r="318" spans="3:3" x14ac:dyDescent="0.25"/>
    <row r="333" spans="3:3" x14ac:dyDescent="0.25"/>
    <row r="335" spans="3:3" x14ac:dyDescent="0.25"/>
    <row r="373" spans="3:3" x14ac:dyDescent="0.25"/>
    <row r="374" spans="3:3" x14ac:dyDescent="0.25"/>
  </sheetData>
  <mergeCells count="1">
    <mergeCell ref="B1:M1"/>
  </mergeCells>
  <phoneticPr fontId="4" type="noConversion"/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65739d-6413-4505-a24a-087e679dd5a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4B062F33F1B2498525A381D0016329" ma:contentTypeVersion="5" ma:contentTypeDescription="Create a new document." ma:contentTypeScope="" ma:versionID="285c35c6155d0b61f533d585798c6fa9">
  <xsd:schema xmlns:xsd="http://www.w3.org/2001/XMLSchema" xmlns:xs="http://www.w3.org/2001/XMLSchema" xmlns:p="http://schemas.microsoft.com/office/2006/metadata/properties" xmlns:ns3="1a65739d-6413-4505-a24a-087e679dd5a7" targetNamespace="http://schemas.microsoft.com/office/2006/metadata/properties" ma:root="true" ma:fieldsID="1a7f5c013eb1a818affa4afcfdf9b699" ns3:_="">
    <xsd:import namespace="1a65739d-6413-4505-a24a-087e679dd5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5739d-6413-4505-a24a-087e679dd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91321A-E66E-4E6C-8081-5DBE981EF4B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2D7C9D0-0249-4AF2-83DC-72E93059F57B}">
  <ds:schemaRefs>
    <ds:schemaRef ds:uri="http://schemas.microsoft.com/office/2006/metadata/properties"/>
    <ds:schemaRef ds:uri="http://schemas.microsoft.com/office/infopath/2007/PartnerControls"/>
    <ds:schemaRef ds:uri="1a65739d-6413-4505-a24a-087e679dd5a7"/>
  </ds:schemaRefs>
</ds:datastoreItem>
</file>

<file path=customXml/itemProps3.xml><?xml version="1.0" encoding="utf-8"?>
<ds:datastoreItem xmlns:ds="http://schemas.openxmlformats.org/officeDocument/2006/customXml" ds:itemID="{5DE98833-4940-4367-B3CB-B48A009E242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3C63EE2-09AA-4508-8BF1-B4A02A5AD5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65739d-6413-4505-a24a-087e679dd5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RELATORIO CARROS</vt:lpstr>
      <vt:lpstr>CARROS</vt:lpstr>
      <vt:lpstr>Planilha3</vt:lpstr>
      <vt:lpstr>DESEMPENHO ANUAL</vt:lpstr>
      <vt:lpstr>PAINEL</vt:lpstr>
      <vt:lpstr>SERVIÇOS MECANICOS</vt:lpstr>
      <vt:lpstr>Planilha1</vt:lpstr>
      <vt:lpstr>buscador de Placa</vt:lpstr>
      <vt:lpstr>Planilha8</vt:lpstr>
      <vt:lpstr>Planilha9</vt:lpstr>
      <vt:lpstr>FATURAMENTO</vt:lpstr>
      <vt:lpstr>Planilha5</vt:lpstr>
      <vt:lpstr>Planilha6</vt:lpstr>
      <vt:lpstr>Planilha7</vt:lpstr>
      <vt:lpstr>Planilha4</vt:lpstr>
      <vt:lpstr>CONFIG FAT.ANUAL</vt:lpstr>
      <vt:lpstr>COMPARATIVO MECANICO MÊS</vt:lpstr>
      <vt:lpstr>Planilha2</vt:lpstr>
      <vt:lpstr>DESCRIÇÕES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VIERY GUIMARAES SOUZA</dc:creator>
  <cp:keywords/>
  <dc:description/>
  <cp:lastModifiedBy>CRISTIAN VIERY GUIMARAES SOUZA</cp:lastModifiedBy>
  <cp:revision/>
  <dcterms:created xsi:type="dcterms:W3CDTF">2024-01-30T18:58:48Z</dcterms:created>
  <dcterms:modified xsi:type="dcterms:W3CDTF">2024-07-11T23:34:04Z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0x010100754B062F33F1B2498525A381D0016329</vt:lpwstr>
  </property>
</Properties>
</file>