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x6\Documents\MyProjects\"/>
    </mc:Choice>
  </mc:AlternateContent>
  <xr:revisionPtr revIDLastSave="0" documentId="13_ncr:1_{0F67C923-7C78-44C9-9752-E501D791B5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claimer" sheetId="6" r:id="rId1"/>
    <sheet name="Income Statement" sheetId="2" r:id="rId2"/>
    <sheet name="Balance Sheet" sheetId="3" r:id="rId3"/>
    <sheet name="Cash Flow Statement" sheetId="5" r:id="rId4"/>
    <sheet name="DCF Valution" sheetId="4" r:id="rId5"/>
    <sheet name="Raw Data" sheetId="1" r:id="rId6"/>
  </sheets>
  <calcPr calcId="181029"/>
</workbook>
</file>

<file path=xl/calcChain.xml><?xml version="1.0" encoding="utf-8"?>
<calcChain xmlns="http://schemas.openxmlformats.org/spreadsheetml/2006/main">
  <c r="G2" i="3" l="1"/>
  <c r="H2" i="3"/>
  <c r="I2" i="3"/>
  <c r="J2" i="3"/>
  <c r="K2" i="3"/>
  <c r="L2" i="3"/>
  <c r="M2" i="3"/>
  <c r="N2" i="3"/>
  <c r="O2" i="3"/>
  <c r="P2" i="3"/>
  <c r="Q2" i="3"/>
  <c r="F2" i="3"/>
  <c r="A37" i="4" l="1"/>
  <c r="B54" i="4"/>
  <c r="I55" i="4"/>
  <c r="H55" i="4"/>
  <c r="B55" i="4"/>
  <c r="B17" i="4"/>
  <c r="A29" i="3" l="1"/>
  <c r="F29" i="3"/>
  <c r="G29" i="3"/>
  <c r="I4" i="5"/>
  <c r="G32" i="4"/>
  <c r="H32" i="4" s="1"/>
  <c r="H46" i="4" s="1"/>
  <c r="I5" i="2"/>
  <c r="J5" i="2"/>
  <c r="H5" i="2"/>
  <c r="G37" i="2"/>
  <c r="K8" i="2"/>
  <c r="L8" i="2" s="1"/>
  <c r="M8" i="2" s="1"/>
  <c r="N8" i="2" s="1"/>
  <c r="O8" i="2" s="1"/>
  <c r="P8" i="2" s="1"/>
  <c r="Q8" i="2" s="1"/>
  <c r="B8" i="2"/>
  <c r="I45" i="2" l="1"/>
  <c r="J45" i="2" s="1"/>
  <c r="K45" i="2" s="1"/>
  <c r="L45" i="2" s="1"/>
  <c r="M45" i="2" s="1"/>
  <c r="N45" i="2" s="1"/>
  <c r="O45" i="2" s="1"/>
  <c r="P45" i="2" s="1"/>
  <c r="Q45" i="2" s="1"/>
  <c r="L6" i="5"/>
  <c r="M6" i="5" s="1"/>
  <c r="N6" i="5" s="1"/>
  <c r="O6" i="5" s="1"/>
  <c r="P6" i="5" s="1"/>
  <c r="Q6" i="5" s="1"/>
  <c r="B6" i="5"/>
  <c r="I10" i="5"/>
  <c r="J10" i="5" s="1"/>
  <c r="K10" i="5" s="1"/>
  <c r="L10" i="5" s="1"/>
  <c r="M10" i="5" s="1"/>
  <c r="N10" i="5" s="1"/>
  <c r="O10" i="5" s="1"/>
  <c r="P10" i="5" s="1"/>
  <c r="Q10" i="5" s="1"/>
  <c r="G9" i="5"/>
  <c r="F9" i="5"/>
  <c r="K15" i="2"/>
  <c r="L15" i="2" s="1"/>
  <c r="M15" i="2" s="1"/>
  <c r="N15" i="2" s="1"/>
  <c r="O15" i="2" s="1"/>
  <c r="P15" i="2" s="1"/>
  <c r="Q15" i="2" s="1"/>
  <c r="G23" i="3"/>
  <c r="M26" i="5"/>
  <c r="N26" i="5" s="1"/>
  <c r="O26" i="5" s="1"/>
  <c r="P26" i="5" s="1"/>
  <c r="Q26" i="5" s="1"/>
  <c r="G25" i="5"/>
  <c r="F25" i="5"/>
  <c r="I34" i="5"/>
  <c r="J34" i="5" s="1"/>
  <c r="K34" i="5" s="1"/>
  <c r="L34" i="5" s="1"/>
  <c r="M34" i="5" s="1"/>
  <c r="N34" i="5" s="1"/>
  <c r="O34" i="5" s="1"/>
  <c r="P34" i="5" s="1"/>
  <c r="Q34" i="5" s="1"/>
  <c r="I22" i="5"/>
  <c r="J22" i="5" s="1"/>
  <c r="K22" i="5" s="1"/>
  <c r="L22" i="5" s="1"/>
  <c r="M22" i="5" s="1"/>
  <c r="N22" i="5" s="1"/>
  <c r="O22" i="5" s="1"/>
  <c r="P22" i="5" s="1"/>
  <c r="Q22" i="5" s="1"/>
  <c r="I20" i="5"/>
  <c r="J20" i="5" s="1"/>
  <c r="K20" i="5" s="1"/>
  <c r="L20" i="5" s="1"/>
  <c r="M20" i="5" s="1"/>
  <c r="N20" i="5" s="1"/>
  <c r="O20" i="5" s="1"/>
  <c r="P20" i="5" s="1"/>
  <c r="Q20" i="5" s="1"/>
  <c r="I28" i="5"/>
  <c r="J28" i="5" s="1"/>
  <c r="K28" i="5" s="1"/>
  <c r="L28" i="5" s="1"/>
  <c r="M28" i="5" s="1"/>
  <c r="N28" i="5" s="1"/>
  <c r="O28" i="5" s="1"/>
  <c r="P28" i="5" s="1"/>
  <c r="Q28" i="5" s="1"/>
  <c r="I17" i="5"/>
  <c r="K16" i="5"/>
  <c r="L16" i="5" s="1"/>
  <c r="B16" i="5"/>
  <c r="N1" i="3"/>
  <c r="O1" i="3"/>
  <c r="P1" i="3"/>
  <c r="Q1" i="3"/>
  <c r="N1" i="5"/>
  <c r="O1" i="5"/>
  <c r="P1" i="5"/>
  <c r="Q1" i="5"/>
  <c r="G15" i="5"/>
  <c r="G13" i="4" s="1"/>
  <c r="G17" i="5"/>
  <c r="F17" i="5"/>
  <c r="F15" i="5"/>
  <c r="F13" i="4" s="1"/>
  <c r="A17" i="5"/>
  <c r="A15" i="5"/>
  <c r="I19" i="5"/>
  <c r="J19" i="5" s="1"/>
  <c r="K19" i="5" s="1"/>
  <c r="L19" i="5" s="1"/>
  <c r="M19" i="5" s="1"/>
  <c r="N19" i="5" s="1"/>
  <c r="O19" i="5" s="1"/>
  <c r="P19" i="5" s="1"/>
  <c r="Q19" i="5" s="1"/>
  <c r="I18" i="5"/>
  <c r="J18" i="5" s="1"/>
  <c r="K18" i="5" s="1"/>
  <c r="L18" i="5" s="1"/>
  <c r="M18" i="5" s="1"/>
  <c r="N18" i="5" s="1"/>
  <c r="I12" i="5"/>
  <c r="J12" i="5" s="1"/>
  <c r="K12" i="5" s="1"/>
  <c r="L12" i="5" s="1"/>
  <c r="M12" i="5" s="1"/>
  <c r="N12" i="5" s="1"/>
  <c r="B12" i="5"/>
  <c r="B7" i="5"/>
  <c r="G5" i="5"/>
  <c r="G10" i="4" s="1"/>
  <c r="F5" i="5"/>
  <c r="F10" i="4" s="1"/>
  <c r="B10" i="5"/>
  <c r="J4" i="5"/>
  <c r="K4" i="5" s="1"/>
  <c r="L4" i="5" s="1"/>
  <c r="G19" i="5"/>
  <c r="F19" i="5"/>
  <c r="A3" i="5"/>
  <c r="F4" i="5"/>
  <c r="G4" i="5"/>
  <c r="F8" i="5"/>
  <c r="G8" i="5"/>
  <c r="F11" i="5"/>
  <c r="G11" i="5"/>
  <c r="F18" i="5"/>
  <c r="G18" i="5"/>
  <c r="F20" i="5"/>
  <c r="G20" i="5"/>
  <c r="F21" i="5"/>
  <c r="G21" i="5"/>
  <c r="H21" i="5" s="1"/>
  <c r="I21" i="5" s="1"/>
  <c r="J21" i="5" s="1"/>
  <c r="K21" i="5" s="1"/>
  <c r="L21" i="5" s="1"/>
  <c r="M21" i="5" s="1"/>
  <c r="N21" i="5" s="1"/>
  <c r="O21" i="5" s="1"/>
  <c r="P21" i="5" s="1"/>
  <c r="Q21" i="5" s="1"/>
  <c r="F22" i="5"/>
  <c r="G22" i="5"/>
  <c r="F26" i="5"/>
  <c r="G26" i="5"/>
  <c r="F27" i="5"/>
  <c r="G27" i="5"/>
  <c r="F28" i="5"/>
  <c r="G28" i="5"/>
  <c r="F33" i="5"/>
  <c r="F34" i="5"/>
  <c r="G34" i="5"/>
  <c r="A22" i="5"/>
  <c r="A23" i="5"/>
  <c r="A26" i="5"/>
  <c r="A28" i="5"/>
  <c r="A29" i="5"/>
  <c r="A31" i="5"/>
  <c r="A33" i="5"/>
  <c r="A34" i="5"/>
  <c r="A35" i="5"/>
  <c r="A4" i="5"/>
  <c r="A8" i="5"/>
  <c r="A13" i="5"/>
  <c r="A18" i="5"/>
  <c r="A20" i="5"/>
  <c r="A21" i="5"/>
  <c r="M1" i="5"/>
  <c r="L1" i="5"/>
  <c r="K1" i="5"/>
  <c r="J1" i="5"/>
  <c r="I1" i="5"/>
  <c r="H1" i="5"/>
  <c r="G1" i="5"/>
  <c r="F1" i="5"/>
  <c r="E1" i="5"/>
  <c r="D1" i="5"/>
  <c r="C1" i="5"/>
  <c r="A1" i="5"/>
  <c r="K7" i="2"/>
  <c r="B53" i="2"/>
  <c r="B50" i="2"/>
  <c r="F40" i="2"/>
  <c r="E40" i="2"/>
  <c r="D40" i="2"/>
  <c r="C40" i="2"/>
  <c r="G40" i="2"/>
  <c r="K35" i="2"/>
  <c r="L35" i="2" s="1"/>
  <c r="M35" i="2" s="1"/>
  <c r="N35" i="2" s="1"/>
  <c r="O35" i="2" s="1"/>
  <c r="P35" i="2" s="1"/>
  <c r="Q35" i="2" s="1"/>
  <c r="G34" i="2"/>
  <c r="C34" i="2"/>
  <c r="D34" i="2"/>
  <c r="E34" i="2"/>
  <c r="F34" i="2"/>
  <c r="B35" i="2"/>
  <c r="A35" i="2"/>
  <c r="B55" i="2"/>
  <c r="B54" i="2"/>
  <c r="B51" i="2"/>
  <c r="B48" i="2"/>
  <c r="B44" i="2"/>
  <c r="B41" i="2"/>
  <c r="B38" i="2"/>
  <c r="B32" i="2"/>
  <c r="B31" i="2"/>
  <c r="B28" i="2"/>
  <c r="B25" i="2"/>
  <c r="B22" i="2"/>
  <c r="B19" i="2"/>
  <c r="B18" i="2"/>
  <c r="B15" i="2"/>
  <c r="B14" i="2"/>
  <c r="B7" i="2"/>
  <c r="B6" i="2"/>
  <c r="B11" i="2"/>
  <c r="A54" i="2"/>
  <c r="A51" i="2"/>
  <c r="A48" i="2"/>
  <c r="A44" i="2"/>
  <c r="A41" i="2"/>
  <c r="A38" i="2"/>
  <c r="A28" i="2"/>
  <c r="A22" i="2"/>
  <c r="A18" i="2"/>
  <c r="K31" i="2"/>
  <c r="L31" i="2" s="1"/>
  <c r="M31" i="2" s="1"/>
  <c r="N31" i="2" s="1"/>
  <c r="O31" i="2" s="1"/>
  <c r="P31" i="2" s="1"/>
  <c r="Q31" i="2" s="1"/>
  <c r="G30" i="2"/>
  <c r="F30" i="2"/>
  <c r="K25" i="2"/>
  <c r="L25" i="2" s="1"/>
  <c r="M25" i="2" s="1"/>
  <c r="N25" i="2" s="1"/>
  <c r="O25" i="2" s="1"/>
  <c r="P25" i="2" s="1"/>
  <c r="Q25" i="2" s="1"/>
  <c r="G24" i="2"/>
  <c r="F24" i="2"/>
  <c r="D21" i="2"/>
  <c r="E21" i="2"/>
  <c r="F21" i="2"/>
  <c r="G21" i="2"/>
  <c r="C21" i="2"/>
  <c r="G35" i="3"/>
  <c r="F35" i="3"/>
  <c r="F21" i="3"/>
  <c r="F22" i="3"/>
  <c r="F23" i="3"/>
  <c r="F24" i="3"/>
  <c r="F29" i="4" s="1"/>
  <c r="G21" i="3"/>
  <c r="H21" i="3" s="1"/>
  <c r="G22" i="3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G24" i="3"/>
  <c r="G29" i="4" s="1"/>
  <c r="F27" i="3"/>
  <c r="G27" i="3"/>
  <c r="F28" i="3"/>
  <c r="F31" i="4" s="1"/>
  <c r="G28" i="3"/>
  <c r="H28" i="3" s="1"/>
  <c r="I28" i="3" s="1"/>
  <c r="J28" i="3" s="1"/>
  <c r="J31" i="4" s="1"/>
  <c r="H29" i="3"/>
  <c r="I29" i="3" s="1"/>
  <c r="F30" i="3"/>
  <c r="F33" i="4" s="1"/>
  <c r="G30" i="3"/>
  <c r="F31" i="3"/>
  <c r="G31" i="3"/>
  <c r="H31" i="3" s="1"/>
  <c r="F34" i="3"/>
  <c r="G34" i="3"/>
  <c r="F36" i="3"/>
  <c r="G36" i="3"/>
  <c r="H36" i="3" s="1"/>
  <c r="I36" i="3" s="1"/>
  <c r="J36" i="3" s="1"/>
  <c r="K36" i="3" s="1"/>
  <c r="L36" i="3" s="1"/>
  <c r="M36" i="3" s="1"/>
  <c r="N36" i="3" s="1"/>
  <c r="O36" i="3" s="1"/>
  <c r="P36" i="3" s="1"/>
  <c r="Q36" i="3" s="1"/>
  <c r="F37" i="3"/>
  <c r="G37" i="3"/>
  <c r="F38" i="3"/>
  <c r="G38" i="3"/>
  <c r="H38" i="3" s="1"/>
  <c r="I38" i="3" s="1"/>
  <c r="J38" i="3" s="1"/>
  <c r="K38" i="3" s="1"/>
  <c r="L38" i="3" s="1"/>
  <c r="M38" i="3" s="1"/>
  <c r="N38" i="3" s="1"/>
  <c r="O38" i="3" s="1"/>
  <c r="P38" i="3" s="1"/>
  <c r="Q38" i="3" s="1"/>
  <c r="A21" i="3"/>
  <c r="A22" i="3"/>
  <c r="A23" i="3"/>
  <c r="A24" i="3"/>
  <c r="A25" i="3"/>
  <c r="A28" i="3"/>
  <c r="A30" i="3"/>
  <c r="A31" i="3"/>
  <c r="A32" i="3"/>
  <c r="A35" i="3"/>
  <c r="A36" i="3"/>
  <c r="A37" i="3"/>
  <c r="A38" i="3"/>
  <c r="A39" i="3"/>
  <c r="A41" i="3"/>
  <c r="G13" i="3"/>
  <c r="H13" i="3" s="1"/>
  <c r="I13" i="3" s="1"/>
  <c r="J13" i="3" s="1"/>
  <c r="K13" i="3" s="1"/>
  <c r="L13" i="3" s="1"/>
  <c r="M13" i="3" s="1"/>
  <c r="N13" i="3" s="1"/>
  <c r="F13" i="3"/>
  <c r="F5" i="3"/>
  <c r="G5" i="3"/>
  <c r="F6" i="3"/>
  <c r="G6" i="3"/>
  <c r="H6" i="3" s="1"/>
  <c r="I6" i="3" s="1"/>
  <c r="F7" i="3"/>
  <c r="G7" i="3"/>
  <c r="H7" i="3" s="1"/>
  <c r="I7" i="3" s="1"/>
  <c r="J7" i="3" s="1"/>
  <c r="K7" i="3" s="1"/>
  <c r="L7" i="3" s="1"/>
  <c r="M7" i="3" s="1"/>
  <c r="N7" i="3" s="1"/>
  <c r="O7" i="3" s="1"/>
  <c r="P7" i="3" s="1"/>
  <c r="Q7" i="3" s="1"/>
  <c r="F8" i="3"/>
  <c r="G8" i="3"/>
  <c r="H8" i="3" s="1"/>
  <c r="I8" i="3" s="1"/>
  <c r="J8" i="3" s="1"/>
  <c r="K8" i="3" s="1"/>
  <c r="L8" i="3" s="1"/>
  <c r="M8" i="3" s="1"/>
  <c r="N8" i="3" s="1"/>
  <c r="O8" i="3" s="1"/>
  <c r="P8" i="3" s="1"/>
  <c r="Q8" i="3" s="1"/>
  <c r="F11" i="3"/>
  <c r="G11" i="3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F12" i="3"/>
  <c r="G12" i="3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F14" i="3"/>
  <c r="G14" i="3"/>
  <c r="H14" i="3" s="1"/>
  <c r="F15" i="3"/>
  <c r="G33" i="5" s="1"/>
  <c r="G15" i="3"/>
  <c r="H33" i="5" s="1"/>
  <c r="G4" i="3"/>
  <c r="F4" i="3"/>
  <c r="A4" i="3"/>
  <c r="A5" i="3"/>
  <c r="A6" i="3"/>
  <c r="A7" i="3"/>
  <c r="A8" i="3"/>
  <c r="A9" i="3"/>
  <c r="A11" i="3"/>
  <c r="A12" i="3"/>
  <c r="A13" i="3"/>
  <c r="A14" i="3"/>
  <c r="A15" i="3"/>
  <c r="A16" i="3"/>
  <c r="A18" i="3"/>
  <c r="K6" i="2"/>
  <c r="L6" i="2" s="1"/>
  <c r="M6" i="2" s="1"/>
  <c r="N6" i="2" s="1"/>
  <c r="O6" i="2" s="1"/>
  <c r="P6" i="2" s="1"/>
  <c r="Q6" i="2" s="1"/>
  <c r="F35" i="2" l="1"/>
  <c r="D35" i="2"/>
  <c r="F10" i="5"/>
  <c r="H30" i="3"/>
  <c r="G33" i="4"/>
  <c r="L7" i="2"/>
  <c r="K5" i="2"/>
  <c r="G35" i="2"/>
  <c r="H13" i="2"/>
  <c r="E41" i="2"/>
  <c r="I31" i="3"/>
  <c r="J31" i="3" s="1"/>
  <c r="K31" i="3" s="1"/>
  <c r="L31" i="3" s="1"/>
  <c r="M31" i="3" s="1"/>
  <c r="N31" i="3" s="1"/>
  <c r="O31" i="3" s="1"/>
  <c r="P31" i="3" s="1"/>
  <c r="Q31" i="3" s="1"/>
  <c r="I31" i="4"/>
  <c r="F30" i="4"/>
  <c r="E35" i="2"/>
  <c r="G10" i="5"/>
  <c r="H34" i="2"/>
  <c r="D41" i="2"/>
  <c r="F29" i="5"/>
  <c r="G29" i="5"/>
  <c r="F23" i="5"/>
  <c r="G23" i="5"/>
  <c r="G12" i="5"/>
  <c r="F12" i="5"/>
  <c r="G31" i="4"/>
  <c r="G30" i="4"/>
  <c r="H31" i="4"/>
  <c r="H45" i="4" s="1"/>
  <c r="H24" i="2"/>
  <c r="H9" i="5" s="1"/>
  <c r="H27" i="3" s="1"/>
  <c r="H32" i="3" s="1"/>
  <c r="I21" i="3"/>
  <c r="J21" i="3" s="1"/>
  <c r="K21" i="3" s="1"/>
  <c r="L21" i="3" s="1"/>
  <c r="M21" i="3" s="1"/>
  <c r="N21" i="3" s="1"/>
  <c r="O21" i="3" s="1"/>
  <c r="F39" i="3"/>
  <c r="H34" i="3"/>
  <c r="G39" i="3"/>
  <c r="I14" i="3"/>
  <c r="J14" i="3" s="1"/>
  <c r="K14" i="3" s="1"/>
  <c r="L14" i="3" s="1"/>
  <c r="M14" i="3" s="1"/>
  <c r="N14" i="3" s="1"/>
  <c r="O14" i="3" s="1"/>
  <c r="P14" i="3" s="1"/>
  <c r="Q14" i="3" s="1"/>
  <c r="J6" i="3"/>
  <c r="M16" i="5"/>
  <c r="J17" i="5"/>
  <c r="O18" i="5"/>
  <c r="P18" i="5" s="1"/>
  <c r="Q18" i="5" s="1"/>
  <c r="O12" i="5"/>
  <c r="P12" i="5" s="1"/>
  <c r="Q12" i="5" s="1"/>
  <c r="M4" i="5"/>
  <c r="N4" i="5" s="1"/>
  <c r="O4" i="5" s="1"/>
  <c r="P4" i="5" s="1"/>
  <c r="Q4" i="5" s="1"/>
  <c r="F27" i="2"/>
  <c r="F32" i="2" s="1"/>
  <c r="G27" i="2"/>
  <c r="G32" i="2" s="1"/>
  <c r="F41" i="2"/>
  <c r="G22" i="2"/>
  <c r="G41" i="2"/>
  <c r="F22" i="2"/>
  <c r="E22" i="2"/>
  <c r="G25" i="2"/>
  <c r="D22" i="2"/>
  <c r="J29" i="3"/>
  <c r="K29" i="3" s="1"/>
  <c r="L29" i="3" s="1"/>
  <c r="M29" i="3" s="1"/>
  <c r="N29" i="3" s="1"/>
  <c r="O29" i="3" s="1"/>
  <c r="P29" i="3" s="1"/>
  <c r="Q29" i="3" s="1"/>
  <c r="K28" i="3"/>
  <c r="K31" i="4" s="1"/>
  <c r="G25" i="3"/>
  <c r="F25" i="3"/>
  <c r="F32" i="3"/>
  <c r="G32" i="3"/>
  <c r="F16" i="3"/>
  <c r="G16" i="3"/>
  <c r="F9" i="3"/>
  <c r="G9" i="3"/>
  <c r="J19" i="2"/>
  <c r="B36" i="4"/>
  <c r="A36" i="4"/>
  <c r="B57" i="1"/>
  <c r="B56" i="1"/>
  <c r="F32" i="4"/>
  <c r="I32" i="4"/>
  <c r="J32" i="4" s="1"/>
  <c r="K32" i="4" s="1"/>
  <c r="L32" i="4" s="1"/>
  <c r="M32" i="4" s="1"/>
  <c r="N32" i="4" s="1"/>
  <c r="O32" i="4" s="1"/>
  <c r="P32" i="4" s="1"/>
  <c r="Q32" i="4" s="1"/>
  <c r="G7" i="4"/>
  <c r="F7" i="4"/>
  <c r="F66" i="1"/>
  <c r="G66" i="1"/>
  <c r="B66" i="1"/>
  <c r="F65" i="1"/>
  <c r="G65" i="1"/>
  <c r="B65" i="1"/>
  <c r="B64" i="1"/>
  <c r="B62" i="1"/>
  <c r="B63" i="1"/>
  <c r="B59" i="1"/>
  <c r="B55" i="1"/>
  <c r="B54" i="1"/>
  <c r="I30" i="3" l="1"/>
  <c r="H33" i="4"/>
  <c r="H47" i="4" s="1"/>
  <c r="M7" i="2"/>
  <c r="L5" i="2"/>
  <c r="I34" i="2"/>
  <c r="J34" i="2" s="1"/>
  <c r="K34" i="2" s="1"/>
  <c r="L34" i="2" s="1"/>
  <c r="M34" i="2" s="1"/>
  <c r="N34" i="2" s="1"/>
  <c r="O34" i="2" s="1"/>
  <c r="P34" i="2" s="1"/>
  <c r="Q34" i="2" s="1"/>
  <c r="Q27" i="5" s="1"/>
  <c r="H27" i="5"/>
  <c r="H24" i="3"/>
  <c r="O13" i="3"/>
  <c r="P13" i="3" s="1"/>
  <c r="Q13" i="3" s="1"/>
  <c r="I34" i="3"/>
  <c r="J34" i="3" s="1"/>
  <c r="K34" i="3" s="1"/>
  <c r="L34" i="3" s="1"/>
  <c r="M34" i="3" s="1"/>
  <c r="N34" i="3" s="1"/>
  <c r="O34" i="3" s="1"/>
  <c r="P34" i="3" s="1"/>
  <c r="F41" i="3"/>
  <c r="G41" i="3"/>
  <c r="P21" i="3"/>
  <c r="Q21" i="3" s="1"/>
  <c r="K6" i="3"/>
  <c r="N16" i="5"/>
  <c r="K17" i="5"/>
  <c r="L28" i="3"/>
  <c r="L31" i="4" s="1"/>
  <c r="F18" i="3"/>
  <c r="G18" i="3"/>
  <c r="N1" i="4"/>
  <c r="N23" i="4" s="1"/>
  <c r="O1" i="4"/>
  <c r="O23" i="4" s="1"/>
  <c r="P1" i="4"/>
  <c r="P23" i="4" s="1"/>
  <c r="Q1" i="4"/>
  <c r="Q23" i="4" s="1"/>
  <c r="I22" i="4"/>
  <c r="J22" i="4" s="1"/>
  <c r="K22" i="4" s="1"/>
  <c r="L22" i="4" s="1"/>
  <c r="M22" i="4" s="1"/>
  <c r="N22" i="4" s="1"/>
  <c r="O22" i="4" s="1"/>
  <c r="P22" i="4" s="1"/>
  <c r="Q22" i="4" s="1"/>
  <c r="R22" i="4" s="1"/>
  <c r="G1" i="4"/>
  <c r="G23" i="4" s="1"/>
  <c r="H1" i="4"/>
  <c r="H23" i="4" s="1"/>
  <c r="H51" i="4" s="1"/>
  <c r="I1" i="4"/>
  <c r="I23" i="4" s="1"/>
  <c r="I51" i="4" s="1"/>
  <c r="J1" i="4"/>
  <c r="J23" i="4" s="1"/>
  <c r="J51" i="4" s="1"/>
  <c r="K1" i="4"/>
  <c r="K23" i="4" s="1"/>
  <c r="L1" i="4"/>
  <c r="L23" i="4" s="1"/>
  <c r="M1" i="4"/>
  <c r="M23" i="4" s="1"/>
  <c r="F1" i="4"/>
  <c r="F23" i="4" s="1"/>
  <c r="A4" i="4"/>
  <c r="B14" i="4"/>
  <c r="B11" i="4"/>
  <c r="B8" i="4"/>
  <c r="K8" i="4"/>
  <c r="L8" i="4" s="1"/>
  <c r="M8" i="4" s="1"/>
  <c r="N8" i="4" s="1"/>
  <c r="A1" i="3"/>
  <c r="A1" i="4"/>
  <c r="D1" i="3"/>
  <c r="E1" i="3"/>
  <c r="F1" i="3"/>
  <c r="G1" i="3"/>
  <c r="H1" i="3"/>
  <c r="I1" i="3"/>
  <c r="J1" i="3"/>
  <c r="K1" i="3"/>
  <c r="L1" i="3"/>
  <c r="M1" i="3"/>
  <c r="C1" i="3"/>
  <c r="G28" i="2"/>
  <c r="D53" i="2"/>
  <c r="E53" i="2"/>
  <c r="F53" i="2"/>
  <c r="G53" i="2"/>
  <c r="C53" i="2"/>
  <c r="B37" i="4"/>
  <c r="D10" i="2"/>
  <c r="E10" i="2"/>
  <c r="F10" i="2"/>
  <c r="G10" i="2"/>
  <c r="C10" i="2"/>
  <c r="B52" i="1"/>
  <c r="D51" i="1"/>
  <c r="E51" i="1"/>
  <c r="F51" i="1"/>
  <c r="G51" i="1"/>
  <c r="C51" i="1"/>
  <c r="B51" i="1"/>
  <c r="D43" i="2"/>
  <c r="D50" i="2" s="1"/>
  <c r="E43" i="2"/>
  <c r="E50" i="2" s="1"/>
  <c r="F43" i="2"/>
  <c r="F50" i="2" s="1"/>
  <c r="G43" i="2"/>
  <c r="H43" i="2" s="1"/>
  <c r="C43" i="2"/>
  <c r="C50" i="2" s="1"/>
  <c r="I24" i="3" l="1"/>
  <c r="H29" i="4"/>
  <c r="H43" i="4" s="1"/>
  <c r="J30" i="3"/>
  <c r="I33" i="4"/>
  <c r="N7" i="2"/>
  <c r="M5" i="2"/>
  <c r="O27" i="5"/>
  <c r="J27" i="5"/>
  <c r="K27" i="5"/>
  <c r="I27" i="5"/>
  <c r="L27" i="5"/>
  <c r="N27" i="5"/>
  <c r="M27" i="5"/>
  <c r="P27" i="5"/>
  <c r="H44" i="2"/>
  <c r="I43" i="2"/>
  <c r="E51" i="2"/>
  <c r="G4" i="4"/>
  <c r="G16" i="4" s="1"/>
  <c r="G3" i="5"/>
  <c r="F4" i="4"/>
  <c r="F16" i="4" s="1"/>
  <c r="F3" i="5"/>
  <c r="H25" i="5"/>
  <c r="L6" i="3"/>
  <c r="O16" i="5"/>
  <c r="L17" i="5"/>
  <c r="Q34" i="3"/>
  <c r="D51" i="2"/>
  <c r="G50" i="2"/>
  <c r="G51" i="2" s="1"/>
  <c r="F51" i="2"/>
  <c r="M28" i="3"/>
  <c r="O8" i="4"/>
  <c r="E54" i="2"/>
  <c r="F44" i="2"/>
  <c r="D44" i="2"/>
  <c r="G54" i="2"/>
  <c r="E44" i="2"/>
  <c r="G44" i="2"/>
  <c r="D54" i="2"/>
  <c r="F54" i="2"/>
  <c r="C37" i="2"/>
  <c r="C47" i="2" s="1"/>
  <c r="C55" i="2" s="1"/>
  <c r="D37" i="2"/>
  <c r="E37" i="2"/>
  <c r="F37" i="2"/>
  <c r="K30" i="3" l="1"/>
  <c r="J33" i="4"/>
  <c r="J24" i="3"/>
  <c r="I29" i="4"/>
  <c r="G5" i="4"/>
  <c r="O7" i="2"/>
  <c r="N5" i="2"/>
  <c r="J43" i="2"/>
  <c r="I44" i="2"/>
  <c r="H29" i="5"/>
  <c r="F13" i="5"/>
  <c r="F31" i="5" s="1"/>
  <c r="F35" i="5" s="1"/>
  <c r="G13" i="5"/>
  <c r="G31" i="5" s="1"/>
  <c r="I36" i="4"/>
  <c r="I25" i="5"/>
  <c r="I29" i="5" s="1"/>
  <c r="N28" i="3"/>
  <c r="M31" i="4"/>
  <c r="M6" i="3"/>
  <c r="P16" i="5"/>
  <c r="M17" i="5"/>
  <c r="H36" i="4"/>
  <c r="H42" i="4" s="1"/>
  <c r="P8" i="4"/>
  <c r="G17" i="4"/>
  <c r="E47" i="2"/>
  <c r="E55" i="2" s="1"/>
  <c r="E38" i="2"/>
  <c r="F47" i="2"/>
  <c r="F55" i="2" s="1"/>
  <c r="F38" i="2"/>
  <c r="D47" i="2"/>
  <c r="D48" i="2" s="1"/>
  <c r="D38" i="2"/>
  <c r="G47" i="2"/>
  <c r="G55" i="2" s="1"/>
  <c r="G38" i="2"/>
  <c r="D17" i="2"/>
  <c r="E17" i="2"/>
  <c r="F17" i="2"/>
  <c r="F31" i="2" s="1"/>
  <c r="G17" i="2"/>
  <c r="G31" i="2" s="1"/>
  <c r="C17" i="2"/>
  <c r="D4" i="2"/>
  <c r="D11" i="2" s="1"/>
  <c r="E4" i="2"/>
  <c r="E11" i="2" s="1"/>
  <c r="F4" i="2"/>
  <c r="G4" i="2"/>
  <c r="G7" i="5" s="1"/>
  <c r="C4" i="2"/>
  <c r="C11" i="2" s="1"/>
  <c r="B4" i="2"/>
  <c r="B5" i="1"/>
  <c r="B48" i="1"/>
  <c r="B47" i="1"/>
  <c r="B45" i="1"/>
  <c r="B44" i="1"/>
  <c r="B40" i="1"/>
  <c r="B41" i="1"/>
  <c r="B39" i="1"/>
  <c r="B43" i="1"/>
  <c r="B42" i="1"/>
  <c r="B30" i="1"/>
  <c r="B31" i="1"/>
  <c r="B32" i="1"/>
  <c r="B33" i="1"/>
  <c r="B29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7" i="1"/>
  <c r="B36" i="1"/>
  <c r="B37" i="1" s="1"/>
  <c r="B35" i="1"/>
  <c r="L30" i="3" l="1"/>
  <c r="K33" i="4"/>
  <c r="K24" i="3"/>
  <c r="J29" i="4"/>
  <c r="P7" i="2"/>
  <c r="O5" i="2"/>
  <c r="K43" i="2"/>
  <c r="J44" i="2"/>
  <c r="F7" i="5"/>
  <c r="F6" i="5"/>
  <c r="G35" i="5"/>
  <c r="J36" i="4"/>
  <c r="B8" i="5"/>
  <c r="B25" i="5"/>
  <c r="B21" i="2"/>
  <c r="B13" i="2"/>
  <c r="B4" i="5"/>
  <c r="B9" i="5"/>
  <c r="B26" i="5"/>
  <c r="B17" i="2"/>
  <c r="B27" i="5"/>
  <c r="B11" i="5"/>
  <c r="B28" i="5"/>
  <c r="B10" i="2"/>
  <c r="B4" i="4" s="1"/>
  <c r="B33" i="4" s="1"/>
  <c r="B13" i="5"/>
  <c r="B29" i="5"/>
  <c r="B15" i="5"/>
  <c r="B31" i="5"/>
  <c r="B18" i="5"/>
  <c r="B33" i="5"/>
  <c r="B40" i="2"/>
  <c r="B19" i="5"/>
  <c r="B34" i="5"/>
  <c r="B37" i="2"/>
  <c r="B20" i="5"/>
  <c r="B35" i="5"/>
  <c r="B34" i="2"/>
  <c r="B22" i="5"/>
  <c r="B3" i="5"/>
  <c r="B21" i="5"/>
  <c r="B30" i="2"/>
  <c r="B5" i="5"/>
  <c r="B23" i="5"/>
  <c r="B24" i="2"/>
  <c r="B27" i="2"/>
  <c r="F16" i="5"/>
  <c r="F11" i="4"/>
  <c r="F14" i="4"/>
  <c r="G11" i="4"/>
  <c r="G6" i="5"/>
  <c r="G16" i="5"/>
  <c r="O28" i="3"/>
  <c r="N31" i="4"/>
  <c r="N6" i="3"/>
  <c r="Q16" i="5"/>
  <c r="N17" i="5"/>
  <c r="E18" i="2"/>
  <c r="B30" i="3"/>
  <c r="B29" i="3"/>
  <c r="B13" i="3"/>
  <c r="B28" i="3"/>
  <c r="B12" i="3"/>
  <c r="B41" i="3"/>
  <c r="B27" i="3"/>
  <c r="B11" i="3"/>
  <c r="B39" i="3"/>
  <c r="B25" i="3"/>
  <c r="B5" i="3"/>
  <c r="B38" i="3"/>
  <c r="B24" i="3"/>
  <c r="B6" i="3"/>
  <c r="B37" i="3"/>
  <c r="B23" i="3"/>
  <c r="B7" i="3"/>
  <c r="B36" i="3"/>
  <c r="B22" i="3"/>
  <c r="B8" i="3"/>
  <c r="B35" i="3"/>
  <c r="B21" i="3"/>
  <c r="B9" i="3"/>
  <c r="B34" i="3"/>
  <c r="B18" i="3"/>
  <c r="B4" i="3"/>
  <c r="B32" i="3"/>
  <c r="B16" i="3"/>
  <c r="B31" i="3"/>
  <c r="B15" i="3"/>
  <c r="B14" i="3"/>
  <c r="G8" i="4"/>
  <c r="G18" i="2"/>
  <c r="F8" i="4"/>
  <c r="F18" i="2"/>
  <c r="D18" i="2"/>
  <c r="Q8" i="4"/>
  <c r="H54" i="2"/>
  <c r="G14" i="4"/>
  <c r="F11" i="2"/>
  <c r="F48" i="2"/>
  <c r="E48" i="2"/>
  <c r="D55" i="2"/>
  <c r="G48" i="2"/>
  <c r="G11" i="2"/>
  <c r="H4" i="2"/>
  <c r="F5" i="2"/>
  <c r="E5" i="2"/>
  <c r="G5" i="2"/>
  <c r="D5" i="2"/>
  <c r="C19" i="2"/>
  <c r="G19" i="2"/>
  <c r="F19" i="2"/>
  <c r="E19" i="2"/>
  <c r="D19" i="2"/>
  <c r="C13" i="2"/>
  <c r="C14" i="2" s="1"/>
  <c r="D13" i="2"/>
  <c r="D14" i="2" s="1"/>
  <c r="G13" i="2"/>
  <c r="F13" i="2"/>
  <c r="F14" i="2" s="1"/>
  <c r="E13" i="2"/>
  <c r="E14" i="2" s="1"/>
  <c r="L24" i="3" l="1"/>
  <c r="K29" i="4"/>
  <c r="M30" i="3"/>
  <c r="L33" i="4"/>
  <c r="Q7" i="2"/>
  <c r="Q5" i="2" s="1"/>
  <c r="P5" i="2"/>
  <c r="L43" i="2"/>
  <c r="K44" i="2"/>
  <c r="G14" i="2"/>
  <c r="G15" i="2"/>
  <c r="B28" i="4"/>
  <c r="B24" i="4"/>
  <c r="B31" i="4"/>
  <c r="B32" i="4"/>
  <c r="B13" i="4"/>
  <c r="B29" i="4"/>
  <c r="B10" i="4"/>
  <c r="B7" i="4"/>
  <c r="B25" i="4"/>
  <c r="B30" i="4"/>
  <c r="B26" i="4"/>
  <c r="B16" i="4"/>
  <c r="B35" i="4"/>
  <c r="B42" i="4" s="1"/>
  <c r="H15" i="5"/>
  <c r="P28" i="3"/>
  <c r="O31" i="4"/>
  <c r="O6" i="3"/>
  <c r="O17" i="5"/>
  <c r="K36" i="4"/>
  <c r="I4" i="2"/>
  <c r="H17" i="2"/>
  <c r="N30" i="3" l="1"/>
  <c r="M33" i="4"/>
  <c r="L29" i="4"/>
  <c r="M24" i="3"/>
  <c r="B52" i="4"/>
  <c r="B45" i="4"/>
  <c r="B46" i="4"/>
  <c r="B43" i="4"/>
  <c r="B48" i="4"/>
  <c r="B44" i="4"/>
  <c r="B47" i="4"/>
  <c r="H37" i="2"/>
  <c r="H21" i="2"/>
  <c r="H27" i="2" s="1"/>
  <c r="M43" i="2"/>
  <c r="L44" i="2"/>
  <c r="I15" i="5"/>
  <c r="H13" i="4"/>
  <c r="H23" i="5"/>
  <c r="Q28" i="3"/>
  <c r="Q31" i="4" s="1"/>
  <c r="P31" i="4"/>
  <c r="P6" i="3"/>
  <c r="P17" i="5"/>
  <c r="H30" i="2"/>
  <c r="H11" i="5" s="1"/>
  <c r="H37" i="3" s="1"/>
  <c r="H7" i="4"/>
  <c r="H18" i="2"/>
  <c r="L36" i="4"/>
  <c r="J4" i="2"/>
  <c r="I17" i="2"/>
  <c r="I21" i="2" s="1"/>
  <c r="N24" i="3" l="1"/>
  <c r="M29" i="4"/>
  <c r="O30" i="3"/>
  <c r="N33" i="4"/>
  <c r="H38" i="2"/>
  <c r="H53" i="4"/>
  <c r="N43" i="2"/>
  <c r="M44" i="2"/>
  <c r="J15" i="5"/>
  <c r="I13" i="4"/>
  <c r="I23" i="5"/>
  <c r="Q6" i="3"/>
  <c r="Q17" i="5"/>
  <c r="H40" i="2"/>
  <c r="H23" i="3" s="1"/>
  <c r="H28" i="2"/>
  <c r="H32" i="2"/>
  <c r="H47" i="2"/>
  <c r="I18" i="2"/>
  <c r="H22" i="2"/>
  <c r="M36" i="4"/>
  <c r="I7" i="4"/>
  <c r="K4" i="2"/>
  <c r="K19" i="2"/>
  <c r="J17" i="2"/>
  <c r="J21" i="2" s="1"/>
  <c r="N29" i="4" l="1"/>
  <c r="O24" i="3"/>
  <c r="P30" i="3"/>
  <c r="O33" i="4"/>
  <c r="O43" i="2"/>
  <c r="N44" i="2"/>
  <c r="K15" i="5"/>
  <c r="J13" i="4"/>
  <c r="J23" i="5"/>
  <c r="H50" i="2"/>
  <c r="H51" i="2" s="1"/>
  <c r="H41" i="2"/>
  <c r="I22" i="2"/>
  <c r="H48" i="2"/>
  <c r="H55" i="2"/>
  <c r="J7" i="4"/>
  <c r="J18" i="2"/>
  <c r="N36" i="4"/>
  <c r="L4" i="2"/>
  <c r="K17" i="2"/>
  <c r="K21" i="2" s="1"/>
  <c r="L19" i="2"/>
  <c r="Q30" i="3" l="1"/>
  <c r="Q33" i="4" s="1"/>
  <c r="P33" i="4"/>
  <c r="P24" i="3"/>
  <c r="O29" i="4"/>
  <c r="P43" i="2"/>
  <c r="O44" i="2"/>
  <c r="K22" i="2"/>
  <c r="L15" i="5"/>
  <c r="K13" i="4"/>
  <c r="K23" i="5"/>
  <c r="H25" i="3"/>
  <c r="J22" i="2"/>
  <c r="K18" i="2"/>
  <c r="O36" i="4"/>
  <c r="M4" i="2"/>
  <c r="K7" i="4"/>
  <c r="M19" i="2"/>
  <c r="L17" i="2"/>
  <c r="L21" i="2" s="1"/>
  <c r="Q24" i="3" l="1"/>
  <c r="Q29" i="4" s="1"/>
  <c r="P29" i="4"/>
  <c r="P44" i="2"/>
  <c r="Q43" i="2"/>
  <c r="Q44" i="2" s="1"/>
  <c r="L13" i="4"/>
  <c r="L23" i="5"/>
  <c r="M15" i="5"/>
  <c r="L7" i="4"/>
  <c r="L18" i="2"/>
  <c r="P36" i="4"/>
  <c r="M17" i="2"/>
  <c r="M21" i="2" s="1"/>
  <c r="N19" i="2"/>
  <c r="N4" i="2"/>
  <c r="Q36" i="4" l="1"/>
  <c r="M13" i="4"/>
  <c r="M23" i="5"/>
  <c r="N15" i="5"/>
  <c r="L22" i="2"/>
  <c r="M7" i="4"/>
  <c r="M18" i="2"/>
  <c r="O4" i="2"/>
  <c r="O19" i="2"/>
  <c r="N17" i="2"/>
  <c r="N21" i="2" s="1"/>
  <c r="N13" i="4" l="1"/>
  <c r="N23" i="5"/>
  <c r="O15" i="5"/>
  <c r="M22" i="2"/>
  <c r="N7" i="4"/>
  <c r="N18" i="2"/>
  <c r="P4" i="2"/>
  <c r="P19" i="2"/>
  <c r="O17" i="2"/>
  <c r="O21" i="2" s="1"/>
  <c r="P15" i="5" l="1"/>
  <c r="O13" i="4"/>
  <c r="O23" i="5"/>
  <c r="N22" i="2"/>
  <c r="O7" i="4"/>
  <c r="O18" i="2"/>
  <c r="Q4" i="2"/>
  <c r="Q19" i="2"/>
  <c r="P17" i="2"/>
  <c r="P21" i="2" s="1"/>
  <c r="Q15" i="5" l="1"/>
  <c r="P13" i="4"/>
  <c r="P23" i="5"/>
  <c r="O22" i="2"/>
  <c r="P7" i="4"/>
  <c r="P18" i="2"/>
  <c r="Q17" i="2"/>
  <c r="Q21" i="2" s="1"/>
  <c r="Q13" i="4" l="1"/>
  <c r="Q23" i="5"/>
  <c r="P22" i="2"/>
  <c r="Q7" i="4"/>
  <c r="Q18" i="2"/>
  <c r="Q22" i="2" l="1"/>
  <c r="M14" i="4" l="1"/>
  <c r="N14" i="4"/>
  <c r="O14" i="4"/>
  <c r="J14" i="4"/>
  <c r="K14" i="4"/>
  <c r="I14" i="4"/>
  <c r="L14" i="4"/>
  <c r="Q14" i="4"/>
  <c r="P14" i="4"/>
  <c r="H14" i="4"/>
  <c r="H5" i="3"/>
  <c r="H14" i="2"/>
  <c r="H4" i="3"/>
  <c r="H10" i="2"/>
  <c r="H11" i="2" s="1"/>
  <c r="H9" i="3" l="1"/>
  <c r="I13" i="2"/>
  <c r="H3" i="5"/>
  <c r="H4" i="4"/>
  <c r="H5" i="4" s="1"/>
  <c r="I5" i="3" l="1"/>
  <c r="I4" i="3"/>
  <c r="I14" i="2"/>
  <c r="I10" i="2"/>
  <c r="I4" i="4" s="1"/>
  <c r="I3" i="5" l="1"/>
  <c r="J13" i="2"/>
  <c r="J4" i="3" s="1"/>
  <c r="I5" i="4"/>
  <c r="I11" i="2"/>
  <c r="I9" i="3"/>
  <c r="J5" i="3" l="1"/>
  <c r="K13" i="2" s="1"/>
  <c r="K14" i="2" s="1"/>
  <c r="J10" i="2"/>
  <c r="J14" i="2"/>
  <c r="J9" i="3" l="1"/>
  <c r="J11" i="2"/>
  <c r="J4" i="4"/>
  <c r="J3" i="5"/>
  <c r="K5" i="3"/>
  <c r="K4" i="3"/>
  <c r="K10" i="2"/>
  <c r="K11" i="2" s="1"/>
  <c r="K9" i="3" l="1"/>
  <c r="L13" i="2"/>
  <c r="L14" i="2" s="1"/>
  <c r="K3" i="5"/>
  <c r="K4" i="4"/>
  <c r="K5" i="4" s="1"/>
  <c r="J5" i="4"/>
  <c r="L5" i="3" l="1"/>
  <c r="L4" i="3"/>
  <c r="L10" i="2"/>
  <c r="L11" i="2" s="1"/>
  <c r="M13" i="2" l="1"/>
  <c r="M14" i="2" s="1"/>
  <c r="L9" i="3"/>
  <c r="L3" i="5"/>
  <c r="L4" i="4"/>
  <c r="L5" i="4" s="1"/>
  <c r="M5" i="3" l="1"/>
  <c r="M10" i="2"/>
  <c r="M11" i="2" s="1"/>
  <c r="M4" i="3"/>
  <c r="M9" i="3" l="1"/>
  <c r="M3" i="5"/>
  <c r="M4" i="4"/>
  <c r="M5" i="4" s="1"/>
  <c r="N13" i="2"/>
  <c r="N5" i="3" s="1"/>
  <c r="N14" i="2" l="1"/>
  <c r="N4" i="3"/>
  <c r="O13" i="2" s="1"/>
  <c r="O4" i="3" s="1"/>
  <c r="N10" i="2"/>
  <c r="N3" i="5" s="1"/>
  <c r="N11" i="2" l="1"/>
  <c r="N4" i="4"/>
  <c r="N5" i="4" s="1"/>
  <c r="O5" i="3"/>
  <c r="O9" i="3" s="1"/>
  <c r="O14" i="2"/>
  <c r="O10" i="2"/>
  <c r="O3" i="5" s="1"/>
  <c r="N9" i="3"/>
  <c r="O11" i="2" l="1"/>
  <c r="O4" i="4"/>
  <c r="O5" i="4" s="1"/>
  <c r="P13" i="2"/>
  <c r="P5" i="3" s="1"/>
  <c r="P10" i="2" l="1"/>
  <c r="P3" i="5" s="1"/>
  <c r="P4" i="3"/>
  <c r="Q13" i="2" s="1"/>
  <c r="Q14" i="2" s="1"/>
  <c r="P14" i="2"/>
  <c r="Q5" i="3" l="1"/>
  <c r="P11" i="2"/>
  <c r="P4" i="4"/>
  <c r="P5" i="4" s="1"/>
  <c r="P9" i="3"/>
  <c r="Q10" i="2"/>
  <c r="Q3" i="5" s="1"/>
  <c r="Q4" i="3"/>
  <c r="O5" i="5"/>
  <c r="O10" i="4" s="1"/>
  <c r="M5" i="5"/>
  <c r="N5" i="5"/>
  <c r="N10" i="4" s="1"/>
  <c r="N16" i="4" s="1"/>
  <c r="P5" i="5"/>
  <c r="P10" i="4" s="1"/>
  <c r="L5" i="5"/>
  <c r="L10" i="4" s="1"/>
  <c r="L16" i="4" s="1"/>
  <c r="J5" i="5"/>
  <c r="J10" i="4" s="1"/>
  <c r="Q5" i="5"/>
  <c r="Q10" i="4" s="1"/>
  <c r="K5" i="5"/>
  <c r="K10" i="4" s="1"/>
  <c r="K16" i="4" s="1"/>
  <c r="I5" i="5"/>
  <c r="I10" i="4" s="1"/>
  <c r="H5" i="5"/>
  <c r="H10" i="4" s="1"/>
  <c r="Q9" i="3" l="1"/>
  <c r="Q4" i="4"/>
  <c r="Q5" i="4" s="1"/>
  <c r="Q11" i="2"/>
  <c r="H13" i="5"/>
  <c r="H31" i="5" s="1"/>
  <c r="H35" i="5" s="1"/>
  <c r="H15" i="3" s="1"/>
  <c r="L11" i="4"/>
  <c r="P16" i="4"/>
  <c r="P11" i="4"/>
  <c r="J11" i="4"/>
  <c r="J16" i="4"/>
  <c r="L17" i="4"/>
  <c r="H11" i="4"/>
  <c r="H16" i="4"/>
  <c r="H54" i="4" s="1"/>
  <c r="I11" i="4"/>
  <c r="I16" i="4"/>
  <c r="O11" i="4"/>
  <c r="O16" i="4"/>
  <c r="K11" i="4"/>
  <c r="N11" i="4"/>
  <c r="H35" i="3"/>
  <c r="M10" i="4"/>
  <c r="Q11" i="4"/>
  <c r="K17" i="4" l="1"/>
  <c r="Q16" i="4"/>
  <c r="R25" i="4" s="1"/>
  <c r="N25" i="4" s="1"/>
  <c r="I33" i="5"/>
  <c r="P17" i="4"/>
  <c r="H30" i="4"/>
  <c r="H44" i="4" s="1"/>
  <c r="H48" i="4" s="1"/>
  <c r="H16" i="3"/>
  <c r="H18" i="3" s="1"/>
  <c r="I24" i="2"/>
  <c r="M11" i="4"/>
  <c r="M16" i="4"/>
  <c r="H39" i="3"/>
  <c r="H41" i="3" s="1"/>
  <c r="I35" i="3"/>
  <c r="H7" i="5"/>
  <c r="O17" i="4"/>
  <c r="I17" i="4"/>
  <c r="J17" i="4"/>
  <c r="H17" i="4"/>
  <c r="H24" i="4" l="1"/>
  <c r="H52" i="4"/>
  <c r="I52" i="4"/>
  <c r="J52" i="4"/>
  <c r="H56" i="4"/>
  <c r="O24" i="4"/>
  <c r="Q24" i="4"/>
  <c r="I37" i="2"/>
  <c r="I53" i="4" s="1"/>
  <c r="I9" i="5"/>
  <c r="I54" i="4" s="1"/>
  <c r="N24" i="4"/>
  <c r="N26" i="4" s="1"/>
  <c r="J24" i="4"/>
  <c r="P24" i="4"/>
  <c r="P25" i="4"/>
  <c r="H25" i="4"/>
  <c r="K25" i="4"/>
  <c r="J25" i="4"/>
  <c r="Q25" i="4"/>
  <c r="Q17" i="4"/>
  <c r="O25" i="4"/>
  <c r="L25" i="4"/>
  <c r="M25" i="4"/>
  <c r="I25" i="4"/>
  <c r="I24" i="4"/>
  <c r="J35" i="3"/>
  <c r="I7" i="5"/>
  <c r="M24" i="4"/>
  <c r="M17" i="4"/>
  <c r="L24" i="4"/>
  <c r="N17" i="4"/>
  <c r="K24" i="4"/>
  <c r="I27" i="2"/>
  <c r="I30" i="2"/>
  <c r="O26" i="4" l="1"/>
  <c r="P26" i="4"/>
  <c r="Q26" i="4"/>
  <c r="K26" i="4"/>
  <c r="J26" i="4"/>
  <c r="H26" i="4"/>
  <c r="M26" i="4"/>
  <c r="I26" i="4"/>
  <c r="L26" i="4"/>
  <c r="I28" i="2"/>
  <c r="I40" i="2"/>
  <c r="I23" i="3" s="1"/>
  <c r="I38" i="2"/>
  <c r="I47" i="2"/>
  <c r="K35" i="3"/>
  <c r="J7" i="5"/>
  <c r="I32" i="2"/>
  <c r="I11" i="5"/>
  <c r="I37" i="3" s="1"/>
  <c r="I27" i="3"/>
  <c r="H35" i="4" l="1"/>
  <c r="H37" i="4" s="1"/>
  <c r="I39" i="3"/>
  <c r="K7" i="5"/>
  <c r="L35" i="3"/>
  <c r="I48" i="2"/>
  <c r="I13" i="5"/>
  <c r="I31" i="5" s="1"/>
  <c r="I35" i="5" s="1"/>
  <c r="I32" i="3"/>
  <c r="I41" i="2"/>
  <c r="I50" i="2"/>
  <c r="I51" i="2" s="1"/>
  <c r="I25" i="3" l="1"/>
  <c r="I41" i="3"/>
  <c r="L7" i="5"/>
  <c r="M35" i="3"/>
  <c r="I15" i="3"/>
  <c r="J33" i="5"/>
  <c r="J25" i="5"/>
  <c r="J29" i="5" s="1"/>
  <c r="I54" i="2"/>
  <c r="I55" i="2"/>
  <c r="I16" i="3" l="1"/>
  <c r="I18" i="3" s="1"/>
  <c r="I30" i="4"/>
  <c r="I35" i="4" s="1"/>
  <c r="J24" i="2"/>
  <c r="M7" i="5"/>
  <c r="N35" i="3"/>
  <c r="I37" i="4" l="1"/>
  <c r="I56" i="4"/>
  <c r="J37" i="2"/>
  <c r="J53" i="4" s="1"/>
  <c r="J9" i="5"/>
  <c r="J54" i="4" s="1"/>
  <c r="N7" i="5"/>
  <c r="O35" i="3"/>
  <c r="J30" i="2"/>
  <c r="J27" i="2"/>
  <c r="J27" i="3" l="1"/>
  <c r="P35" i="3"/>
  <c r="O7" i="5"/>
  <c r="J47" i="2"/>
  <c r="J53" i="2" s="1"/>
  <c r="J55" i="4" s="1"/>
  <c r="J38" i="2"/>
  <c r="J40" i="2"/>
  <c r="J23" i="3" s="1"/>
  <c r="J28" i="2"/>
  <c r="J32" i="2"/>
  <c r="J11" i="5"/>
  <c r="J13" i="5" s="1"/>
  <c r="J31" i="5" s="1"/>
  <c r="J35" i="5" s="1"/>
  <c r="J37" i="3" l="1"/>
  <c r="J39" i="3" s="1"/>
  <c r="J50" i="2"/>
  <c r="J51" i="2" s="1"/>
  <c r="J41" i="2"/>
  <c r="J48" i="2"/>
  <c r="K33" i="5"/>
  <c r="J15" i="3"/>
  <c r="J16" i="3" s="1"/>
  <c r="J18" i="3" s="1"/>
  <c r="Q35" i="3"/>
  <c r="P7" i="5"/>
  <c r="J32" i="3"/>
  <c r="J30" i="4" l="1"/>
  <c r="J35" i="4" s="1"/>
  <c r="J41" i="3"/>
  <c r="K24" i="2"/>
  <c r="J25" i="3"/>
  <c r="Q7" i="5"/>
  <c r="K25" i="5"/>
  <c r="K29" i="5" s="1"/>
  <c r="J55" i="2"/>
  <c r="J54" i="2"/>
  <c r="J37" i="4" l="1"/>
  <c r="J56" i="4"/>
  <c r="K37" i="2"/>
  <c r="K38" i="2" s="1"/>
  <c r="K9" i="5"/>
  <c r="K27" i="3" s="1"/>
  <c r="K30" i="2"/>
  <c r="K27" i="2"/>
  <c r="K28" i="2" s="1"/>
  <c r="K47" i="2" l="1"/>
  <c r="K32" i="2"/>
  <c r="K11" i="5"/>
  <c r="K13" i="5" s="1"/>
  <c r="K31" i="5" s="1"/>
  <c r="K35" i="5" s="1"/>
  <c r="K15" i="3" s="1"/>
  <c r="K16" i="3" s="1"/>
  <c r="K18" i="3" s="1"/>
  <c r="K40" i="2"/>
  <c r="K23" i="3" s="1"/>
  <c r="K32" i="3"/>
  <c r="K48" i="2" l="1"/>
  <c r="K53" i="2"/>
  <c r="L25" i="5" s="1"/>
  <c r="L29" i="5" s="1"/>
  <c r="K50" i="2"/>
  <c r="K51" i="2" s="1"/>
  <c r="L33" i="5"/>
  <c r="K37" i="3"/>
  <c r="K39" i="3" s="1"/>
  <c r="K41" i="3" s="1"/>
  <c r="K41" i="2"/>
  <c r="K30" i="4"/>
  <c r="L24" i="2"/>
  <c r="K35" i="4" l="1"/>
  <c r="K37" i="4" s="1"/>
  <c r="K55" i="2"/>
  <c r="K54" i="2"/>
  <c r="L37" i="2"/>
  <c r="L47" i="2" s="1"/>
  <c r="L53" i="2" s="1"/>
  <c r="L9" i="5"/>
  <c r="L27" i="3" s="1"/>
  <c r="K25" i="3"/>
  <c r="L27" i="2"/>
  <c r="L28" i="2" s="1"/>
  <c r="L30" i="2"/>
  <c r="L11" i="5" s="1"/>
  <c r="L37" i="3" s="1"/>
  <c r="L38" i="2" l="1"/>
  <c r="L40" i="2"/>
  <c r="L23" i="3" s="1"/>
  <c r="L32" i="2"/>
  <c r="L13" i="5"/>
  <c r="L31" i="5" s="1"/>
  <c r="L35" i="5" s="1"/>
  <c r="M33" i="5" s="1"/>
  <c r="L32" i="3"/>
  <c r="L39" i="3"/>
  <c r="L48" i="2"/>
  <c r="L50" i="2" l="1"/>
  <c r="L51" i="2" s="1"/>
  <c r="L25" i="3"/>
  <c r="L41" i="2"/>
  <c r="L15" i="3"/>
  <c r="L16" i="3" s="1"/>
  <c r="L18" i="3" s="1"/>
  <c r="L54" i="2"/>
  <c r="L55" i="2"/>
  <c r="M25" i="5"/>
  <c r="M29" i="5" s="1"/>
  <c r="L41" i="3"/>
  <c r="L30" i="4" l="1"/>
  <c r="M24" i="2"/>
  <c r="M9" i="5" s="1"/>
  <c r="L35" i="4" l="1"/>
  <c r="L37" i="4" s="1"/>
  <c r="M27" i="2"/>
  <c r="M28" i="2" s="1"/>
  <c r="M37" i="2"/>
  <c r="M47" i="2" s="1"/>
  <c r="M53" i="2" s="1"/>
  <c r="M30" i="2"/>
  <c r="M27" i="3"/>
  <c r="M40" i="2" l="1"/>
  <c r="M23" i="3" s="1"/>
  <c r="M38" i="2"/>
  <c r="M32" i="2"/>
  <c r="M11" i="5"/>
  <c r="M37" i="3" s="1"/>
  <c r="M39" i="3" s="1"/>
  <c r="M32" i="3"/>
  <c r="M48" i="2"/>
  <c r="M41" i="2" l="1"/>
  <c r="M50" i="2"/>
  <c r="M51" i="2" s="1"/>
  <c r="M13" i="5"/>
  <c r="M31" i="5" s="1"/>
  <c r="M35" i="5" s="1"/>
  <c r="N33" i="5" s="1"/>
  <c r="M54" i="2"/>
  <c r="N25" i="5"/>
  <c r="N29" i="5" s="1"/>
  <c r="M55" i="2"/>
  <c r="M41" i="3"/>
  <c r="M25" i="3"/>
  <c r="M15" i="3" l="1"/>
  <c r="M16" i="3" s="1"/>
  <c r="M18" i="3" s="1"/>
  <c r="M30" i="4" l="1"/>
  <c r="N24" i="2"/>
  <c r="N9" i="5" s="1"/>
  <c r="M35" i="4" l="1"/>
  <c r="M37" i="4" s="1"/>
  <c r="N27" i="3"/>
  <c r="N32" i="3" s="1"/>
  <c r="N37" i="2"/>
  <c r="N47" i="2" s="1"/>
  <c r="N53" i="2" s="1"/>
  <c r="N30" i="2"/>
  <c r="N11" i="5" s="1"/>
  <c r="N37" i="3" s="1"/>
  <c r="N39" i="3" s="1"/>
  <c r="N27" i="2"/>
  <c r="N28" i="2" s="1"/>
  <c r="N40" i="2" l="1"/>
  <c r="N23" i="3" s="1"/>
  <c r="N32" i="2"/>
  <c r="N48" i="2"/>
  <c r="N38" i="2"/>
  <c r="N13" i="5"/>
  <c r="N31" i="5" s="1"/>
  <c r="N35" i="5" s="1"/>
  <c r="O33" i="5" s="1"/>
  <c r="N41" i="3"/>
  <c r="N54" i="2"/>
  <c r="O25" i="5"/>
  <c r="O29" i="5" s="1"/>
  <c r="N55" i="2"/>
  <c r="N25" i="3" l="1"/>
  <c r="N41" i="2"/>
  <c r="N50" i="2"/>
  <c r="N51" i="2" s="1"/>
  <c r="N15" i="3"/>
  <c r="N16" i="3" s="1"/>
  <c r="N18" i="3" s="1"/>
  <c r="O24" i="2" l="1"/>
  <c r="O9" i="5" s="1"/>
  <c r="N30" i="4"/>
  <c r="N35" i="4" l="1"/>
  <c r="N37" i="4" s="1"/>
  <c r="O27" i="3"/>
  <c r="O37" i="2"/>
  <c r="O38" i="2" s="1"/>
  <c r="O27" i="2"/>
  <c r="O28" i="2" s="1"/>
  <c r="O30" i="2"/>
  <c r="O40" i="2" l="1"/>
  <c r="O23" i="3" s="1"/>
  <c r="O47" i="2"/>
  <c r="O53" i="2" s="1"/>
  <c r="O11" i="5"/>
  <c r="O13" i="5" s="1"/>
  <c r="O31" i="5" s="1"/>
  <c r="O35" i="5" s="1"/>
  <c r="P33" i="5" s="1"/>
  <c r="O32" i="2"/>
  <c r="O32" i="3"/>
  <c r="O41" i="2" l="1"/>
  <c r="O25" i="3"/>
  <c r="O37" i="3"/>
  <c r="O39" i="3" s="1"/>
  <c r="O41" i="3" s="1"/>
  <c r="O15" i="3"/>
  <c r="O16" i="3" s="1"/>
  <c r="O18" i="3" s="1"/>
  <c r="O50" i="2"/>
  <c r="O51" i="2" s="1"/>
  <c r="O48" i="2"/>
  <c r="O55" i="2"/>
  <c r="O54" i="2"/>
  <c r="P25" i="5"/>
  <c r="P29" i="5" s="1"/>
  <c r="O30" i="4" l="1"/>
  <c r="P24" i="2"/>
  <c r="P9" i="5" s="1"/>
  <c r="O35" i="4" l="1"/>
  <c r="O37" i="4" s="1"/>
  <c r="P27" i="3"/>
  <c r="P32" i="3" s="1"/>
  <c r="P37" i="2"/>
  <c r="P38" i="2" s="1"/>
  <c r="P30" i="2"/>
  <c r="P11" i="5" s="1"/>
  <c r="P37" i="3" s="1"/>
  <c r="P39" i="3" s="1"/>
  <c r="P27" i="2"/>
  <c r="P28" i="2" s="1"/>
  <c r="P40" i="2" l="1"/>
  <c r="P23" i="3" s="1"/>
  <c r="P47" i="2"/>
  <c r="P32" i="2"/>
  <c r="P13" i="5"/>
  <c r="P31" i="5" s="1"/>
  <c r="P35" i="5" s="1"/>
  <c r="Q33" i="5" s="1"/>
  <c r="P41" i="3"/>
  <c r="P48" i="2" l="1"/>
  <c r="P53" i="2"/>
  <c r="Q25" i="5" s="1"/>
  <c r="Q29" i="5" s="1"/>
  <c r="P41" i="2"/>
  <c r="P25" i="3"/>
  <c r="P50" i="2"/>
  <c r="P51" i="2" s="1"/>
  <c r="P15" i="3"/>
  <c r="P16" i="3" s="1"/>
  <c r="P18" i="3" s="1"/>
  <c r="P55" i="2" l="1"/>
  <c r="P54" i="2"/>
  <c r="Q24" i="2"/>
  <c r="Q9" i="5" s="1"/>
  <c r="P30" i="4"/>
  <c r="P35" i="4" l="1"/>
  <c r="P37" i="4" s="1"/>
  <c r="Q27" i="2"/>
  <c r="Q28" i="2" s="1"/>
  <c r="Q37" i="2"/>
  <c r="Q38" i="2" s="1"/>
  <c r="Q30" i="2"/>
  <c r="Q27" i="3"/>
  <c r="Q32" i="2" l="1"/>
  <c r="Q47" i="2"/>
  <c r="Q40" i="2"/>
  <c r="Q23" i="3" s="1"/>
  <c r="Q11" i="5"/>
  <c r="Q13" i="5" s="1"/>
  <c r="Q31" i="5" s="1"/>
  <c r="Q35" i="5" s="1"/>
  <c r="Q15" i="3" s="1"/>
  <c r="Q16" i="3" s="1"/>
  <c r="Q18" i="3" s="1"/>
  <c r="Q32" i="3"/>
  <c r="Q48" i="2" l="1"/>
  <c r="Q53" i="2"/>
  <c r="Q54" i="2" s="1"/>
  <c r="Q50" i="2"/>
  <c r="Q51" i="2" s="1"/>
  <c r="Q25" i="3"/>
  <c r="Q37" i="3"/>
  <c r="Q39" i="3" s="1"/>
  <c r="Q41" i="3" s="1"/>
  <c r="Q30" i="4"/>
  <c r="Q41" i="2"/>
  <c r="Q35" i="4" l="1"/>
  <c r="Q37" i="4" s="1"/>
  <c r="Q5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Dexx 646464</author>
  </authors>
  <commentList>
    <comment ref="A10" authorId="0" shapeId="0" xr:uid="{3B721606-BA05-4CBA-8768-4B0117600A5F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Note - includes JV's &amp; assoc's</t>
        </r>
      </text>
    </comment>
    <comment ref="A17" authorId="0" shapeId="0" xr:uid="{970BF4B1-514D-4CE3-8AAE-64D7ECF3A535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Note - includes JV's &amp; assoc's</t>
        </r>
      </text>
    </comment>
    <comment ref="H18" authorId="0" shapeId="0" xr:uid="{04CD777F-3B3C-46B2-B471-77328E87CDE6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Company guidance: high-single digit organic decline
And -400mn DKK translation impact.</t>
        </r>
      </text>
    </comment>
    <comment ref="H21" authorId="0" shapeId="0" xr:uid="{FA0CC2C2-0846-4635-A31E-AD6D9F854EE9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Assume no further special items in future so change in Rptd. EBIT matches Clean EBIT change.</t>
        </r>
      </text>
    </comment>
    <comment ref="H24" authorId="0" shapeId="0" xr:uid="{A43239AA-307E-48C6-8D4D-C797FC41A7D4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Guidance: "600-650mn" excl. FX impact</t>
        </r>
      </text>
    </comment>
    <comment ref="A25" authorId="0" shapeId="0" xr:uid="{841AD6E6-18B6-47C5-A5E1-D68E0DB03AF7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To avoid circular references - can be changed if iteration is preferred.</t>
        </r>
      </text>
    </comment>
    <comment ref="A31" authorId="0" shapeId="0" xr:uid="{5930C05A-0DD1-403C-950F-2FD72DF8E5F4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Assumes the finance charge is clean of special items.</t>
        </r>
      </text>
    </comment>
    <comment ref="H32" authorId="0" shapeId="0" xr:uid="{EEE89B5C-594B-42AE-8235-C865CC81EA5C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Guidance of around 26%</t>
        </r>
      </text>
    </comment>
    <comment ref="H37" authorId="0" shapeId="0" xr:uid="{F5F549CA-4492-48C0-AC35-2519BF029CDC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Assume no special items in finance costs nor tax in forecasts.</t>
        </r>
      </text>
    </comment>
    <comment ref="H40" authorId="0" shapeId="0" xr:uid="{B9395B14-4EAA-4E79-9E10-8951B34CE2D1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Assume no further special items in future so change in Rptd. Net Income matches Clean Net Income change.</t>
        </r>
      </text>
    </comment>
    <comment ref="H43" authorId="0" shapeId="0" xr:uid="{B896705A-AC31-4827-9776-23967227CE58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Formula catches assumed buy-backs from the CF statement</t>
        </r>
      </text>
    </comment>
    <comment ref="I45" authorId="0" shapeId="0" xr:uid="{AE223B0B-0E86-49C7-B65B-EB83FB400AAF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Basic assumption of +10% sector re-rating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Dexx 646464</author>
  </authors>
  <commentList>
    <comment ref="H4" authorId="0" shapeId="0" xr:uid="{73C93966-1A50-4D6D-907C-212A92C7DC4E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Assume half of capex and 30% of M&amp;A are intangible assets.
Assume amortisation is proportional to asset split from the total D&amp;A charge.</t>
        </r>
      </text>
    </comment>
    <comment ref="H5" authorId="0" shapeId="0" xr:uid="{61D0D10A-7501-4073-9679-88CA82441630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Assume half of capex and 70% of M&amp;A are tangible assets</t>
        </r>
      </text>
    </comment>
    <comment ref="H11" authorId="0" shapeId="0" xr:uid="{10287FAE-7F65-4F59-BC80-E764FD951324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All trade &amp; other working capital changes are simply assumed to go through Trade Payables</t>
        </r>
      </text>
    </comment>
    <comment ref="H12" authorId="0" shapeId="0" xr:uid="{BC048B55-7B93-4A08-8763-6EF1F3ED61C0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All trade &amp; other working capital changes are simply assumed to go through Trade Payables</t>
        </r>
      </text>
    </comment>
    <comment ref="H13" authorId="0" shapeId="0" xr:uid="{67534421-7716-4880-9018-B06A935FB0D5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Here we capture on-trade loans and other receivables from the CF</t>
        </r>
      </text>
    </comment>
    <comment ref="G15" authorId="0" shapeId="0" xr:uid="{D1210314-CCAB-478E-B7DF-2D6F6BDEE341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Historical difference with CFS due to bank overdrafts (not included on balance sheet)</t>
        </r>
      </text>
    </comment>
    <comment ref="A22" authorId="0" shapeId="0" xr:uid="{CD965790-CBD1-4449-8265-52C1BE314743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Vast majority is FX translation reserves (for changes in FX translation of non-DKK subsidiaries)</t>
        </r>
      </text>
    </comment>
    <comment ref="H31" authorId="0" shapeId="0" xr:uid="{F16AD02E-5F58-4F27-953E-EE68A38DA82D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Total other investing from CF is reflected here</t>
        </r>
      </text>
    </comment>
    <comment ref="H35" authorId="0" shapeId="0" xr:uid="{D046C8C5-60C8-4B5F-8D07-BB261A253A8F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All trade &amp; other working capital changes are simply assumed to go through Trade Payables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Dexx 646464</author>
  </authors>
  <commentList>
    <comment ref="F7" authorId="0" shapeId="0" xr:uid="{09FFFC13-3FE0-489F-A9E1-62F2B5A7188E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This measures year-end only - mgmt guide on "average TWC". Year-end seems to be around 300bps lower.
Mgmt. expects to be able to keep average TWC within 14-16%.</t>
        </r>
      </text>
    </comment>
    <comment ref="H15" authorId="0" shapeId="0" xr:uid="{2885A108-8E61-45FF-AE22-90DC4EABC662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Guidance for around 4bn (constant FX and excl. brand rights)</t>
        </r>
      </text>
    </comment>
    <comment ref="H26" authorId="0" shapeId="0" xr:uid="{8C1363A4-B966-405E-A700-808A33FF1496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Executed in H1, mean to extend to ~5bn but halted due to COVID-19. We assume resumes next year.</t>
        </r>
      </text>
    </comment>
    <comment ref="J26" authorId="0" shapeId="0" xr:uid="{EF6B1245-C1D0-43C7-8DB8-9B3504A636E3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We then assume, in absence of M&amp;A, cash flow is used for further buy-backs</t>
        </r>
      </text>
    </comment>
    <comment ref="G27" authorId="0" shapeId="0" xr:uid="{9221A440-7A0E-4ABE-90E4-98D53567FA46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Exceptionally high as it includes purchase of minority interest. Underlying typically ~30% of dividend payment to CARLB shareholders.</t>
        </r>
      </text>
    </comment>
    <comment ref="G33" authorId="0" shapeId="0" xr:uid="{FAE3DBC5-424F-4682-8710-A6088673AF67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Using Balance Sheet figure - minor difference is due to Carlsberg definition of cash which is net bank overdraft.</t>
        </r>
      </text>
    </comment>
    <comment ref="H33" authorId="0" shapeId="0" xr:uid="{3D8776F2-F73D-4337-B9EE-DE7AE2488567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Using Balance Sheet figure - minor difference is due to Carlsberg definition of cash which is net bank overdraft.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Dexx 646464</author>
  </authors>
  <commentList>
    <comment ref="A28" authorId="0" shapeId="0" xr:uid="{5EAF5143-64F0-4FB5-B60F-1523127ECC63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Not included when EBITDA includes JVAs</t>
        </r>
      </text>
    </comment>
    <comment ref="G30" authorId="0" shapeId="0" xr:uid="{1EF6B53C-57E7-4884-B490-F8CA3D07A56F}">
      <text>
        <r>
          <rPr>
            <b/>
            <sz val="9"/>
            <color indexed="81"/>
            <rFont val="Tahoma"/>
            <charset val="1"/>
          </rPr>
          <t>Dexx 646464:</t>
        </r>
        <r>
          <rPr>
            <sz val="9"/>
            <color indexed="81"/>
            <rFont val="Tahoma"/>
            <charset val="1"/>
          </rPr>
          <t xml:space="preserve">
Differs from Carlsberg NIBD definition by c.1bn due to non-interest bearing debt</t>
        </r>
      </text>
    </comment>
    <comment ref="A33" authorId="0" shapeId="0" xr:uid="{7212D5B1-3210-4518-8B67-CB9A4E76BA1D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Largely relate to ongoing lawsuits/disputes, profit sharing in France and non-pension employee obligations - we take a slight discount to the figure to reflect the small portio for restructuring charges.</t>
        </r>
      </text>
    </comment>
    <comment ref="A48" authorId="0" shapeId="0" xr:uid="{44567437-5BF9-4600-806B-0760A3034673}">
      <text>
        <r>
          <rPr>
            <b/>
            <sz val="9"/>
            <color indexed="81"/>
            <rFont val="Tahoma"/>
            <family val="2"/>
          </rPr>
          <t>Dexx 646464:</t>
        </r>
        <r>
          <rPr>
            <sz val="9"/>
            <color indexed="81"/>
            <rFont val="Tahoma"/>
            <family val="2"/>
          </rPr>
          <t xml:space="preserve">
JVA's not added as they're already reflected in market valuation and clean EBITDA.</t>
        </r>
      </text>
    </comment>
  </commentList>
</comments>
</file>

<file path=xl/sharedStrings.xml><?xml version="1.0" encoding="utf-8"?>
<sst xmlns="http://schemas.openxmlformats.org/spreadsheetml/2006/main" count="240" uniqueCount="214">
  <si>
    <t>Beer</t>
  </si>
  <si>
    <t>Non-beer</t>
  </si>
  <si>
    <t>Revenue</t>
  </si>
  <si>
    <t>Gross profit</t>
  </si>
  <si>
    <t>EBITDA</t>
  </si>
  <si>
    <t>Operating profit before special items</t>
  </si>
  <si>
    <t>Special items, net</t>
  </si>
  <si>
    <t>Financial items, net</t>
  </si>
  <si>
    <t>Profit before tax</t>
  </si>
  <si>
    <t>Income tax</t>
  </si>
  <si>
    <t>Consolidated profit</t>
  </si>
  <si>
    <t>Non-controlling interests</t>
  </si>
  <si>
    <t>Shareholders in Carlsberg A/S (net profit)</t>
  </si>
  <si>
    <t>Total assets</t>
  </si>
  <si>
    <t>Invested capital</t>
  </si>
  <si>
    <t>Invested capital excl. goodwill</t>
  </si>
  <si>
    <t>Net interest-bearing debt (NIBD)</t>
  </si>
  <si>
    <t>Equity, shareholders in Carlsberg A/S</t>
  </si>
  <si>
    <t>Cash flow from operating activities</t>
  </si>
  <si>
    <t>Cash flow from investing activities</t>
  </si>
  <si>
    <t>Free cash flow</t>
  </si>
  <si>
    <t>Acquisition of property, plant and equipment and intangible assets</t>
  </si>
  <si>
    <t>Acquisition and disposal of subsidiaries, net</t>
  </si>
  <si>
    <t>Gross margin</t>
  </si>
  <si>
    <t>EBITDA margin</t>
  </si>
  <si>
    <t>Operating margin</t>
  </si>
  <si>
    <t>Effective tax rate</t>
  </si>
  <si>
    <t>Return on invested capital (ROIC)</t>
  </si>
  <si>
    <t>ROIC excl. goodwill</t>
  </si>
  <si>
    <t>Equity ratio</t>
  </si>
  <si>
    <t>NIBD/equity ratio</t>
  </si>
  <si>
    <t>NIBD/EBITDA</t>
  </si>
  <si>
    <t>Interest cover</t>
  </si>
  <si>
    <t>Earnings per share (EPS)</t>
  </si>
  <si>
    <t>Free cash flow per share (FCFPS)</t>
  </si>
  <si>
    <t>Dividend per share (proposed)</t>
  </si>
  <si>
    <t>Payout ratio</t>
  </si>
  <si>
    <t>Share price (B shares)</t>
  </si>
  <si>
    <t>Market capitalisation</t>
  </si>
  <si>
    <t>Number of issued shares at year-end</t>
  </si>
  <si>
    <t>Carlsberg</t>
  </si>
  <si>
    <t>Depreciation &amp; Amortisation</t>
  </si>
  <si>
    <t>Tax</t>
  </si>
  <si>
    <t>DKKmn</t>
  </si>
  <si>
    <t>%</t>
  </si>
  <si>
    <t>x</t>
  </si>
  <si>
    <t>DKK</t>
  </si>
  <si>
    <t>mn</t>
  </si>
  <si>
    <t>Average number of shares</t>
  </si>
  <si>
    <t>Number of shares at year-end</t>
  </si>
  <si>
    <t>mn hl</t>
  </si>
  <si>
    <t>units</t>
  </si>
  <si>
    <t>Shareholders in Carlsberg A/S, adjusted</t>
  </si>
  <si>
    <t>adjusted (EPS-A)</t>
  </si>
  <si>
    <t>Payout ratio, adjusted</t>
  </si>
  <si>
    <t>'000</t>
  </si>
  <si>
    <t>Net Revenue</t>
  </si>
  <si>
    <t>Clean EBIT</t>
  </si>
  <si>
    <t>Group Clean Net Income</t>
  </si>
  <si>
    <t>Manually captured data</t>
  </si>
  <si>
    <t>EBITDA before special items</t>
  </si>
  <si>
    <t>Clean EBITDA</t>
  </si>
  <si>
    <t>- as % of sales</t>
  </si>
  <si>
    <t>- margin</t>
  </si>
  <si>
    <t>- reported growth</t>
  </si>
  <si>
    <t>- organic growth</t>
  </si>
  <si>
    <t>2020E</t>
  </si>
  <si>
    <t>2021E</t>
  </si>
  <si>
    <t>2022E</t>
  </si>
  <si>
    <t>2023E</t>
  </si>
  <si>
    <t>2024E</t>
  </si>
  <si>
    <t>2025E</t>
  </si>
  <si>
    <t>Average Shares Outstanding</t>
  </si>
  <si>
    <t>Clean Earnings Per Share</t>
  </si>
  <si>
    <t>Dividend Per Share</t>
  </si>
  <si>
    <t>- payout ratio</t>
  </si>
  <si>
    <t>Capital Expenditure</t>
  </si>
  <si>
    <t>Free Cash Flow to Firm</t>
  </si>
  <si>
    <t>DCF Valuation</t>
  </si>
  <si>
    <t>WACC</t>
  </si>
  <si>
    <t>Terminal growth</t>
  </si>
  <si>
    <t>- unlevered tax rate (on EBIT)</t>
  </si>
  <si>
    <t>NPV of visible FCFF</t>
  </si>
  <si>
    <t>PV of Terminal Value</t>
  </si>
  <si>
    <t>Enterprise Value at year-end</t>
  </si>
  <si>
    <t>2026E</t>
  </si>
  <si>
    <t>2027E</t>
  </si>
  <si>
    <t>2028E</t>
  </si>
  <si>
    <t>2029E</t>
  </si>
  <si>
    <t>Pension Liabilities</t>
  </si>
  <si>
    <t>Net Deferred Tax</t>
  </si>
  <si>
    <t>Market Value of JVA's</t>
  </si>
  <si>
    <t>Net Debt</t>
  </si>
  <si>
    <t>Deferred tax assets</t>
  </si>
  <si>
    <t>Deferred tax liabilities</t>
  </si>
  <si>
    <t>Nominal weighted tax rate</t>
  </si>
  <si>
    <t>Current tax</t>
  </si>
  <si>
    <t>Special items</t>
  </si>
  <si>
    <t>Tax lines for DCF (clean and unlevered)</t>
  </si>
  <si>
    <t>Tax deductible interest charge</t>
  </si>
  <si>
    <t>Implied tax shield (est.)</t>
  </si>
  <si>
    <t>Clean unlevered tax charge</t>
  </si>
  <si>
    <t>Clean tax charge</t>
  </si>
  <si>
    <t>Retirement benefit obligations</t>
  </si>
  <si>
    <t>Non-controlling interests (book value)</t>
  </si>
  <si>
    <t>Equity Value at year-end</t>
  </si>
  <si>
    <t>Intangible assets</t>
  </si>
  <si>
    <t>Property, plant and equipment</t>
  </si>
  <si>
    <t>Investments in associates and joint ventures</t>
  </si>
  <si>
    <t>Receivables</t>
  </si>
  <si>
    <t>Tax assets</t>
  </si>
  <si>
    <t>Total non-current assets</t>
  </si>
  <si>
    <t>Inventories</t>
  </si>
  <si>
    <t>Trade receivables</t>
  </si>
  <si>
    <t>Tax receivables</t>
  </si>
  <si>
    <t>Other receivables</t>
  </si>
  <si>
    <t>Prepayments</t>
  </si>
  <si>
    <t>Cash and cash equivalents</t>
  </si>
  <si>
    <t>Total current assets</t>
  </si>
  <si>
    <t>Share capital</t>
  </si>
  <si>
    <t>Reserves</t>
  </si>
  <si>
    <t>Retained earnings</t>
  </si>
  <si>
    <t>Total equity</t>
  </si>
  <si>
    <t>Borrowings</t>
  </si>
  <si>
    <t>Retirement benefit obligations and similar obligations</t>
  </si>
  <si>
    <t>Tax liabilities</t>
  </si>
  <si>
    <t>Provisions</t>
  </si>
  <si>
    <t>Other liabilities</t>
  </si>
  <si>
    <t>Total non-current liabilities</t>
  </si>
  <si>
    <t>Trade payables</t>
  </si>
  <si>
    <t>Deposits on returnable packaging materials</t>
  </si>
  <si>
    <t>Tax payables</t>
  </si>
  <si>
    <t>Total current liabilities</t>
  </si>
  <si>
    <t>Total liabilities</t>
  </si>
  <si>
    <t>Total equity and liabilities</t>
  </si>
  <si>
    <t>Cash Flow Statement</t>
  </si>
  <si>
    <t>Other non-cash items</t>
  </si>
  <si>
    <t>Change in trade working capital</t>
  </si>
  <si>
    <t>Change in other working capital</t>
  </si>
  <si>
    <t>Restructuring costs paid</t>
  </si>
  <si>
    <t>Interest etc. received</t>
  </si>
  <si>
    <t>Interest etc. paid</t>
  </si>
  <si>
    <t>Income tax paid</t>
  </si>
  <si>
    <t>Disposal of property, plant and equipment and intangible assets</t>
  </si>
  <si>
    <t>Change in on-trade loans</t>
  </si>
  <si>
    <t>Total operational investments</t>
  </si>
  <si>
    <t>Free operating cash flow</t>
  </si>
  <si>
    <t>Acquisition and disposal of associates and joint ventures, net</t>
  </si>
  <si>
    <t>Acquisition and disposal of financial investments, net</t>
  </si>
  <si>
    <t>Change in financial receivables</t>
  </si>
  <si>
    <t>Dividends received</t>
  </si>
  <si>
    <t>Total financial investments</t>
  </si>
  <si>
    <t>Other investments in real estate</t>
  </si>
  <si>
    <t>Shareholders in Carlsberg A/S</t>
  </si>
  <si>
    <t>Share buy-back</t>
  </si>
  <si>
    <t>External financing</t>
  </si>
  <si>
    <t>Cash flow from financing activities</t>
  </si>
  <si>
    <t>Net cash flow</t>
  </si>
  <si>
    <t>Foreign exchange adjustment of cash and cash equivalents</t>
  </si>
  <si>
    <t>Balance Sheet</t>
  </si>
  <si>
    <t>Reported EBIT</t>
  </si>
  <si>
    <t>- as % of (prev. year) net debt</t>
  </si>
  <si>
    <t>Reported Profit Before Tax</t>
  </si>
  <si>
    <t>Net Finance Costs</t>
  </si>
  <si>
    <t>- reported effective tax rate</t>
  </si>
  <si>
    <t>- clean effective tax rate</t>
  </si>
  <si>
    <t>Group Reported Net Income</t>
  </si>
  <si>
    <t>Reported Earnings Per Share</t>
  </si>
  <si>
    <t>- reported y/y growth</t>
  </si>
  <si>
    <t>- FX impact</t>
  </si>
  <si>
    <t>Operating profit before depreciation, amortisation and impairment losses</t>
  </si>
  <si>
    <t>Depreciation, amortisation and impairment losses</t>
  </si>
  <si>
    <t>Cash and cash equivalents at 1 January</t>
  </si>
  <si>
    <t>Cash and cash equivalents at 31 December</t>
  </si>
  <si>
    <t>Total other activities</t>
  </si>
  <si>
    <t>Change in trade and other working capital</t>
  </si>
  <si>
    <t>Acquisitions/(disposals) net</t>
  </si>
  <si>
    <t>Long-term borrowings</t>
  </si>
  <si>
    <t>Short-term borrowings</t>
  </si>
  <si>
    <t>Change in Net Working Capital</t>
  </si>
  <si>
    <t>- as % of prior year fixed assets</t>
  </si>
  <si>
    <t>- as % of net finance costs</t>
  </si>
  <si>
    <t>Interest paid (net)</t>
  </si>
  <si>
    <t>- as % of income tax</t>
  </si>
  <si>
    <t>Cash tax paid</t>
  </si>
  <si>
    <t>- trade working capital as % of sales</t>
  </si>
  <si>
    <t>- change as % of sales</t>
  </si>
  <si>
    <t>- average share price (for buybacks)</t>
  </si>
  <si>
    <t>- acquisition/(disposal)</t>
  </si>
  <si>
    <t>Dividends to Carlsberg A/S shareholders</t>
  </si>
  <si>
    <t>Dividends to Non-Controlling Interests</t>
  </si>
  <si>
    <t>Free Cash Flow to Firm (FCFF)</t>
  </si>
  <si>
    <t>Current CARLB share price (DKK)</t>
  </si>
  <si>
    <t>- add net debt</t>
  </si>
  <si>
    <t>Provisions (excl. restructuring)</t>
  </si>
  <si>
    <t>- add pension liabilities</t>
  </si>
  <si>
    <t>- add net deferred tax</t>
  </si>
  <si>
    <t>- add provisions</t>
  </si>
  <si>
    <t>- add BV of non-controlling interest</t>
  </si>
  <si>
    <t>BV of Non-Controlling Interests</t>
  </si>
  <si>
    <t>Trading EV</t>
  </si>
  <si>
    <t>Trading EV/EBITDA (clean)</t>
  </si>
  <si>
    <t>Net debt to EBITDA (clean)</t>
  </si>
  <si>
    <t>Trading multiples</t>
  </si>
  <si>
    <t>Dividend yield</t>
  </si>
  <si>
    <t>Equity FCF yield</t>
  </si>
  <si>
    <t>Source: web scraped data from Annual Report 2019 (available on Investor Relations website)</t>
  </si>
  <si>
    <t>Price to Earnings (clean)</t>
  </si>
  <si>
    <t>Balance check</t>
  </si>
  <si>
    <t>This company model is built by Carl Walton using publicly available historical information Carlsberg's Investor Relations website.</t>
  </si>
  <si>
    <t>The forecasts/estimates and the model as a whole, are only designed to showcase my abilities to create a full equity model and some basic valuation techniques.</t>
  </si>
  <si>
    <t>The resulting valuation should not be viewed as accurate, nor the basis for an investment case.</t>
  </si>
  <si>
    <t>Forward-looking estimates are done with reference to company guidance as of H1 2020 presentation - as well as some generic estimates.</t>
  </si>
  <si>
    <t>This model is not to be distributed or re-used.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</si>
</sst>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#,##0.0;\-#,##0.0"/>
    <numFmt numFmtId="166" formatCode="#,##0.000_ ;\-#,##0.000\ "/>
    <numFmt numFmtId="167" formatCode="#,##0.0_ ;\-#,##0.0\ "/>
    <numFmt numFmtId="168" formatCode="0.0"/>
    <numFmt numFmtId="169" formatCode="#,##0.000;\-#,##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FF"/>
      <name val="Calibri"/>
      <family val="2"/>
      <scheme val="minor"/>
    </font>
    <font>
      <i/>
      <sz val="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/>
    </xf>
    <xf numFmtId="38" fontId="0" fillId="0" borderId="0" xfId="1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5" fillId="0" borderId="0" xfId="0" quotePrefix="1" applyFont="1" applyAlignment="1">
      <alignment horizontal="center"/>
    </xf>
    <xf numFmtId="0" fontId="7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right"/>
    </xf>
    <xf numFmtId="0" fontId="3" fillId="0" borderId="0" xfId="0" quotePrefix="1" applyFont="1"/>
    <xf numFmtId="0" fontId="3" fillId="0" borderId="0" xfId="0" applyFont="1" applyAlignment="1">
      <alignment horizontal="center"/>
    </xf>
    <xf numFmtId="164" fontId="3" fillId="0" borderId="0" xfId="2" applyNumberFormat="1" applyFont="1" applyAlignment="1">
      <alignment horizontal="right"/>
    </xf>
    <xf numFmtId="164" fontId="10" fillId="2" borderId="0" xfId="2" applyNumberFormat="1" applyFont="1" applyFill="1"/>
    <xf numFmtId="164" fontId="11" fillId="2" borderId="0" xfId="2" applyNumberFormat="1" applyFont="1" applyFill="1"/>
    <xf numFmtId="0" fontId="5" fillId="0" borderId="0" xfId="0" applyFont="1"/>
    <xf numFmtId="37" fontId="0" fillId="0" borderId="0" xfId="1" applyNumberFormat="1" applyFont="1" applyAlignment="1">
      <alignment horizontal="right"/>
    </xf>
    <xf numFmtId="37" fontId="0" fillId="0" borderId="0" xfId="0" applyNumberFormat="1"/>
    <xf numFmtId="165" fontId="0" fillId="0" borderId="0" xfId="1" applyNumberFormat="1" applyFont="1" applyAlignment="1">
      <alignment horizontal="right"/>
    </xf>
    <xf numFmtId="164" fontId="5" fillId="2" borderId="0" xfId="2" applyNumberFormat="1" applyFont="1" applyFill="1"/>
    <xf numFmtId="165" fontId="4" fillId="0" borderId="0" xfId="1" applyNumberFormat="1" applyFont="1" applyAlignment="1">
      <alignment horizontal="right"/>
    </xf>
    <xf numFmtId="166" fontId="0" fillId="0" borderId="0" xfId="0" applyNumberFormat="1"/>
    <xf numFmtId="9" fontId="0" fillId="0" borderId="0" xfId="2" applyFont="1"/>
    <xf numFmtId="0" fontId="12" fillId="0" borderId="0" xfId="0" applyFont="1"/>
    <xf numFmtId="1" fontId="0" fillId="0" borderId="0" xfId="0" applyNumberFormat="1"/>
    <xf numFmtId="37" fontId="13" fillId="0" borderId="0" xfId="1" applyNumberFormat="1" applyFont="1" applyAlignment="1">
      <alignment horizontal="right"/>
    </xf>
    <xf numFmtId="37" fontId="13" fillId="2" borderId="0" xfId="1" applyNumberFormat="1" applyFont="1" applyFill="1" applyAlignment="1">
      <alignment horizontal="right"/>
    </xf>
    <xf numFmtId="0" fontId="0" fillId="0" borderId="0" xfId="0" applyFont="1" applyBorder="1" applyAlignment="1">
      <alignment horizontal="left" vertical="top"/>
    </xf>
    <xf numFmtId="0" fontId="0" fillId="0" borderId="0" xfId="0" applyFont="1"/>
    <xf numFmtId="37" fontId="1" fillId="0" borderId="0" xfId="0" applyNumberFormat="1" applyFont="1"/>
    <xf numFmtId="37" fontId="1" fillId="0" borderId="0" xfId="1" applyNumberFormat="1" applyFont="1" applyAlignment="1">
      <alignment horizontal="right"/>
    </xf>
    <xf numFmtId="165" fontId="4" fillId="2" borderId="0" xfId="0" applyNumberFormat="1" applyFont="1" applyFill="1"/>
    <xf numFmtId="0" fontId="4" fillId="0" borderId="0" xfId="0" applyFont="1"/>
    <xf numFmtId="0" fontId="1" fillId="0" borderId="1" xfId="0" applyFont="1" applyBorder="1" applyAlignment="1">
      <alignment horizontal="left" vertical="top"/>
    </xf>
    <xf numFmtId="0" fontId="14" fillId="0" borderId="0" xfId="0" applyFont="1"/>
    <xf numFmtId="37" fontId="13" fillId="2" borderId="0" xfId="0" applyNumberFormat="1" applyFont="1" applyFill="1"/>
    <xf numFmtId="37" fontId="4" fillId="2" borderId="0" xfId="0" applyNumberFormat="1" applyFont="1" applyFill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quotePrefix="1" applyFont="1"/>
    <xf numFmtId="0" fontId="18" fillId="0" borderId="0" xfId="0" applyFont="1" applyAlignment="1">
      <alignment horizontal="center"/>
    </xf>
    <xf numFmtId="0" fontId="18" fillId="0" borderId="0" xfId="0" applyFont="1"/>
    <xf numFmtId="164" fontId="18" fillId="0" borderId="0" xfId="2" applyNumberFormat="1" applyFont="1" applyAlignment="1">
      <alignment horizontal="right"/>
    </xf>
    <xf numFmtId="164" fontId="19" fillId="2" borderId="0" xfId="2" applyNumberFormat="1" applyFont="1" applyFill="1"/>
    <xf numFmtId="164" fontId="20" fillId="2" borderId="0" xfId="2" applyNumberFormat="1" applyFont="1" applyFill="1"/>
    <xf numFmtId="164" fontId="17" fillId="0" borderId="0" xfId="2" applyNumberFormat="1" applyFont="1" applyAlignment="1">
      <alignment horizontal="right"/>
    </xf>
    <xf numFmtId="0" fontId="17" fillId="0" borderId="0" xfId="0" applyFont="1" applyAlignment="1">
      <alignment horizontal="center"/>
    </xf>
    <xf numFmtId="38" fontId="18" fillId="0" borderId="0" xfId="1" applyNumberFormat="1" applyFont="1" applyAlignment="1">
      <alignment horizontal="right"/>
    </xf>
    <xf numFmtId="164" fontId="17" fillId="0" borderId="0" xfId="2" applyNumberFormat="1" applyFont="1" applyFill="1" applyAlignment="1">
      <alignment horizontal="right"/>
    </xf>
    <xf numFmtId="37" fontId="0" fillId="0" borderId="0" xfId="1" applyNumberFormat="1" applyFont="1" applyAlignment="1">
      <alignment horizontal="left"/>
    </xf>
    <xf numFmtId="167" fontId="0" fillId="0" borderId="0" xfId="0" applyNumberFormat="1"/>
    <xf numFmtId="0" fontId="15" fillId="0" borderId="0" xfId="0" applyFont="1"/>
    <xf numFmtId="165" fontId="15" fillId="0" borderId="0" xfId="0" applyNumberFormat="1" applyFont="1"/>
    <xf numFmtId="164" fontId="0" fillId="0" borderId="0" xfId="2" applyNumberFormat="1" applyFont="1"/>
    <xf numFmtId="168" fontId="15" fillId="0" borderId="0" xfId="0" applyNumberFormat="1" applyFont="1"/>
    <xf numFmtId="3" fontId="17" fillId="0" borderId="0" xfId="2" applyNumberFormat="1" applyFont="1" applyAlignment="1">
      <alignment horizontal="right"/>
    </xf>
    <xf numFmtId="3" fontId="19" fillId="2" borderId="0" xfId="2" applyNumberFormat="1" applyFont="1" applyFill="1"/>
    <xf numFmtId="37" fontId="0" fillId="2" borderId="0" xfId="1" applyNumberFormat="1" applyFont="1" applyFill="1" applyAlignment="1">
      <alignment horizontal="right"/>
    </xf>
    <xf numFmtId="9" fontId="0" fillId="0" borderId="0" xfId="0" applyNumberFormat="1"/>
    <xf numFmtId="165" fontId="13" fillId="2" borderId="0" xfId="0" applyNumberFormat="1" applyFont="1" applyFill="1"/>
    <xf numFmtId="169" fontId="0" fillId="0" borderId="0" xfId="0" applyNumberFormat="1"/>
    <xf numFmtId="2" fontId="0" fillId="0" borderId="0" xfId="0" applyNumberFormat="1"/>
    <xf numFmtId="0" fontId="5" fillId="2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 applyAlignment="1">
      <alignment horizontal="center"/>
    </xf>
    <xf numFmtId="168" fontId="0" fillId="0" borderId="0" xfId="0" applyNumberFormat="1"/>
    <xf numFmtId="37" fontId="23" fillId="0" borderId="0" xfId="1" applyNumberFormat="1" applyFont="1" applyAlignment="1">
      <alignment horizontal="right"/>
    </xf>
    <xf numFmtId="37" fontId="16" fillId="0" borderId="0" xfId="0" applyNumberFormat="1" applyFont="1"/>
    <xf numFmtId="164" fontId="1" fillId="0" borderId="0" xfId="2" applyNumberFormat="1" applyFont="1"/>
    <xf numFmtId="3" fontId="4" fillId="0" borderId="0" xfId="2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1">
    <dxf>
      <font>
        <strike val="0"/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907C-2058-4295-8BE3-1391B30A3F00}">
  <dimension ref="A1:Z30"/>
  <sheetViews>
    <sheetView tabSelected="1" workbookViewId="0"/>
  </sheetViews>
  <sheetFormatPr defaultRowHeight="14.4" x14ac:dyDescent="0.3"/>
  <sheetData>
    <row r="1" spans="1:26" x14ac:dyDescent="0.3">
      <c r="A1" s="77" t="s">
        <v>209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x14ac:dyDescent="0.3">
      <c r="A2" s="77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x14ac:dyDescent="0.3">
      <c r="A3" s="77" t="s">
        <v>210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x14ac:dyDescent="0.3">
      <c r="A4" s="77" t="s">
        <v>211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x14ac:dyDescent="0.3">
      <c r="A5" s="77" t="s">
        <v>213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x14ac:dyDescent="0.3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x14ac:dyDescent="0.3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x14ac:dyDescent="0.3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x14ac:dyDescent="0.3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x14ac:dyDescent="0.3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x14ac:dyDescent="0.3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x14ac:dyDescent="0.3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x14ac:dyDescent="0.3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x14ac:dyDescent="0.3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x14ac:dyDescent="0.3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x14ac:dyDescent="0.3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x14ac:dyDescent="0.3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x14ac:dyDescent="0.3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x14ac:dyDescent="0.3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x14ac:dyDescent="0.3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x14ac:dyDescent="0.3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x14ac:dyDescent="0.3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x14ac:dyDescent="0.3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x14ac:dyDescent="0.3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x14ac:dyDescent="0.3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x14ac:dyDescent="0.3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x14ac:dyDescent="0.3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x14ac:dyDescent="0.3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x14ac:dyDescent="0.3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x14ac:dyDescent="0.3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9E58-1A69-4405-80C3-A672F48638B4}">
  <dimension ref="A1:S5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26" bestFit="1" customWidth="1"/>
    <col min="2" max="2" width="6.88671875" bestFit="1" customWidth="1"/>
    <col min="3" max="7" width="8.88671875" customWidth="1"/>
  </cols>
  <sheetData>
    <row r="1" spans="1:19" x14ac:dyDescent="0.3">
      <c r="A1" s="76" t="s">
        <v>40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14" t="s">
        <v>66</v>
      </c>
      <c r="I1" s="14" t="s">
        <v>67</v>
      </c>
      <c r="J1" s="14" t="s">
        <v>68</v>
      </c>
      <c r="K1" s="14" t="s">
        <v>69</v>
      </c>
      <c r="L1" s="14" t="s">
        <v>70</v>
      </c>
      <c r="M1" s="14" t="s">
        <v>71</v>
      </c>
      <c r="N1" s="14" t="s">
        <v>85</v>
      </c>
      <c r="O1" s="14" t="s">
        <v>86</v>
      </c>
      <c r="P1" s="14" t="s">
        <v>87</v>
      </c>
      <c r="Q1" s="14" t="s">
        <v>88</v>
      </c>
    </row>
    <row r="2" spans="1:19" x14ac:dyDescent="0.3">
      <c r="A2" s="20"/>
      <c r="C2" s="2"/>
      <c r="D2" s="2"/>
      <c r="E2" s="2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9" x14ac:dyDescent="0.3">
      <c r="A3" s="3"/>
    </row>
    <row r="4" spans="1:19" x14ac:dyDescent="0.3">
      <c r="A4" s="2" t="s">
        <v>56</v>
      </c>
      <c r="B4" s="5" t="str">
        <f>'Raw Data'!B6</f>
        <v>DKKmn</v>
      </c>
      <c r="C4" s="21">
        <f>'Raw Data'!C6</f>
        <v>65354</v>
      </c>
      <c r="D4" s="21">
        <f>'Raw Data'!D6</f>
        <v>62614</v>
      </c>
      <c r="E4" s="21">
        <f>'Raw Data'!E6</f>
        <v>60655</v>
      </c>
      <c r="F4" s="21">
        <f>'Raw Data'!F6</f>
        <v>62503</v>
      </c>
      <c r="G4" s="21">
        <f>'Raw Data'!G6</f>
        <v>65902</v>
      </c>
      <c r="H4" s="21">
        <f>G4*(1+H5)</f>
        <v>59311.8</v>
      </c>
      <c r="I4" s="21">
        <f t="shared" ref="I4:M4" si="0">H4*(1+I5)</f>
        <v>62870.508000000009</v>
      </c>
      <c r="J4" s="21">
        <f t="shared" si="0"/>
        <v>65385.328320000015</v>
      </c>
      <c r="K4" s="21">
        <f t="shared" si="0"/>
        <v>68000.741452800023</v>
      </c>
      <c r="L4" s="21">
        <f t="shared" si="0"/>
        <v>70720.771110912028</v>
      </c>
      <c r="M4" s="21">
        <f t="shared" si="0"/>
        <v>73549.601955348509</v>
      </c>
      <c r="N4" s="21">
        <f t="shared" ref="N4" si="1">M4*(1+N5)</f>
        <v>76491.586033562446</v>
      </c>
      <c r="O4" s="21">
        <f t="shared" ref="O4" si="2">N4*(1+O5)</f>
        <v>79551.249474904951</v>
      </c>
      <c r="P4" s="21">
        <f t="shared" ref="P4" si="3">O4*(1+P5)</f>
        <v>82733.299453901156</v>
      </c>
      <c r="Q4" s="21">
        <f t="shared" ref="Q4" si="4">P4*(1+Q5)</f>
        <v>86042.631432057198</v>
      </c>
      <c r="S4" s="22"/>
    </row>
    <row r="5" spans="1:19" x14ac:dyDescent="0.3">
      <c r="A5" s="44" t="s">
        <v>168</v>
      </c>
      <c r="B5" s="51" t="s">
        <v>44</v>
      </c>
      <c r="C5" s="52"/>
      <c r="D5" s="50">
        <f>D4/C4-1</f>
        <v>-4.1925513358019417E-2</v>
      </c>
      <c r="E5" s="50">
        <f t="shared" ref="E5:G5" si="5">E4/D4-1</f>
        <v>-3.1286932634874032E-2</v>
      </c>
      <c r="F5" s="50">
        <f t="shared" si="5"/>
        <v>3.0467397576457111E-2</v>
      </c>
      <c r="G5" s="50">
        <f t="shared" si="5"/>
        <v>5.4381389693294757E-2</v>
      </c>
      <c r="H5" s="49">
        <f>H6+H7+H8</f>
        <v>-0.1</v>
      </c>
      <c r="I5" s="49">
        <f t="shared" ref="I5:Q5" si="6">I6+I7+I8</f>
        <v>6.0000000000000005E-2</v>
      </c>
      <c r="J5" s="49">
        <f t="shared" si="6"/>
        <v>0.04</v>
      </c>
      <c r="K5" s="49">
        <f t="shared" si="6"/>
        <v>0.04</v>
      </c>
      <c r="L5" s="49">
        <f t="shared" si="6"/>
        <v>0.04</v>
      </c>
      <c r="M5" s="49">
        <f t="shared" si="6"/>
        <v>0.04</v>
      </c>
      <c r="N5" s="49">
        <f t="shared" si="6"/>
        <v>0.04</v>
      </c>
      <c r="O5" s="49">
        <f t="shared" si="6"/>
        <v>0.04</v>
      </c>
      <c r="P5" s="49">
        <f t="shared" si="6"/>
        <v>0.04</v>
      </c>
      <c r="Q5" s="49">
        <f t="shared" si="6"/>
        <v>0.04</v>
      </c>
    </row>
    <row r="6" spans="1:19" x14ac:dyDescent="0.3">
      <c r="A6" s="44" t="s">
        <v>65</v>
      </c>
      <c r="B6" s="51" t="str">
        <f t="shared" ref="B6:B8" si="7">$B$5</f>
        <v>%</v>
      </c>
      <c r="C6" s="52"/>
      <c r="D6" s="52"/>
      <c r="E6" s="52"/>
      <c r="F6" s="52"/>
      <c r="G6" s="52"/>
      <c r="H6" s="48">
        <v>-0.06</v>
      </c>
      <c r="I6" s="48">
        <v>0.05</v>
      </c>
      <c r="J6" s="48">
        <v>0.05</v>
      </c>
      <c r="K6" s="49">
        <f>J6</f>
        <v>0.05</v>
      </c>
      <c r="L6" s="49">
        <f t="shared" ref="L6" si="8">K6</f>
        <v>0.05</v>
      </c>
      <c r="M6" s="49">
        <f t="shared" ref="M6" si="9">L6</f>
        <v>0.05</v>
      </c>
      <c r="N6" s="49">
        <f t="shared" ref="N6" si="10">M6</f>
        <v>0.05</v>
      </c>
      <c r="O6" s="49">
        <f t="shared" ref="O6" si="11">N6</f>
        <v>0.05</v>
      </c>
      <c r="P6" s="49">
        <f t="shared" ref="P6" si="12">O6</f>
        <v>0.05</v>
      </c>
      <c r="Q6" s="49">
        <f t="shared" ref="Q6" si="13">P6</f>
        <v>0.05</v>
      </c>
    </row>
    <row r="7" spans="1:19" x14ac:dyDescent="0.3">
      <c r="A7" s="44" t="s">
        <v>169</v>
      </c>
      <c r="B7" s="51" t="str">
        <f t="shared" si="7"/>
        <v>%</v>
      </c>
      <c r="C7" s="52"/>
      <c r="D7" s="52"/>
      <c r="E7" s="52"/>
      <c r="F7" s="52"/>
      <c r="G7" s="52"/>
      <c r="H7" s="48">
        <v>-0.04</v>
      </c>
      <c r="I7" s="48">
        <v>0.01</v>
      </c>
      <c r="J7" s="48">
        <v>-0.01</v>
      </c>
      <c r="K7" s="49">
        <f>J7</f>
        <v>-0.01</v>
      </c>
      <c r="L7" s="49">
        <f t="shared" ref="L7" si="14">K7</f>
        <v>-0.01</v>
      </c>
      <c r="M7" s="49">
        <f t="shared" ref="M7" si="15">L7</f>
        <v>-0.01</v>
      </c>
      <c r="N7" s="49">
        <f t="shared" ref="N7" si="16">M7</f>
        <v>-0.01</v>
      </c>
      <c r="O7" s="49">
        <f t="shared" ref="O7" si="17">N7</f>
        <v>-0.01</v>
      </c>
      <c r="P7" s="49">
        <f t="shared" ref="P7" si="18">O7</f>
        <v>-0.01</v>
      </c>
      <c r="Q7" s="49">
        <f t="shared" ref="Q7" si="19">P7</f>
        <v>-0.01</v>
      </c>
    </row>
    <row r="8" spans="1:19" x14ac:dyDescent="0.3">
      <c r="A8" s="44" t="s">
        <v>188</v>
      </c>
      <c r="B8" s="51" t="str">
        <f t="shared" si="7"/>
        <v>%</v>
      </c>
      <c r="C8" s="52"/>
      <c r="D8" s="52"/>
      <c r="E8" s="52"/>
      <c r="F8" s="52"/>
      <c r="G8" s="52"/>
      <c r="H8" s="48">
        <v>0</v>
      </c>
      <c r="I8" s="48">
        <v>0</v>
      </c>
      <c r="J8" s="48">
        <v>0</v>
      </c>
      <c r="K8" s="49">
        <f>J8</f>
        <v>0</v>
      </c>
      <c r="L8" s="49">
        <f t="shared" ref="L8" si="20">K8</f>
        <v>0</v>
      </c>
      <c r="M8" s="49">
        <f t="shared" ref="M8" si="21">L8</f>
        <v>0</v>
      </c>
      <c r="N8" s="49">
        <f t="shared" ref="N8" si="22">M8</f>
        <v>0</v>
      </c>
      <c r="O8" s="49">
        <f t="shared" ref="O8" si="23">N8</f>
        <v>0</v>
      </c>
      <c r="P8" s="49">
        <f t="shared" ref="P8" si="24">O8</f>
        <v>0</v>
      </c>
      <c r="Q8" s="49">
        <f t="shared" ref="Q8" si="25">P8</f>
        <v>0</v>
      </c>
    </row>
    <row r="9" spans="1:19" x14ac:dyDescent="0.3">
      <c r="A9" s="2"/>
      <c r="B9" s="5"/>
      <c r="C9" s="10"/>
      <c r="D9" s="10"/>
      <c r="E9" s="10"/>
      <c r="F9" s="10"/>
      <c r="G9" s="10"/>
    </row>
    <row r="10" spans="1:19" x14ac:dyDescent="0.3">
      <c r="A10" s="2" t="s">
        <v>61</v>
      </c>
      <c r="B10" s="5" t="str">
        <f>$B$4</f>
        <v>DKKmn</v>
      </c>
      <c r="C10" s="21">
        <f>'Raw Data'!C52</f>
        <v>13213</v>
      </c>
      <c r="D10" s="21">
        <f>'Raw Data'!D52</f>
        <v>13006</v>
      </c>
      <c r="E10" s="21">
        <f>'Raw Data'!E52</f>
        <v>13583</v>
      </c>
      <c r="F10" s="21">
        <f>'Raw Data'!F52</f>
        <v>13420</v>
      </c>
      <c r="G10" s="21">
        <f>'Raw Data'!G52</f>
        <v>15007</v>
      </c>
      <c r="H10" s="21">
        <f t="shared" ref="H10:Q10" si="26">H17-H13</f>
        <v>13784.806</v>
      </c>
      <c r="I10" s="21">
        <f t="shared" si="26"/>
        <v>14644.032956000001</v>
      </c>
      <c r="J10" s="21">
        <f t="shared" si="26"/>
        <v>15296.077442112002</v>
      </c>
      <c r="K10" s="21">
        <f t="shared" si="26"/>
        <v>15881.080109074948</v>
      </c>
      <c r="L10" s="21">
        <f t="shared" si="26"/>
        <v>16502.73935388674</v>
      </c>
      <c r="M10" s="21">
        <f t="shared" si="26"/>
        <v>17162.363854264979</v>
      </c>
      <c r="N10" s="21">
        <f t="shared" si="26"/>
        <v>17861.341348143793</v>
      </c>
      <c r="O10" s="21">
        <f t="shared" si="26"/>
        <v>18601.141279813677</v>
      </c>
      <c r="P10" s="21">
        <f t="shared" si="26"/>
        <v>19383.317607326218</v>
      </c>
      <c r="Q10" s="21">
        <f t="shared" si="26"/>
        <v>20209.511776179788</v>
      </c>
      <c r="S10" s="22"/>
    </row>
    <row r="11" spans="1:19" x14ac:dyDescent="0.3">
      <c r="A11" s="44" t="s">
        <v>63</v>
      </c>
      <c r="B11" s="51" t="str">
        <f>$B$5</f>
        <v>%</v>
      </c>
      <c r="C11" s="50">
        <f t="shared" ref="C11:Q11" si="27">C10/C4</f>
        <v>0.20217584233558772</v>
      </c>
      <c r="D11" s="50">
        <f t="shared" si="27"/>
        <v>0.20771712396588624</v>
      </c>
      <c r="E11" s="50">
        <f t="shared" si="27"/>
        <v>0.22393866952435909</v>
      </c>
      <c r="F11" s="50">
        <f t="shared" si="27"/>
        <v>0.21470969393469114</v>
      </c>
      <c r="G11" s="50">
        <f t="shared" si="27"/>
        <v>0.22771691299201846</v>
      </c>
      <c r="H11" s="50">
        <f t="shared" si="27"/>
        <v>0.23241253848306745</v>
      </c>
      <c r="I11" s="50">
        <f t="shared" si="27"/>
        <v>0.23292372563619176</v>
      </c>
      <c r="J11" s="50">
        <f t="shared" si="27"/>
        <v>0.23393745715020367</v>
      </c>
      <c r="K11" s="50">
        <f t="shared" si="27"/>
        <v>0.23354274923749413</v>
      </c>
      <c r="L11" s="50">
        <f t="shared" si="27"/>
        <v>0.23335067045586005</v>
      </c>
      <c r="M11" s="50">
        <f t="shared" si="27"/>
        <v>0.23334407526344111</v>
      </c>
      <c r="N11" s="50">
        <f t="shared" si="27"/>
        <v>0.2335072688949961</v>
      </c>
      <c r="O11" s="50">
        <f t="shared" si="27"/>
        <v>0.23382588460388104</v>
      </c>
      <c r="P11" s="50">
        <f t="shared" si="27"/>
        <v>0.23428677129124492</v>
      </c>
      <c r="Q11" s="50">
        <f t="shared" si="27"/>
        <v>0.23487789064352418</v>
      </c>
    </row>
    <row r="12" spans="1:19" x14ac:dyDescent="0.3">
      <c r="A12" s="2"/>
      <c r="B12" s="5"/>
      <c r="C12" s="10"/>
      <c r="D12" s="10"/>
      <c r="E12" s="10"/>
      <c r="F12" s="10"/>
      <c r="G12" s="10"/>
    </row>
    <row r="13" spans="1:19" x14ac:dyDescent="0.3">
      <c r="A13" s="2" t="s">
        <v>41</v>
      </c>
      <c r="B13" s="5" t="str">
        <f>$B$4</f>
        <v>DKKmn</v>
      </c>
      <c r="C13" s="21">
        <f>C17-C10</f>
        <v>-4756</v>
      </c>
      <c r="D13" s="21">
        <f>D17-D10</f>
        <v>-4761</v>
      </c>
      <c r="E13" s="21">
        <f>E17-E10</f>
        <v>-4707</v>
      </c>
      <c r="F13" s="21">
        <f>F17-F10</f>
        <v>-4091</v>
      </c>
      <c r="G13" s="21">
        <f>G17-G10</f>
        <v>-4542</v>
      </c>
      <c r="H13" s="21">
        <f>-H15*('Balance Sheet'!G4+'Balance Sheet'!G5)</f>
        <v>-4591.4769999999999</v>
      </c>
      <c r="I13" s="21">
        <f>-I15*('Balance Sheet'!H4+'Balance Sheet'!H5)</f>
        <v>-4584.7516759999999</v>
      </c>
      <c r="J13" s="21">
        <f>-J15*('Balance Sheet'!I4+'Balance Sheet'!I5)</f>
        <v>-4703.6542542719999</v>
      </c>
      <c r="K13" s="21">
        <f>-K15*('Balance Sheet'!J4+'Balance Sheet'!J5)</f>
        <v>-4728.9585108157444</v>
      </c>
      <c r="L13" s="21">
        <f>-L15*('Balance Sheet'!K4+'Balance Sheet'!K5)</f>
        <v>-4763.0913494753404</v>
      </c>
      <c r="M13" s="21">
        <f>-M15*('Balance Sheet'!L4+'Balance Sheet'!L5)</f>
        <v>-4806.0307257664263</v>
      </c>
      <c r="N13" s="21">
        <f>-N15*('Balance Sheet'!M4+'Balance Sheet'!M5)</f>
        <v>-4857.7717224381759</v>
      </c>
      <c r="O13" s="21">
        <f>-O15*('Balance Sheet'!N4+'Balance Sheet'!N5)</f>
        <v>-4918.3263701300239</v>
      </c>
      <c r="P13" s="21">
        <f>-P15*('Balance Sheet'!O4+'Balance Sheet'!O5)</f>
        <v>-4987.7235023474177</v>
      </c>
      <c r="Q13" s="21">
        <f>-Q15*('Balance Sheet'!P4+'Balance Sheet'!P5)</f>
        <v>-5066.0086441377225</v>
      </c>
      <c r="S13" s="22"/>
    </row>
    <row r="14" spans="1:19" x14ac:dyDescent="0.3">
      <c r="A14" s="44" t="s">
        <v>62</v>
      </c>
      <c r="B14" s="51" t="str">
        <f t="shared" ref="B14:B15" si="28">$B$5</f>
        <v>%</v>
      </c>
      <c r="C14" s="50">
        <f>-C13/C4</f>
        <v>7.2772898368883315E-2</v>
      </c>
      <c r="D14" s="50">
        <f>-D13/D4</f>
        <v>7.6037307950298658E-2</v>
      </c>
      <c r="E14" s="50">
        <f>-E13/E4</f>
        <v>7.7602835710164048E-2</v>
      </c>
      <c r="F14" s="50">
        <f>-F13/F4</f>
        <v>6.5452858262803379E-2</v>
      </c>
      <c r="G14" s="50">
        <f>-G13/G4</f>
        <v>6.8920518345421997E-2</v>
      </c>
      <c r="H14" s="50">
        <f t="shared" ref="H14:Q14" si="29">-H13/H4</f>
        <v>7.741253848306745E-2</v>
      </c>
      <c r="I14" s="50">
        <f t="shared" si="29"/>
        <v>7.2923725636191761E-2</v>
      </c>
      <c r="J14" s="50">
        <f t="shared" si="29"/>
        <v>7.1937457150203679E-2</v>
      </c>
      <c r="K14" s="50">
        <f t="shared" si="29"/>
        <v>6.9542749237494136E-2</v>
      </c>
      <c r="L14" s="50">
        <f t="shared" si="29"/>
        <v>6.7350670455860004E-2</v>
      </c>
      <c r="M14" s="50">
        <f t="shared" si="29"/>
        <v>6.5344075263441076E-2</v>
      </c>
      <c r="N14" s="50">
        <f t="shared" si="29"/>
        <v>6.3507268894996069E-2</v>
      </c>
      <c r="O14" s="50">
        <f t="shared" si="29"/>
        <v>6.1825884603881019E-2</v>
      </c>
      <c r="P14" s="50">
        <f t="shared" si="29"/>
        <v>6.0286771291244927E-2</v>
      </c>
      <c r="Q14" s="50">
        <f t="shared" si="29"/>
        <v>5.8877890643524208E-2</v>
      </c>
    </row>
    <row r="15" spans="1:19" x14ac:dyDescent="0.3">
      <c r="A15" s="44" t="s">
        <v>180</v>
      </c>
      <c r="B15" s="51" t="str">
        <f t="shared" si="28"/>
        <v>%</v>
      </c>
      <c r="C15" s="53"/>
      <c r="D15" s="53"/>
      <c r="E15" s="53"/>
      <c r="F15" s="53"/>
      <c r="G15" s="53">
        <f>-G13/('Balance Sheet'!F4+'Balance Sheet'!F5)</f>
        <v>4.9229368537426023E-2</v>
      </c>
      <c r="H15" s="48">
        <v>4.7E-2</v>
      </c>
      <c r="I15" s="48">
        <v>4.7E-2</v>
      </c>
      <c r="J15" s="48">
        <v>4.8000000000000001E-2</v>
      </c>
      <c r="K15" s="49">
        <f t="shared" ref="K15:L15" si="30">J15</f>
        <v>4.8000000000000001E-2</v>
      </c>
      <c r="L15" s="49">
        <f t="shared" si="30"/>
        <v>4.8000000000000001E-2</v>
      </c>
      <c r="M15" s="49">
        <f>L15</f>
        <v>4.8000000000000001E-2</v>
      </c>
      <c r="N15" s="49">
        <f>M15</f>
        <v>4.8000000000000001E-2</v>
      </c>
      <c r="O15" s="49">
        <f>N15</f>
        <v>4.8000000000000001E-2</v>
      </c>
      <c r="P15" s="49">
        <f>O15</f>
        <v>4.8000000000000001E-2</v>
      </c>
      <c r="Q15" s="49">
        <f>P15</f>
        <v>4.8000000000000001E-2</v>
      </c>
    </row>
    <row r="16" spans="1:19" x14ac:dyDescent="0.3">
      <c r="A16" s="2"/>
      <c r="B16" s="5"/>
      <c r="C16" s="10"/>
      <c r="D16" s="10"/>
      <c r="E16" s="10"/>
      <c r="F16" s="10"/>
      <c r="G16" s="10"/>
    </row>
    <row r="17" spans="1:19" x14ac:dyDescent="0.3">
      <c r="A17" s="2" t="s">
        <v>57</v>
      </c>
      <c r="B17" s="5" t="str">
        <f>$B$4</f>
        <v>DKKmn</v>
      </c>
      <c r="C17" s="21">
        <f>'Raw Data'!C9</f>
        <v>8457</v>
      </c>
      <c r="D17" s="21">
        <f>'Raw Data'!D9</f>
        <v>8245</v>
      </c>
      <c r="E17" s="21">
        <f>'Raw Data'!E9</f>
        <v>8876</v>
      </c>
      <c r="F17" s="21">
        <f>'Raw Data'!F9</f>
        <v>9329</v>
      </c>
      <c r="G17" s="21">
        <f>'Raw Data'!G9</f>
        <v>10465</v>
      </c>
      <c r="H17" s="21">
        <f t="shared" ref="H17:Q17" si="31">H19*H4</f>
        <v>9193.3289999999997</v>
      </c>
      <c r="I17" s="21">
        <f t="shared" si="31"/>
        <v>10059.281280000001</v>
      </c>
      <c r="J17" s="21">
        <f t="shared" si="31"/>
        <v>10592.423187840002</v>
      </c>
      <c r="K17" s="21">
        <f t="shared" si="31"/>
        <v>11152.121598259204</v>
      </c>
      <c r="L17" s="21">
        <f t="shared" si="31"/>
        <v>11739.648004411398</v>
      </c>
      <c r="M17" s="21">
        <f t="shared" si="31"/>
        <v>12356.333128498551</v>
      </c>
      <c r="N17" s="21">
        <f t="shared" si="31"/>
        <v>13003.569625705617</v>
      </c>
      <c r="O17" s="21">
        <f t="shared" si="31"/>
        <v>13682.814909683653</v>
      </c>
      <c r="P17" s="21">
        <f t="shared" si="31"/>
        <v>14395.594104978802</v>
      </c>
      <c r="Q17" s="21">
        <f t="shared" si="31"/>
        <v>15143.503132042068</v>
      </c>
      <c r="S17" s="22"/>
    </row>
    <row r="18" spans="1:19" x14ac:dyDescent="0.3">
      <c r="A18" s="44" t="str">
        <f>$A$5</f>
        <v>- reported y/y growth</v>
      </c>
      <c r="B18" s="51" t="str">
        <f t="shared" ref="B18:B19" si="32">$B$5</f>
        <v>%</v>
      </c>
      <c r="C18" s="52"/>
      <c r="D18" s="50">
        <f>D17/C17-1</f>
        <v>-2.5067991013361657E-2</v>
      </c>
      <c r="E18" s="50">
        <f t="shared" ref="E18" si="33">E17/D17-1</f>
        <v>7.6531231049120629E-2</v>
      </c>
      <c r="F18" s="50">
        <f t="shared" ref="F18" si="34">F17/E17-1</f>
        <v>5.103650292924744E-2</v>
      </c>
      <c r="G18" s="50">
        <f t="shared" ref="G18" si="35">G17/F17-1</f>
        <v>0.12177082216743496</v>
      </c>
      <c r="H18" s="50">
        <f t="shared" ref="H18" si="36">H17/G17-1</f>
        <v>-0.12151657907310087</v>
      </c>
      <c r="I18" s="50">
        <f t="shared" ref="I18" si="37">I17/H17-1</f>
        <v>9.4193548387096815E-2</v>
      </c>
      <c r="J18" s="50">
        <f t="shared" ref="J18" si="38">J17/I17-1</f>
        <v>5.3000000000000158E-2</v>
      </c>
      <c r="K18" s="50">
        <f t="shared" ref="K18" si="39">K17/J17-1</f>
        <v>5.2839506172839723E-2</v>
      </c>
      <c r="L18" s="50">
        <f t="shared" ref="L18" si="40">L17/K17-1</f>
        <v>5.2682926829268339E-2</v>
      </c>
      <c r="M18" s="50">
        <f t="shared" ref="M18" si="41">M17/L17-1</f>
        <v>5.2530120481927733E-2</v>
      </c>
      <c r="N18" s="50">
        <f t="shared" ref="N18" si="42">N17/M17-1</f>
        <v>5.2380952380952417E-2</v>
      </c>
      <c r="O18" s="50">
        <f t="shared" ref="O18" si="43">O17/N17-1</f>
        <v>5.2235294117647157E-2</v>
      </c>
      <c r="P18" s="50">
        <f t="shared" ref="P18" si="44">P17/O17-1</f>
        <v>5.2093023255813886E-2</v>
      </c>
      <c r="Q18" s="50">
        <f t="shared" ref="Q18" si="45">Q17/P17-1</f>
        <v>5.1954022988505821E-2</v>
      </c>
    </row>
    <row r="19" spans="1:19" x14ac:dyDescent="0.3">
      <c r="A19" s="44" t="s">
        <v>63</v>
      </c>
      <c r="B19" s="51" t="str">
        <f t="shared" si="32"/>
        <v>%</v>
      </c>
      <c r="C19" s="50">
        <f>C17/C4</f>
        <v>0.1294029439667044</v>
      </c>
      <c r="D19" s="50">
        <f>D17/D4</f>
        <v>0.13167981601558756</v>
      </c>
      <c r="E19" s="50">
        <f>E17/E4</f>
        <v>0.14633583381419504</v>
      </c>
      <c r="F19" s="50">
        <f>F17/F4</f>
        <v>0.14925683567188774</v>
      </c>
      <c r="G19" s="50">
        <f>G17/G4</f>
        <v>0.15879639464659645</v>
      </c>
      <c r="H19" s="48">
        <v>0.155</v>
      </c>
      <c r="I19" s="48">
        <v>0.16</v>
      </c>
      <c r="J19" s="48">
        <f>I19+0.2%</f>
        <v>0.16200000000000001</v>
      </c>
      <c r="K19" s="49">
        <f>J19+(J19-I19)</f>
        <v>0.16400000000000001</v>
      </c>
      <c r="L19" s="49">
        <f t="shared" ref="L19:M19" si="46">K19+(K19-J19)</f>
        <v>0.16600000000000001</v>
      </c>
      <c r="M19" s="49">
        <f t="shared" si="46"/>
        <v>0.16800000000000001</v>
      </c>
      <c r="N19" s="49">
        <f t="shared" ref="N19" si="47">M19+(M19-L19)</f>
        <v>0.17</v>
      </c>
      <c r="O19" s="49">
        <f t="shared" ref="O19" si="48">N19+(N19-M19)</f>
        <v>0.17200000000000001</v>
      </c>
      <c r="P19" s="49">
        <f t="shared" ref="P19" si="49">O19+(O19-N19)</f>
        <v>0.17400000000000002</v>
      </c>
      <c r="Q19" s="49">
        <f t="shared" ref="Q19" si="50">P19+(P19-O19)</f>
        <v>0.17600000000000002</v>
      </c>
    </row>
    <row r="20" spans="1:19" x14ac:dyDescent="0.3">
      <c r="A20" s="2"/>
      <c r="B20" s="5"/>
      <c r="C20" s="10"/>
      <c r="D20" s="10"/>
      <c r="E20" s="10"/>
      <c r="F20" s="10"/>
      <c r="G20" s="10"/>
    </row>
    <row r="21" spans="1:19" x14ac:dyDescent="0.3">
      <c r="A21" s="2" t="s">
        <v>160</v>
      </c>
      <c r="B21" s="5" t="str">
        <f>$B$4</f>
        <v>DKKmn</v>
      </c>
      <c r="C21" s="21">
        <f>'Raw Data'!C9+'Raw Data'!C10</f>
        <v>-202</v>
      </c>
      <c r="D21" s="21">
        <f>'Raw Data'!D9+'Raw Data'!D10</f>
        <v>8496</v>
      </c>
      <c r="E21" s="21">
        <f>'Raw Data'!E9+'Raw Data'!E10</f>
        <v>4311</v>
      </c>
      <c r="F21" s="21">
        <f>'Raw Data'!F9+'Raw Data'!F10</f>
        <v>9241</v>
      </c>
      <c r="G21" s="21">
        <f>'Raw Data'!G9+'Raw Data'!G10</f>
        <v>10966</v>
      </c>
      <c r="H21" s="62">
        <f>H17</f>
        <v>9193.3289999999997</v>
      </c>
      <c r="I21" s="62">
        <f t="shared" ref="I21:Q21" si="51">I17</f>
        <v>10059.281280000001</v>
      </c>
      <c r="J21" s="62">
        <f t="shared" si="51"/>
        <v>10592.423187840002</v>
      </c>
      <c r="K21" s="62">
        <f t="shared" si="51"/>
        <v>11152.121598259204</v>
      </c>
      <c r="L21" s="62">
        <f t="shared" si="51"/>
        <v>11739.648004411398</v>
      </c>
      <c r="M21" s="62">
        <f t="shared" si="51"/>
        <v>12356.333128498551</v>
      </c>
      <c r="N21" s="62">
        <f t="shared" si="51"/>
        <v>13003.569625705617</v>
      </c>
      <c r="O21" s="62">
        <f t="shared" si="51"/>
        <v>13682.814909683653</v>
      </c>
      <c r="P21" s="62">
        <f t="shared" si="51"/>
        <v>14395.594104978802</v>
      </c>
      <c r="Q21" s="62">
        <f t="shared" si="51"/>
        <v>15143.503132042068</v>
      </c>
      <c r="S21" s="22"/>
    </row>
    <row r="22" spans="1:19" x14ac:dyDescent="0.3">
      <c r="A22" s="44" t="str">
        <f>$A$5</f>
        <v>- reported y/y growth</v>
      </c>
      <c r="B22" s="51" t="str">
        <f>$B$5</f>
        <v>%</v>
      </c>
      <c r="C22" s="52"/>
      <c r="D22" s="50">
        <f>D21/C21-1</f>
        <v>-43.059405940594061</v>
      </c>
      <c r="E22" s="50">
        <f t="shared" ref="E22" si="52">E21/D21-1</f>
        <v>-0.49258474576271183</v>
      </c>
      <c r="F22" s="50">
        <f t="shared" ref="F22" si="53">F21/E21-1</f>
        <v>1.1435861749014151</v>
      </c>
      <c r="G22" s="50">
        <f t="shared" ref="G22" si="54">G21/F21-1</f>
        <v>0.18666810951195756</v>
      </c>
      <c r="H22" s="50">
        <f t="shared" ref="H22" si="55">H21/G21-1</f>
        <v>-0.16165155936531095</v>
      </c>
      <c r="I22" s="50">
        <f t="shared" ref="I22" si="56">I21/H21-1</f>
        <v>9.4193548387096815E-2</v>
      </c>
      <c r="J22" s="50">
        <f t="shared" ref="J22" si="57">J21/I21-1</f>
        <v>5.3000000000000158E-2</v>
      </c>
      <c r="K22" s="50">
        <f t="shared" ref="K22" si="58">K21/J21-1</f>
        <v>5.2839506172839723E-2</v>
      </c>
      <c r="L22" s="50">
        <f t="shared" ref="L22" si="59">L21/K21-1</f>
        <v>5.2682926829268339E-2</v>
      </c>
      <c r="M22" s="50">
        <f t="shared" ref="M22" si="60">M21/L21-1</f>
        <v>5.2530120481927733E-2</v>
      </c>
      <c r="N22" s="50">
        <f t="shared" ref="N22" si="61">N21/M21-1</f>
        <v>5.2380952380952417E-2</v>
      </c>
      <c r="O22" s="50">
        <f t="shared" ref="O22" si="62">O21/N21-1</f>
        <v>5.2235294117647157E-2</v>
      </c>
      <c r="P22" s="50">
        <f t="shared" ref="P22" si="63">P21/O21-1</f>
        <v>5.2093023255813886E-2</v>
      </c>
      <c r="Q22" s="50">
        <f t="shared" ref="Q22" si="64">Q21/P21-1</f>
        <v>5.1954022988505821E-2</v>
      </c>
    </row>
    <row r="24" spans="1:19" x14ac:dyDescent="0.3">
      <c r="A24" s="2" t="s">
        <v>163</v>
      </c>
      <c r="B24" s="5" t="str">
        <f>$B$4</f>
        <v>DKKmn</v>
      </c>
      <c r="C24" s="21"/>
      <c r="D24" s="21"/>
      <c r="E24" s="21"/>
      <c r="F24" s="21">
        <f>'Raw Data'!F11</f>
        <v>-722</v>
      </c>
      <c r="G24" s="21">
        <f>'Raw Data'!G11</f>
        <v>-738</v>
      </c>
      <c r="H24" s="21">
        <f>-H25*('Balance Sheet'!G27+'Balance Sheet'!G34-'Balance Sheet'!G15)</f>
        <v>-632.60800000000006</v>
      </c>
      <c r="I24" s="21">
        <f>-I25*('Balance Sheet'!H27+'Balance Sheet'!H34-'Balance Sheet'!H15)</f>
        <v>-679.88179764000006</v>
      </c>
      <c r="J24" s="21">
        <f>-J25*('Balance Sheet'!I27+'Balance Sheet'!I34-'Balance Sheet'!I15)</f>
        <v>-786.03990011680287</v>
      </c>
      <c r="K24" s="21">
        <f>-K25*('Balance Sheet'!J27+'Balance Sheet'!J34-'Balance Sheet'!J15)</f>
        <v>-727.14282465183544</v>
      </c>
      <c r="L24" s="21">
        <f>-L25*('Balance Sheet'!K27+'Balance Sheet'!K34-'Balance Sheet'!K15)</f>
        <v>-655.35666761372704</v>
      </c>
      <c r="M24" s="21">
        <f>-M25*('Balance Sheet'!L27+'Balance Sheet'!L34-'Balance Sheet'!L15)</f>
        <v>-620.87425862529642</v>
      </c>
      <c r="N24" s="21">
        <f>-N25*('Balance Sheet'!M27+'Balance Sheet'!M34-'Balance Sheet'!M15)</f>
        <v>-577.37880342935625</v>
      </c>
      <c r="O24" s="21">
        <f>-O25*('Balance Sheet'!N27+'Balance Sheet'!N34-'Balance Sheet'!N15)</f>
        <v>-529.23971533107601</v>
      </c>
      <c r="P24" s="21">
        <f>-P25*('Balance Sheet'!O27+'Balance Sheet'!O34-'Balance Sheet'!O15)</f>
        <v>-475.28526507356355</v>
      </c>
      <c r="Q24" s="21">
        <f>-Q25*('Balance Sheet'!P27+'Balance Sheet'!P34-'Balance Sheet'!P15)</f>
        <v>-414.3028351245718</v>
      </c>
      <c r="R24" s="21"/>
      <c r="S24" s="22"/>
    </row>
    <row r="25" spans="1:19" x14ac:dyDescent="0.3">
      <c r="A25" s="44" t="s">
        <v>161</v>
      </c>
      <c r="B25" s="51" t="str">
        <f>$B$5</f>
        <v>%</v>
      </c>
      <c r="C25" s="50"/>
      <c r="D25" s="52"/>
      <c r="E25" s="52"/>
      <c r="F25" s="50"/>
      <c r="G25" s="50">
        <f>-G24/('Balance Sheet'!F27+'Balance Sheet'!F34-'Balance Sheet'!F15)</f>
        <v>4.0121778840926388E-2</v>
      </c>
      <c r="H25" s="48">
        <v>3.2000000000000001E-2</v>
      </c>
      <c r="I25" s="48">
        <v>3.4000000000000002E-2</v>
      </c>
      <c r="J25" s="48">
        <v>0.04</v>
      </c>
      <c r="K25" s="49">
        <f>J25</f>
        <v>0.04</v>
      </c>
      <c r="L25" s="49">
        <f t="shared" ref="L25" si="65">K25</f>
        <v>0.04</v>
      </c>
      <c r="M25" s="49">
        <f t="shared" ref="M25" si="66">L25</f>
        <v>0.04</v>
      </c>
      <c r="N25" s="49">
        <f t="shared" ref="N25" si="67">M25</f>
        <v>0.04</v>
      </c>
      <c r="O25" s="49">
        <f t="shared" ref="O25" si="68">N25</f>
        <v>0.04</v>
      </c>
      <c r="P25" s="49">
        <f t="shared" ref="P25" si="69">O25</f>
        <v>0.04</v>
      </c>
      <c r="Q25" s="49">
        <f t="shared" ref="Q25" si="70">P25</f>
        <v>0.04</v>
      </c>
    </row>
    <row r="26" spans="1:19" x14ac:dyDescent="0.3">
      <c r="A26" s="2"/>
      <c r="B26" s="5"/>
      <c r="C26" s="10"/>
      <c r="D26" s="10"/>
      <c r="E26" s="10"/>
      <c r="F26" s="10"/>
      <c r="G26" s="10"/>
    </row>
    <row r="27" spans="1:19" x14ac:dyDescent="0.3">
      <c r="A27" s="2" t="s">
        <v>162</v>
      </c>
      <c r="B27" s="5" t="str">
        <f>$B$4</f>
        <v>DKKmn</v>
      </c>
      <c r="C27" s="21"/>
      <c r="D27" s="21"/>
      <c r="E27" s="21"/>
      <c r="F27" s="21">
        <f>F21+F24</f>
        <v>8519</v>
      </c>
      <c r="G27" s="21">
        <f t="shared" ref="G27:Q27" si="71">G21+G24</f>
        <v>10228</v>
      </c>
      <c r="H27" s="21">
        <f t="shared" si="71"/>
        <v>8560.7209999999995</v>
      </c>
      <c r="I27" s="21">
        <f t="shared" si="71"/>
        <v>9379.3994823600005</v>
      </c>
      <c r="J27" s="21">
        <f t="shared" si="71"/>
        <v>9806.3832877231998</v>
      </c>
      <c r="K27" s="21">
        <f t="shared" si="71"/>
        <v>10424.978773607369</v>
      </c>
      <c r="L27" s="21">
        <f t="shared" si="71"/>
        <v>11084.291336797671</v>
      </c>
      <c r="M27" s="21">
        <f t="shared" si="71"/>
        <v>11735.458869873255</v>
      </c>
      <c r="N27" s="21">
        <f t="shared" si="71"/>
        <v>12426.190822276261</v>
      </c>
      <c r="O27" s="21">
        <f t="shared" si="71"/>
        <v>13153.575194352577</v>
      </c>
      <c r="P27" s="21">
        <f t="shared" si="71"/>
        <v>13920.308839905238</v>
      </c>
      <c r="Q27" s="21">
        <f t="shared" si="71"/>
        <v>14729.200296917496</v>
      </c>
      <c r="S27" s="22"/>
    </row>
    <row r="28" spans="1:19" x14ac:dyDescent="0.3">
      <c r="A28" s="44" t="str">
        <f>$A$5</f>
        <v>- reported y/y growth</v>
      </c>
      <c r="B28" s="51" t="str">
        <f>$B$5</f>
        <v>%</v>
      </c>
      <c r="C28" s="52"/>
      <c r="D28" s="50"/>
      <c r="E28" s="50"/>
      <c r="F28" s="50"/>
      <c r="G28" s="50">
        <f t="shared" ref="G28:M28" si="72">G27/F27-1</f>
        <v>0.20061040028172328</v>
      </c>
      <c r="H28" s="50">
        <f t="shared" si="72"/>
        <v>-0.16301124364489639</v>
      </c>
      <c r="I28" s="50">
        <f t="shared" si="72"/>
        <v>9.5631954640269301E-2</v>
      </c>
      <c r="J28" s="50">
        <f t="shared" si="72"/>
        <v>4.5523576020643386E-2</v>
      </c>
      <c r="K28" s="50">
        <f t="shared" si="72"/>
        <v>6.3080900239602222E-2</v>
      </c>
      <c r="L28" s="50">
        <f t="shared" si="72"/>
        <v>6.3243540107675411E-2</v>
      </c>
      <c r="M28" s="50">
        <f t="shared" si="72"/>
        <v>5.8746880002498392E-2</v>
      </c>
      <c r="N28" s="50">
        <f t="shared" ref="N28" si="73">N27/M27-1</f>
        <v>5.8858538047985798E-2</v>
      </c>
      <c r="O28" s="50">
        <f t="shared" ref="O28" si="74">O27/N27-1</f>
        <v>5.8536391600581661E-2</v>
      </c>
      <c r="P28" s="50">
        <f t="shared" ref="P28" si="75">P27/O27-1</f>
        <v>5.82908931012045E-2</v>
      </c>
      <c r="Q28" s="50">
        <f t="shared" ref="Q28" si="76">Q27/P27-1</f>
        <v>5.8108729218235178E-2</v>
      </c>
    </row>
    <row r="29" spans="1:19" x14ac:dyDescent="0.3">
      <c r="A29" s="2"/>
      <c r="B29" s="5"/>
      <c r="C29" s="10"/>
      <c r="D29" s="10"/>
      <c r="E29" s="10"/>
      <c r="F29" s="10"/>
      <c r="G29" s="10"/>
    </row>
    <row r="30" spans="1:19" x14ac:dyDescent="0.3">
      <c r="A30" s="2" t="s">
        <v>42</v>
      </c>
      <c r="B30" s="5" t="str">
        <f>$B$4</f>
        <v>DKKmn</v>
      </c>
      <c r="C30" s="21"/>
      <c r="D30" s="21"/>
      <c r="E30" s="21"/>
      <c r="F30" s="21">
        <f>'Raw Data'!F13</f>
        <v>-2386</v>
      </c>
      <c r="G30" s="21">
        <f>'Raw Data'!G13</f>
        <v>-2751</v>
      </c>
      <c r="H30" s="21">
        <f>-H31*(H17+H24)</f>
        <v>-2225.78746</v>
      </c>
      <c r="I30" s="21">
        <f t="shared" ref="I30:Q30" si="77">-I31*(I17+I24)</f>
        <v>-2532.4378602372003</v>
      </c>
      <c r="J30" s="21">
        <f t="shared" si="77"/>
        <v>-2647.723487685264</v>
      </c>
      <c r="K30" s="21">
        <f t="shared" si="77"/>
        <v>-2814.7442688739898</v>
      </c>
      <c r="L30" s="21">
        <f t="shared" si="77"/>
        <v>-2992.7586609353712</v>
      </c>
      <c r="M30" s="21">
        <f t="shared" si="77"/>
        <v>-3168.573894865779</v>
      </c>
      <c r="N30" s="21">
        <f t="shared" si="77"/>
        <v>-3355.0715220145908</v>
      </c>
      <c r="O30" s="21">
        <f t="shared" si="77"/>
        <v>-3551.465302475196</v>
      </c>
      <c r="P30" s="21">
        <f t="shared" si="77"/>
        <v>-3758.4833867744146</v>
      </c>
      <c r="Q30" s="21">
        <f t="shared" si="77"/>
        <v>-3976.8840801677238</v>
      </c>
      <c r="S30" s="22"/>
    </row>
    <row r="31" spans="1:19" x14ac:dyDescent="0.3">
      <c r="A31" s="44" t="s">
        <v>165</v>
      </c>
      <c r="B31" s="51" t="str">
        <f>$B$5</f>
        <v>%</v>
      </c>
      <c r="C31" s="52"/>
      <c r="D31" s="50"/>
      <c r="E31" s="50"/>
      <c r="F31" s="50">
        <f>-F30/(F17+F24)</f>
        <v>0.27721621935633789</v>
      </c>
      <c r="G31" s="50">
        <f>-G30/(G17+G24)</f>
        <v>0.28282101367328055</v>
      </c>
      <c r="H31" s="48">
        <v>0.26</v>
      </c>
      <c r="I31" s="48">
        <v>0.27</v>
      </c>
      <c r="J31" s="48">
        <v>0.27</v>
      </c>
      <c r="K31" s="49">
        <f>J31</f>
        <v>0.27</v>
      </c>
      <c r="L31" s="49">
        <f t="shared" ref="L31" si="78">K31</f>
        <v>0.27</v>
      </c>
      <c r="M31" s="49">
        <f t="shared" ref="M31" si="79">L31</f>
        <v>0.27</v>
      </c>
      <c r="N31" s="49">
        <f t="shared" ref="N31" si="80">M31</f>
        <v>0.27</v>
      </c>
      <c r="O31" s="49">
        <f t="shared" ref="O31" si="81">N31</f>
        <v>0.27</v>
      </c>
      <c r="P31" s="49">
        <f t="shared" ref="P31" si="82">O31</f>
        <v>0.27</v>
      </c>
      <c r="Q31" s="49">
        <f t="shared" ref="Q31" si="83">P31</f>
        <v>0.27</v>
      </c>
    </row>
    <row r="32" spans="1:19" x14ac:dyDescent="0.3">
      <c r="A32" s="44" t="s">
        <v>164</v>
      </c>
      <c r="B32" s="51" t="str">
        <f>$B$5</f>
        <v>%</v>
      </c>
      <c r="C32" s="52"/>
      <c r="D32" s="50"/>
      <c r="E32" s="50"/>
      <c r="F32" s="50">
        <f>-F30/F27</f>
        <v>0.28007982157530226</v>
      </c>
      <c r="G32" s="50">
        <f t="shared" ref="G32:Q32" si="84">-G30/G27</f>
        <v>0.26896754008603835</v>
      </c>
      <c r="H32" s="50">
        <f t="shared" si="84"/>
        <v>0.26</v>
      </c>
      <c r="I32" s="50">
        <f t="shared" si="84"/>
        <v>0.27</v>
      </c>
      <c r="J32" s="50">
        <f t="shared" si="84"/>
        <v>0.27</v>
      </c>
      <c r="K32" s="50">
        <f t="shared" si="84"/>
        <v>0.27</v>
      </c>
      <c r="L32" s="50">
        <f t="shared" si="84"/>
        <v>0.27</v>
      </c>
      <c r="M32" s="50">
        <f t="shared" si="84"/>
        <v>0.27</v>
      </c>
      <c r="N32" s="50">
        <f t="shared" si="84"/>
        <v>0.27</v>
      </c>
      <c r="O32" s="50">
        <f t="shared" si="84"/>
        <v>0.27</v>
      </c>
      <c r="P32" s="50">
        <f t="shared" si="84"/>
        <v>0.27</v>
      </c>
      <c r="Q32" s="50">
        <f t="shared" si="84"/>
        <v>0.27</v>
      </c>
    </row>
    <row r="33" spans="1:19" x14ac:dyDescent="0.3">
      <c r="A33" s="2"/>
      <c r="B33" s="5"/>
      <c r="C33" s="10"/>
      <c r="D33" s="10"/>
      <c r="E33" s="10"/>
      <c r="F33" s="10"/>
      <c r="G33" s="10"/>
    </row>
    <row r="34" spans="1:19" x14ac:dyDescent="0.3">
      <c r="A34" s="2" t="s">
        <v>11</v>
      </c>
      <c r="B34" s="5" t="str">
        <f>$B$4</f>
        <v>DKKmn</v>
      </c>
      <c r="C34" s="21">
        <f>-'Raw Data'!C15</f>
        <v>-344</v>
      </c>
      <c r="D34" s="21">
        <f>-'Raw Data'!D15</f>
        <v>-371</v>
      </c>
      <c r="E34" s="21">
        <f>-'Raw Data'!E15</f>
        <v>-806</v>
      </c>
      <c r="F34" s="21">
        <f>-'Raw Data'!F15</f>
        <v>-824</v>
      </c>
      <c r="G34" s="21">
        <f>-'Raw Data'!G15</f>
        <v>-908</v>
      </c>
      <c r="H34" s="21">
        <f>G34*(1+H35)</f>
        <v>-817.2</v>
      </c>
      <c r="I34" s="21">
        <f t="shared" ref="I34" si="85">H34*(1+I35)</f>
        <v>-878.49</v>
      </c>
      <c r="J34" s="21">
        <f t="shared" ref="J34" si="86">I34*(1+J35)</f>
        <v>-922.41450000000009</v>
      </c>
      <c r="K34" s="21">
        <f t="shared" ref="K34" si="87">J34*(1+K35)</f>
        <v>-968.53522500000008</v>
      </c>
      <c r="L34" s="21">
        <f t="shared" ref="L34" si="88">K34*(1+L35)</f>
        <v>-1016.9619862500001</v>
      </c>
      <c r="M34" s="21">
        <f t="shared" ref="M34" si="89">L34*(1+M35)</f>
        <v>-1067.8100855625003</v>
      </c>
      <c r="N34" s="21">
        <f t="shared" ref="N34" si="90">M34*(1+N35)</f>
        <v>-1121.2005898406253</v>
      </c>
      <c r="O34" s="21">
        <f t="shared" ref="O34" si="91">N34*(1+O35)</f>
        <v>-1177.2606193326567</v>
      </c>
      <c r="P34" s="21">
        <f t="shared" ref="P34" si="92">O34*(1+P35)</f>
        <v>-1236.1236502992895</v>
      </c>
      <c r="Q34" s="21">
        <f t="shared" ref="Q34" si="93">P34*(1+Q35)</f>
        <v>-1297.929832814254</v>
      </c>
      <c r="S34" s="22"/>
    </row>
    <row r="35" spans="1:19" x14ac:dyDescent="0.3">
      <c r="A35" s="44" t="str">
        <f>$A$5</f>
        <v>- reported y/y growth</v>
      </c>
      <c r="B35" s="51" t="str">
        <f>$B$5</f>
        <v>%</v>
      </c>
      <c r="C35" s="52"/>
      <c r="D35" s="50">
        <f t="shared" ref="D35:G35" si="94">D34/C34-1</f>
        <v>7.8488372093023173E-2</v>
      </c>
      <c r="E35" s="50">
        <f t="shared" si="94"/>
        <v>1.1725067385444743</v>
      </c>
      <c r="F35" s="50">
        <f t="shared" si="94"/>
        <v>2.2332506203474045E-2</v>
      </c>
      <c r="G35" s="50">
        <f t="shared" si="94"/>
        <v>0.10194174757281549</v>
      </c>
      <c r="H35" s="48">
        <v>-0.1</v>
      </c>
      <c r="I35" s="48">
        <v>7.4999999999999997E-2</v>
      </c>
      <c r="J35" s="48">
        <v>0.05</v>
      </c>
      <c r="K35" s="49">
        <f>J35</f>
        <v>0.05</v>
      </c>
      <c r="L35" s="49">
        <f t="shared" ref="L35" si="95">K35</f>
        <v>0.05</v>
      </c>
      <c r="M35" s="49">
        <f t="shared" ref="M35" si="96">L35</f>
        <v>0.05</v>
      </c>
      <c r="N35" s="49">
        <f t="shared" ref="N35" si="97">M35</f>
        <v>0.05</v>
      </c>
      <c r="O35" s="49">
        <f t="shared" ref="O35" si="98">N35</f>
        <v>0.05</v>
      </c>
      <c r="P35" s="49">
        <f t="shared" ref="P35" si="99">O35</f>
        <v>0.05</v>
      </c>
      <c r="Q35" s="49">
        <f t="shared" ref="Q35" si="100">P35</f>
        <v>0.05</v>
      </c>
    </row>
    <row r="36" spans="1:19" x14ac:dyDescent="0.3">
      <c r="A36" s="2"/>
      <c r="B36" s="5"/>
      <c r="C36" s="10"/>
      <c r="D36" s="10"/>
      <c r="E36" s="10"/>
      <c r="F36" s="10"/>
      <c r="G36" s="10"/>
    </row>
    <row r="37" spans="1:19" x14ac:dyDescent="0.3">
      <c r="A37" s="2" t="s">
        <v>58</v>
      </c>
      <c r="B37" s="5" t="str">
        <f>$B$4</f>
        <v>DKKmn</v>
      </c>
      <c r="C37" s="21">
        <f>'Raw Data'!C17</f>
        <v>4292</v>
      </c>
      <c r="D37" s="21">
        <f>'Raw Data'!D17</f>
        <v>3881</v>
      </c>
      <c r="E37" s="21">
        <f>'Raw Data'!E17</f>
        <v>4925</v>
      </c>
      <c r="F37" s="21">
        <f>'Raw Data'!F17</f>
        <v>5359</v>
      </c>
      <c r="G37" s="21">
        <f>'Raw Data'!G17</f>
        <v>6160</v>
      </c>
      <c r="H37" s="21">
        <f>(H17+H24)*(1-H31)+H34</f>
        <v>5517.7335400000002</v>
      </c>
      <c r="I37" s="21">
        <f t="shared" ref="I37:Q37" si="101">(I17+I24)*(1-I31)+I34</f>
        <v>5968.4716221228</v>
      </c>
      <c r="J37" s="21">
        <f t="shared" si="101"/>
        <v>6236.2453000379355</v>
      </c>
      <c r="K37" s="21">
        <f t="shared" si="101"/>
        <v>6641.6992797333787</v>
      </c>
      <c r="L37" s="21">
        <f t="shared" si="101"/>
        <v>7074.5706896122992</v>
      </c>
      <c r="M37" s="21">
        <f t="shared" si="101"/>
        <v>7499.0748894449753</v>
      </c>
      <c r="N37" s="21">
        <f t="shared" si="101"/>
        <v>7949.9187104210459</v>
      </c>
      <c r="O37" s="21">
        <f t="shared" si="101"/>
        <v>8424.8492725447231</v>
      </c>
      <c r="P37" s="21">
        <f t="shared" si="101"/>
        <v>8925.7018028315342</v>
      </c>
      <c r="Q37" s="21">
        <f t="shared" si="101"/>
        <v>9454.3863839355181</v>
      </c>
      <c r="S37" s="22"/>
    </row>
    <row r="38" spans="1:19" x14ac:dyDescent="0.3">
      <c r="A38" s="44" t="str">
        <f>$A$5</f>
        <v>- reported y/y growth</v>
      </c>
      <c r="B38" s="51" t="str">
        <f>$B$5</f>
        <v>%</v>
      </c>
      <c r="C38" s="52"/>
      <c r="D38" s="50">
        <f>D37/C37-1</f>
        <v>-9.5759552656104363E-2</v>
      </c>
      <c r="E38" s="50">
        <f>E37/D37-1</f>
        <v>0.26900283432105132</v>
      </c>
      <c r="F38" s="50">
        <f>F37/E37-1</f>
        <v>8.8121827411167475E-2</v>
      </c>
      <c r="G38" s="50">
        <f>G37/F37-1</f>
        <v>0.14946818436275433</v>
      </c>
      <c r="H38" s="50">
        <f>H37/G37-1</f>
        <v>-0.10426403571428566</v>
      </c>
      <c r="I38" s="50">
        <f t="shared" ref="I38:Q38" si="102">I37/H37-1</f>
        <v>8.1688990389847671E-2</v>
      </c>
      <c r="J38" s="50">
        <f t="shared" si="102"/>
        <v>4.4864698178777029E-2</v>
      </c>
      <c r="K38" s="50">
        <f t="shared" si="102"/>
        <v>6.5015720227197704E-2</v>
      </c>
      <c r="L38" s="50">
        <f t="shared" si="102"/>
        <v>6.5174798142366042E-2</v>
      </c>
      <c r="M38" s="50">
        <f t="shared" si="102"/>
        <v>6.0004234667692558E-2</v>
      </c>
      <c r="N38" s="50">
        <f t="shared" si="102"/>
        <v>6.0119925140451391E-2</v>
      </c>
      <c r="O38" s="50">
        <f t="shared" si="102"/>
        <v>5.9740304199729755E-2</v>
      </c>
      <c r="P38" s="50">
        <f t="shared" si="102"/>
        <v>5.9449435127464145E-2</v>
      </c>
      <c r="Q38" s="50">
        <f t="shared" si="102"/>
        <v>5.9231710041698582E-2</v>
      </c>
    </row>
    <row r="39" spans="1:19" x14ac:dyDescent="0.3">
      <c r="B39" s="5"/>
      <c r="C39" s="10"/>
      <c r="D39" s="10"/>
      <c r="E39" s="10"/>
      <c r="F39" s="10"/>
      <c r="G39" s="10"/>
    </row>
    <row r="40" spans="1:19" x14ac:dyDescent="0.3">
      <c r="A40" s="2" t="s">
        <v>166</v>
      </c>
      <c r="B40" s="5" t="str">
        <f>$B$4</f>
        <v>DKKmn</v>
      </c>
      <c r="C40" s="21">
        <f>'Raw Data'!C16</f>
        <v>-2926</v>
      </c>
      <c r="D40" s="21">
        <f>'Raw Data'!D16</f>
        <v>4486</v>
      </c>
      <c r="E40" s="21">
        <f>'Raw Data'!E16</f>
        <v>1259</v>
      </c>
      <c r="F40" s="21">
        <f>'Raw Data'!F16</f>
        <v>5309</v>
      </c>
      <c r="G40" s="21">
        <f>'Raw Data'!G16</f>
        <v>6569</v>
      </c>
      <c r="H40" s="21">
        <f>H27+H30+H34</f>
        <v>5517.7335400000002</v>
      </c>
      <c r="I40" s="21">
        <f t="shared" ref="I40:Q40" si="103">I27+I30+I34</f>
        <v>5968.4716221228009</v>
      </c>
      <c r="J40" s="21">
        <f t="shared" si="103"/>
        <v>6236.2453000379364</v>
      </c>
      <c r="K40" s="21">
        <f t="shared" si="103"/>
        <v>6641.6992797333787</v>
      </c>
      <c r="L40" s="21">
        <f t="shared" si="103"/>
        <v>7074.5706896122992</v>
      </c>
      <c r="M40" s="21">
        <f t="shared" si="103"/>
        <v>7499.0748894449771</v>
      </c>
      <c r="N40" s="21">
        <f t="shared" si="103"/>
        <v>7949.9187104210459</v>
      </c>
      <c r="O40" s="21">
        <f t="shared" si="103"/>
        <v>8424.849272544725</v>
      </c>
      <c r="P40" s="21">
        <f t="shared" si="103"/>
        <v>8925.7018028315342</v>
      </c>
      <c r="Q40" s="21">
        <f t="shared" si="103"/>
        <v>9454.3863839355181</v>
      </c>
      <c r="S40" s="22"/>
    </row>
    <row r="41" spans="1:19" x14ac:dyDescent="0.3">
      <c r="A41" s="44" t="str">
        <f>$A$5</f>
        <v>- reported y/y growth</v>
      </c>
      <c r="B41" s="51" t="str">
        <f>$B$5</f>
        <v>%</v>
      </c>
      <c r="C41" s="52"/>
      <c r="D41" s="50">
        <f t="shared" ref="D41:F41" si="104">D40/C40-1</f>
        <v>-2.5331510594668489</v>
      </c>
      <c r="E41" s="50">
        <f t="shared" si="104"/>
        <v>-0.71934908604547476</v>
      </c>
      <c r="F41" s="50">
        <f t="shared" si="104"/>
        <v>3.216838760921366</v>
      </c>
      <c r="G41" s="50">
        <f>G40/F40-1</f>
        <v>0.23733283104162739</v>
      </c>
      <c r="H41" s="50">
        <f>H40/G40-1</f>
        <v>-0.16003447404475568</v>
      </c>
      <c r="I41" s="50">
        <f t="shared" ref="I41:Q41" si="105">I40/H40-1</f>
        <v>8.1688990389847671E-2</v>
      </c>
      <c r="J41" s="50">
        <f t="shared" si="105"/>
        <v>4.4864698178777029E-2</v>
      </c>
      <c r="K41" s="50">
        <f t="shared" si="105"/>
        <v>6.5015720227197482E-2</v>
      </c>
      <c r="L41" s="50">
        <f t="shared" si="105"/>
        <v>6.5174798142366042E-2</v>
      </c>
      <c r="M41" s="50">
        <f t="shared" si="105"/>
        <v>6.000423466769278E-2</v>
      </c>
      <c r="N41" s="50">
        <f t="shared" si="105"/>
        <v>6.0119925140451169E-2</v>
      </c>
      <c r="O41" s="50">
        <f t="shared" si="105"/>
        <v>5.9740304199729977E-2</v>
      </c>
      <c r="P41" s="50">
        <f t="shared" si="105"/>
        <v>5.9449435127463923E-2</v>
      </c>
      <c r="Q41" s="50">
        <f t="shared" si="105"/>
        <v>5.9231710041698582E-2</v>
      </c>
    </row>
    <row r="42" spans="1:19" x14ac:dyDescent="0.3">
      <c r="B42" s="5"/>
      <c r="C42" s="10"/>
      <c r="D42" s="10"/>
      <c r="E42" s="10"/>
      <c r="F42" s="10"/>
      <c r="G42" s="10"/>
      <c r="H42" s="65"/>
    </row>
    <row r="43" spans="1:19" x14ac:dyDescent="0.3">
      <c r="A43" s="2" t="s">
        <v>72</v>
      </c>
      <c r="B43" s="5" t="s">
        <v>47</v>
      </c>
      <c r="C43" s="21">
        <f>'Raw Data'!C48/1000</f>
        <v>152.542</v>
      </c>
      <c r="D43" s="21">
        <f>'Raw Data'!D48/1000</f>
        <v>152.55199999999999</v>
      </c>
      <c r="E43" s="21">
        <f>'Raw Data'!E48/1000</f>
        <v>152.49600000000001</v>
      </c>
      <c r="F43" s="21">
        <f>'Raw Data'!F48/1000</f>
        <v>152.428</v>
      </c>
      <c r="G43" s="21">
        <f>'Raw Data'!G48/1000</f>
        <v>150.411</v>
      </c>
      <c r="H43" s="21">
        <f>G43+'Cash Flow Statement'!H26/'Income Statement'!H45</f>
        <v>147.51412862108921</v>
      </c>
      <c r="I43" s="21">
        <f>H43+'Cash Flow Statement'!I26/'Income Statement'!I45</f>
        <v>144.88060918571577</v>
      </c>
      <c r="J43" s="21">
        <f>I43+'Cash Flow Statement'!J26/'Income Statement'!J45</f>
        <v>143.44414403914845</v>
      </c>
      <c r="K43" s="21">
        <f>J43+'Cash Flow Statement'!K26/'Income Statement'!K45</f>
        <v>141.70297416452138</v>
      </c>
      <c r="L43" s="21">
        <f>K43+'Cash Flow Statement'!L26/'Income Statement'!L45</f>
        <v>139.32865160821174</v>
      </c>
      <c r="M43" s="21">
        <f>L43+'Cash Flow Statement'!M26/'Income Statement'!M45</f>
        <v>137.17017655702116</v>
      </c>
      <c r="N43" s="21">
        <f>M43+'Cash Flow Statement'!N26/'Income Statement'!N45</f>
        <v>135.20792651048427</v>
      </c>
      <c r="O43" s="21">
        <f>N43+'Cash Flow Statement'!O26/'Income Statement'!O45</f>
        <v>133.42406283181438</v>
      </c>
      <c r="P43" s="21">
        <f>O43+'Cash Flow Statement'!P26/'Income Statement'!P45</f>
        <v>131.80236857847811</v>
      </c>
      <c r="Q43" s="21">
        <f>P43+'Cash Flow Statement'!Q26/'Income Statement'!Q45</f>
        <v>130.32810107544515</v>
      </c>
      <c r="S43" s="22"/>
    </row>
    <row r="44" spans="1:19" x14ac:dyDescent="0.3">
      <c r="A44" s="44" t="str">
        <f>$A$5</f>
        <v>- reported y/y growth</v>
      </c>
      <c r="B44" s="51" t="str">
        <f>$B$5</f>
        <v>%</v>
      </c>
      <c r="C44" s="52"/>
      <c r="D44" s="50">
        <f>D43/C43-1</f>
        <v>6.5555715802911863E-5</v>
      </c>
      <c r="E44" s="50">
        <f>E43/D43-1</f>
        <v>-3.6708794378303988E-4</v>
      </c>
      <c r="F44" s="50">
        <f>F43/E43-1</f>
        <v>-4.4591333543186895E-4</v>
      </c>
      <c r="G44" s="50">
        <f>G43/F43-1</f>
        <v>-1.3232476972734664E-2</v>
      </c>
      <c r="H44" s="50">
        <f t="shared" ref="H44:Q44" si="106">H43/G43-1</f>
        <v>-1.9259704269706246E-2</v>
      </c>
      <c r="I44" s="50">
        <f t="shared" si="106"/>
        <v>-1.7852658996061366E-2</v>
      </c>
      <c r="J44" s="50">
        <f t="shared" si="106"/>
        <v>-9.9148198964705836E-3</v>
      </c>
      <c r="K44" s="50">
        <f t="shared" si="106"/>
        <v>-1.2138312695092468E-2</v>
      </c>
      <c r="L44" s="50">
        <f t="shared" si="106"/>
        <v>-1.6755629656389437E-2</v>
      </c>
      <c r="M44" s="50">
        <f t="shared" si="106"/>
        <v>-1.5491968279863544E-2</v>
      </c>
      <c r="N44" s="50">
        <f t="shared" si="106"/>
        <v>-1.430522359735531E-2</v>
      </c>
      <c r="O44" s="50">
        <f t="shared" si="106"/>
        <v>-1.3193484470243377E-2</v>
      </c>
      <c r="P44" s="50">
        <f t="shared" si="106"/>
        <v>-1.2154436155796478E-2</v>
      </c>
      <c r="Q44" s="50">
        <f t="shared" si="106"/>
        <v>-1.1185440132323143E-2</v>
      </c>
    </row>
    <row r="45" spans="1:19" x14ac:dyDescent="0.3">
      <c r="A45" s="44" t="s">
        <v>187</v>
      </c>
      <c r="B45" s="16" t="s">
        <v>46</v>
      </c>
      <c r="C45" s="52"/>
      <c r="D45" s="50"/>
      <c r="E45" s="50"/>
      <c r="F45" s="50"/>
      <c r="G45" s="60"/>
      <c r="H45" s="61">
        <v>863</v>
      </c>
      <c r="I45" s="61">
        <f t="shared" ref="I45:Q45" si="107">H45*1.1</f>
        <v>949.30000000000007</v>
      </c>
      <c r="J45" s="61">
        <f t="shared" si="107"/>
        <v>1044.2300000000002</v>
      </c>
      <c r="K45" s="61">
        <f t="shared" si="107"/>
        <v>1148.6530000000005</v>
      </c>
      <c r="L45" s="61">
        <f t="shared" si="107"/>
        <v>1263.5183000000006</v>
      </c>
      <c r="M45" s="61">
        <f t="shared" si="107"/>
        <v>1389.8701300000007</v>
      </c>
      <c r="N45" s="61">
        <f t="shared" si="107"/>
        <v>1528.8571430000009</v>
      </c>
      <c r="O45" s="61">
        <f t="shared" si="107"/>
        <v>1681.7428573000011</v>
      </c>
      <c r="P45" s="61">
        <f t="shared" si="107"/>
        <v>1849.9171430300014</v>
      </c>
      <c r="Q45" s="61">
        <f t="shared" si="107"/>
        <v>2034.9088573330016</v>
      </c>
    </row>
    <row r="46" spans="1:19" x14ac:dyDescent="0.3">
      <c r="B46" s="5"/>
      <c r="C46" s="10"/>
      <c r="D46" s="10"/>
      <c r="E46" s="10"/>
      <c r="F46" s="10"/>
      <c r="G46" s="10"/>
    </row>
    <row r="47" spans="1:19" x14ac:dyDescent="0.3">
      <c r="A47" s="2" t="s">
        <v>73</v>
      </c>
      <c r="B47" s="5" t="s">
        <v>46</v>
      </c>
      <c r="C47" s="23">
        <f>C37/C43</f>
        <v>28.136513222587876</v>
      </c>
      <c r="D47" s="23">
        <f t="shared" ref="D47:G47" si="108">D37/D43</f>
        <v>25.440505532539724</v>
      </c>
      <c r="E47" s="23">
        <f t="shared" si="108"/>
        <v>32.295929073549466</v>
      </c>
      <c r="F47" s="23">
        <f t="shared" si="108"/>
        <v>35.157582596373373</v>
      </c>
      <c r="G47" s="23">
        <f t="shared" si="108"/>
        <v>40.954451469639856</v>
      </c>
      <c r="H47" s="23">
        <f t="shared" ref="H47:M47" si="109">H37/H43</f>
        <v>37.40478008159527</v>
      </c>
      <c r="I47" s="23">
        <f t="shared" si="109"/>
        <v>41.195793251201003</v>
      </c>
      <c r="J47" s="23">
        <f t="shared" si="109"/>
        <v>43.475077646501575</v>
      </c>
      <c r="K47" s="23">
        <f t="shared" si="109"/>
        <v>46.870570775897534</v>
      </c>
      <c r="L47" s="23">
        <f t="shared" si="109"/>
        <v>50.776136910488397</v>
      </c>
      <c r="M47" s="23">
        <f t="shared" si="109"/>
        <v>54.669863943257639</v>
      </c>
      <c r="N47" s="23">
        <f t="shared" ref="N47:Q47" si="110">N37/N43</f>
        <v>58.797726698401775</v>
      </c>
      <c r="O47" s="23">
        <f t="shared" si="110"/>
        <v>63.143402274929485</v>
      </c>
      <c r="P47" s="23">
        <f t="shared" si="110"/>
        <v>67.720344475577235</v>
      </c>
      <c r="Q47" s="23">
        <f t="shared" si="110"/>
        <v>72.542961233375934</v>
      </c>
      <c r="S47" s="22"/>
    </row>
    <row r="48" spans="1:19" x14ac:dyDescent="0.3">
      <c r="A48" s="44" t="str">
        <f>$A$5</f>
        <v>- reported y/y growth</v>
      </c>
      <c r="B48" s="51" t="str">
        <f>$B$5</f>
        <v>%</v>
      </c>
      <c r="C48" s="52"/>
      <c r="D48" s="50">
        <f>D47/C47-1</f>
        <v>-9.5818826900122334E-2</v>
      </c>
      <c r="E48" s="50">
        <f>E47/D47-1</f>
        <v>0.26946884102760071</v>
      </c>
      <c r="F48" s="50">
        <f>F47/E47-1</f>
        <v>8.8607251901838602E-2</v>
      </c>
      <c r="G48" s="50">
        <f>G47/F47-1</f>
        <v>0.16488246475354784</v>
      </c>
      <c r="H48" s="50">
        <f t="shared" ref="H48:M48" si="111">H47/G47-1</f>
        <v>-8.6673640121294526E-2</v>
      </c>
      <c r="I48" s="50">
        <f t="shared" si="111"/>
        <v>0.10135103484998353</v>
      </c>
      <c r="J48" s="50">
        <f t="shared" si="111"/>
        <v>5.5328086083986872E-2</v>
      </c>
      <c r="K48" s="50">
        <f t="shared" si="111"/>
        <v>7.8102060150528452E-2</v>
      </c>
      <c r="L48" s="50">
        <f t="shared" si="111"/>
        <v>8.3326617746230625E-2</v>
      </c>
      <c r="M48" s="50">
        <f t="shared" si="111"/>
        <v>7.6684192017864028E-2</v>
      </c>
      <c r="N48" s="50">
        <f t="shared" ref="N48" si="112">N47/M47-1</f>
        <v>7.5505268486281363E-2</v>
      </c>
      <c r="O48" s="50">
        <f t="shared" ref="O48" si="113">O47/N47-1</f>
        <v>7.390890465576172E-2</v>
      </c>
      <c r="P48" s="50">
        <f t="shared" ref="P48" si="114">P47/O47-1</f>
        <v>7.248488418029031E-2</v>
      </c>
      <c r="Q48" s="50">
        <f t="shared" ref="Q48" si="115">Q47/P47-1</f>
        <v>7.1213706828350931E-2</v>
      </c>
    </row>
    <row r="49" spans="1:19" x14ac:dyDescent="0.3">
      <c r="A49" s="15"/>
      <c r="B49" s="16"/>
      <c r="C49" s="23"/>
      <c r="D49" s="23"/>
      <c r="E49" s="23"/>
      <c r="F49" s="23"/>
      <c r="G49" s="23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9" x14ac:dyDescent="0.3">
      <c r="A50" s="2" t="s">
        <v>167</v>
      </c>
      <c r="B50" s="5" t="str">
        <f>$B$47</f>
        <v>DKK</v>
      </c>
      <c r="C50" s="23">
        <f>C40/C43</f>
        <v>-19.181602443917086</v>
      </c>
      <c r="D50" s="23">
        <f t="shared" ref="D50:G50" si="116">D40/D43</f>
        <v>29.406366353767897</v>
      </c>
      <c r="E50" s="23">
        <f t="shared" si="116"/>
        <v>8.2559542545378228</v>
      </c>
      <c r="F50" s="23">
        <f t="shared" si="116"/>
        <v>34.829558873697749</v>
      </c>
      <c r="G50" s="23">
        <f t="shared" si="116"/>
        <v>43.673667484426005</v>
      </c>
      <c r="H50" s="23">
        <f t="shared" ref="H50:Q50" si="117">H40/H43</f>
        <v>37.40478008159527</v>
      </c>
      <c r="I50" s="23">
        <f t="shared" si="117"/>
        <v>41.19579325120101</v>
      </c>
      <c r="J50" s="23">
        <f t="shared" si="117"/>
        <v>43.475077646501582</v>
      </c>
      <c r="K50" s="23">
        <f t="shared" si="117"/>
        <v>46.870570775897534</v>
      </c>
      <c r="L50" s="23">
        <f t="shared" si="117"/>
        <v>50.776136910488397</v>
      </c>
      <c r="M50" s="23">
        <f t="shared" si="117"/>
        <v>54.669863943257653</v>
      </c>
      <c r="N50" s="23">
        <f t="shared" si="117"/>
        <v>58.797726698401775</v>
      </c>
      <c r="O50" s="23">
        <f t="shared" si="117"/>
        <v>63.1434022749295</v>
      </c>
      <c r="P50" s="23">
        <f t="shared" si="117"/>
        <v>67.720344475577235</v>
      </c>
      <c r="Q50" s="23">
        <f t="shared" si="117"/>
        <v>72.542961233375934</v>
      </c>
      <c r="S50" s="22"/>
    </row>
    <row r="51" spans="1:19" x14ac:dyDescent="0.3">
      <c r="A51" s="44" t="str">
        <f>$A$5</f>
        <v>- reported y/y growth</v>
      </c>
      <c r="B51" s="51" t="str">
        <f>$B$5</f>
        <v>%</v>
      </c>
      <c r="C51" s="52"/>
      <c r="D51" s="50">
        <f>D50/C50-1</f>
        <v>-2.5330505592400758</v>
      </c>
      <c r="E51" s="50">
        <f>E50/D50-1</f>
        <v>-0.71924602464595322</v>
      </c>
      <c r="F51" s="50">
        <f>F50/E50-1</f>
        <v>3.2187199444030288</v>
      </c>
      <c r="G51" s="50">
        <f>G50/F50-1</f>
        <v>0.25392536962066048</v>
      </c>
      <c r="H51" s="50">
        <f t="shared" ref="H51:Q51" si="118">H50/G50-1</f>
        <v>-0.14353929413109667</v>
      </c>
      <c r="I51" s="50">
        <f t="shared" si="118"/>
        <v>0.10135103484998376</v>
      </c>
      <c r="J51" s="50">
        <f t="shared" si="118"/>
        <v>5.5328086083986872E-2</v>
      </c>
      <c r="K51" s="50">
        <f t="shared" si="118"/>
        <v>7.810206015052823E-2</v>
      </c>
      <c r="L51" s="50">
        <f t="shared" si="118"/>
        <v>8.3326617746230625E-2</v>
      </c>
      <c r="M51" s="50">
        <f t="shared" si="118"/>
        <v>7.668419201786425E-2</v>
      </c>
      <c r="N51" s="50">
        <f t="shared" si="118"/>
        <v>7.5505268486280919E-2</v>
      </c>
      <c r="O51" s="50">
        <f t="shared" si="118"/>
        <v>7.3908904655761942E-2</v>
      </c>
      <c r="P51" s="50">
        <f t="shared" si="118"/>
        <v>7.2484884180290088E-2</v>
      </c>
      <c r="Q51" s="50">
        <f t="shared" si="118"/>
        <v>7.1213706828350931E-2</v>
      </c>
    </row>
    <row r="52" spans="1:19" x14ac:dyDescent="0.3">
      <c r="A52" s="15"/>
      <c r="B52" s="5"/>
      <c r="C52" s="10"/>
      <c r="D52" s="17"/>
      <c r="E52" s="17"/>
      <c r="F52" s="17"/>
      <c r="G52" s="17"/>
    </row>
    <row r="53" spans="1:19" x14ac:dyDescent="0.3">
      <c r="A53" s="2" t="s">
        <v>74</v>
      </c>
      <c r="B53" s="5" t="str">
        <f>$B$47</f>
        <v>DKK</v>
      </c>
      <c r="C53" s="23">
        <f>'Raw Data'!C41</f>
        <v>9</v>
      </c>
      <c r="D53" s="23">
        <f>'Raw Data'!D41</f>
        <v>10</v>
      </c>
      <c r="E53" s="23">
        <f>'Raw Data'!E41</f>
        <v>16</v>
      </c>
      <c r="F53" s="23">
        <f>'Raw Data'!F41</f>
        <v>18</v>
      </c>
      <c r="G53" s="23">
        <f>'Raw Data'!G41</f>
        <v>21</v>
      </c>
      <c r="H53" s="36">
        <v>21</v>
      </c>
      <c r="I53" s="36">
        <v>22</v>
      </c>
      <c r="J53" s="36">
        <f>FLOOR(55%*J47, 1)</f>
        <v>23</v>
      </c>
      <c r="K53" s="64">
        <f>FLOOR(55%*K47, 1)</f>
        <v>25</v>
      </c>
      <c r="L53" s="64">
        <f>FLOOR(52%*L47, 1)</f>
        <v>26</v>
      </c>
      <c r="M53" s="64">
        <f t="shared" ref="M53:Q53" si="119">FLOOR(52%*M47, 1)</f>
        <v>28</v>
      </c>
      <c r="N53" s="64">
        <f t="shared" si="119"/>
        <v>30</v>
      </c>
      <c r="O53" s="64">
        <f t="shared" si="119"/>
        <v>32</v>
      </c>
      <c r="P53" s="64">
        <f t="shared" si="119"/>
        <v>35</v>
      </c>
      <c r="Q53" s="64">
        <f t="shared" si="119"/>
        <v>37</v>
      </c>
      <c r="S53" s="22"/>
    </row>
    <row r="54" spans="1:19" x14ac:dyDescent="0.3">
      <c r="A54" s="44" t="str">
        <f>$A$5</f>
        <v>- reported y/y growth</v>
      </c>
      <c r="B54" s="51" t="str">
        <f t="shared" ref="B54:B55" si="120">$B$5</f>
        <v>%</v>
      </c>
      <c r="C54" s="52"/>
      <c r="D54" s="50">
        <f>D53/C53-1</f>
        <v>0.11111111111111116</v>
      </c>
      <c r="E54" s="50">
        <f>E53/D53-1</f>
        <v>0.60000000000000009</v>
      </c>
      <c r="F54" s="50">
        <f>F53/E53-1</f>
        <v>0.125</v>
      </c>
      <c r="G54" s="50">
        <f>G53/F53-1</f>
        <v>0.16666666666666674</v>
      </c>
      <c r="H54" s="50">
        <f>H53/G53-1</f>
        <v>0</v>
      </c>
      <c r="I54" s="50">
        <f t="shared" ref="I54:M54" si="121">I53/H53-1</f>
        <v>4.7619047619047672E-2</v>
      </c>
      <c r="J54" s="50">
        <f t="shared" si="121"/>
        <v>4.5454545454545414E-2</v>
      </c>
      <c r="K54" s="50">
        <f t="shared" si="121"/>
        <v>8.6956521739130377E-2</v>
      </c>
      <c r="L54" s="50">
        <f t="shared" si="121"/>
        <v>4.0000000000000036E-2</v>
      </c>
      <c r="M54" s="50">
        <f t="shared" si="121"/>
        <v>7.6923076923076872E-2</v>
      </c>
      <c r="N54" s="50">
        <f t="shared" ref="N54" si="122">N53/M53-1</f>
        <v>7.1428571428571397E-2</v>
      </c>
      <c r="O54" s="50">
        <f t="shared" ref="O54" si="123">O53/N53-1</f>
        <v>6.6666666666666652E-2</v>
      </c>
      <c r="P54" s="50">
        <f t="shared" ref="P54" si="124">P53/O53-1</f>
        <v>9.375E-2</v>
      </c>
      <c r="Q54" s="50">
        <f t="shared" ref="Q54" si="125">Q53/P53-1</f>
        <v>5.7142857142857162E-2</v>
      </c>
    </row>
    <row r="55" spans="1:19" x14ac:dyDescent="0.3">
      <c r="A55" s="44" t="s">
        <v>75</v>
      </c>
      <c r="B55" s="51" t="str">
        <f t="shared" si="120"/>
        <v>%</v>
      </c>
      <c r="C55" s="50">
        <f>C53/C47</f>
        <v>0.31986905871388632</v>
      </c>
      <c r="D55" s="50">
        <f t="shared" ref="D55:H55" si="126">D53/D47</f>
        <v>0.39307395001288326</v>
      </c>
      <c r="E55" s="50">
        <f t="shared" si="126"/>
        <v>0.49541847715736048</v>
      </c>
      <c r="F55" s="50">
        <f t="shared" si="126"/>
        <v>0.51198059339428992</v>
      </c>
      <c r="G55" s="50">
        <f t="shared" si="126"/>
        <v>0.51276477272727272</v>
      </c>
      <c r="H55" s="50">
        <f t="shared" si="126"/>
        <v>0.56142557058724396</v>
      </c>
      <c r="I55" s="50">
        <f t="shared" ref="I55:M55" si="127">I53/I47</f>
        <v>0.53403511047474783</v>
      </c>
      <c r="J55" s="50">
        <f t="shared" si="127"/>
        <v>0.52903873311082639</v>
      </c>
      <c r="K55" s="50">
        <f t="shared" si="127"/>
        <v>0.53338373282315277</v>
      </c>
      <c r="L55" s="50">
        <f t="shared" si="127"/>
        <v>0.51205155771961453</v>
      </c>
      <c r="M55" s="50">
        <f t="shared" si="127"/>
        <v>0.51216516706647486</v>
      </c>
      <c r="N55" s="50">
        <f t="shared" ref="N55:Q55" si="128">N53/N47</f>
        <v>0.51022380769723619</v>
      </c>
      <c r="O55" s="50">
        <f t="shared" si="128"/>
        <v>0.50678295510068372</v>
      </c>
      <c r="P55" s="50">
        <f t="shared" si="128"/>
        <v>0.51683139344665396</v>
      </c>
      <c r="Q55" s="50">
        <f t="shared" si="128"/>
        <v>0.51004259229187421</v>
      </c>
    </row>
    <row r="56" spans="1:19" x14ac:dyDescent="0.3">
      <c r="C56" s="10"/>
      <c r="D56" s="10"/>
      <c r="E56" s="10"/>
      <c r="F56" s="10"/>
      <c r="G56" s="10"/>
    </row>
    <row r="57" spans="1:19" x14ac:dyDescent="0.3">
      <c r="C57" s="10"/>
      <c r="D57" s="10"/>
      <c r="E57" s="10"/>
      <c r="F57" s="10"/>
      <c r="G57" s="1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509-43B2-43C1-A0DB-EC2FC2E3855C}">
  <dimension ref="A1:V5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25.33203125" customWidth="1"/>
    <col min="2" max="2" width="7.21875" style="5" bestFit="1" customWidth="1"/>
    <col min="8" max="9" width="8.88671875" customWidth="1"/>
  </cols>
  <sheetData>
    <row r="1" spans="1:22" x14ac:dyDescent="0.3">
      <c r="A1" s="2" t="str">
        <f>'Income Statement'!A1</f>
        <v>Carlsberg</v>
      </c>
      <c r="C1" s="2">
        <f>'Income Statement'!C1</f>
        <v>2015</v>
      </c>
      <c r="D1" s="2">
        <f>'Income Statement'!D1</f>
        <v>2016</v>
      </c>
      <c r="E1" s="2">
        <f>'Income Statement'!E1</f>
        <v>2017</v>
      </c>
      <c r="F1" s="2">
        <f>'Income Statement'!F1</f>
        <v>2018</v>
      </c>
      <c r="G1" s="2">
        <f>'Income Statement'!G1</f>
        <v>2019</v>
      </c>
      <c r="H1" s="14" t="str">
        <f>'Income Statement'!H1</f>
        <v>2020E</v>
      </c>
      <c r="I1" s="14" t="str">
        <f>'Income Statement'!I1</f>
        <v>2021E</v>
      </c>
      <c r="J1" s="14" t="str">
        <f>'Income Statement'!J1</f>
        <v>2022E</v>
      </c>
      <c r="K1" s="14" t="str">
        <f>'Income Statement'!K1</f>
        <v>2023E</v>
      </c>
      <c r="L1" s="14" t="str">
        <f>'Income Statement'!L1</f>
        <v>2024E</v>
      </c>
      <c r="M1" s="14" t="str">
        <f>'Income Statement'!M1</f>
        <v>2025E</v>
      </c>
      <c r="N1" s="14" t="str">
        <f>'Income Statement'!N1</f>
        <v>2026E</v>
      </c>
      <c r="O1" s="14" t="str">
        <f>'Income Statement'!O1</f>
        <v>2027E</v>
      </c>
      <c r="P1" s="14" t="str">
        <f>'Income Statement'!P1</f>
        <v>2028E</v>
      </c>
      <c r="Q1" s="14" t="str">
        <f>'Income Statement'!Q1</f>
        <v>2029E</v>
      </c>
    </row>
    <row r="2" spans="1:22" x14ac:dyDescent="0.3">
      <c r="A2" s="56" t="s">
        <v>208</v>
      </c>
      <c r="F2" s="57">
        <f>F18-F25-F41</f>
        <v>0</v>
      </c>
      <c r="G2" s="57">
        <f t="shared" ref="G2:Q2" si="0">G18-G25-G41</f>
        <v>0</v>
      </c>
      <c r="H2" s="57">
        <f t="shared" si="0"/>
        <v>0</v>
      </c>
      <c r="I2" s="57">
        <f t="shared" si="0"/>
        <v>0</v>
      </c>
      <c r="J2" s="57">
        <f t="shared" si="0"/>
        <v>0</v>
      </c>
      <c r="K2" s="57">
        <f t="shared" si="0"/>
        <v>0</v>
      </c>
      <c r="L2" s="57">
        <f t="shared" si="0"/>
        <v>0</v>
      </c>
      <c r="M2" s="57">
        <f t="shared" si="0"/>
        <v>0</v>
      </c>
      <c r="N2" s="57">
        <f t="shared" si="0"/>
        <v>0</v>
      </c>
      <c r="O2" s="57">
        <f t="shared" si="0"/>
        <v>0</v>
      </c>
      <c r="P2" s="57">
        <f t="shared" si="0"/>
        <v>0</v>
      </c>
      <c r="Q2" s="57">
        <f t="shared" si="0"/>
        <v>0</v>
      </c>
    </row>
    <row r="3" spans="1:22" x14ac:dyDescent="0.3">
      <c r="A3" s="3"/>
      <c r="S3" s="63"/>
      <c r="T3" s="63"/>
      <c r="U3" s="63"/>
      <c r="V3" s="63"/>
    </row>
    <row r="4" spans="1:22" x14ac:dyDescent="0.3">
      <c r="A4" t="str">
        <f>'Raw Data'!A70</f>
        <v>Intangible assets</v>
      </c>
      <c r="B4" s="5" t="str">
        <f>'Income Statement'!$B$4</f>
        <v>DKKmn</v>
      </c>
      <c r="F4" s="21">
        <f>'Raw Data'!F70</f>
        <v>66868</v>
      </c>
      <c r="G4" s="21">
        <f>'Raw Data'!G70</f>
        <v>69805</v>
      </c>
      <c r="H4" s="21">
        <f>G4-50%*('Cash Flow Statement'!H15+'Cash Flow Statement'!H17)-30%*'Cash Flow Statement'!H19+(G4/(G4+G5))*'Income Statement'!H13</f>
        <v>68748.357499999998</v>
      </c>
      <c r="I4" s="21">
        <f>H4-50%*('Cash Flow Statement'!I15+'Cash Flow Statement'!I17)-30%*'Cash Flow Statement'!I19+(H4/(H4+H5))*'Income Statement'!I13</f>
        <v>68032.005017499992</v>
      </c>
      <c r="J4" s="21">
        <f>I4-50%*('Cash Flow Statement'!J15+'Cash Flow Statement'!J17)-30%*'Cash Flow Statement'!J19+(I4/(I4+I5))*'Income Statement'!J13</f>
        <v>67381.881909460004</v>
      </c>
      <c r="K4" s="21">
        <f>J4-50%*('Cash Flow Statement'!K15+'Cash Flow Statement'!K17)-30%*'Cash Flow Statement'!K19+(J4/(J4+J5))*'Income Statement'!K13</f>
        <v>66867.581235917925</v>
      </c>
      <c r="L4" s="21">
        <f>K4-50%*('Cash Flow Statement'!L15+'Cash Flow Statement'!L17)-30%*'Cash Flow Statement'!L19+(K4/(K4+K5))*'Income Statement'!L13</f>
        <v>66486.768181030347</v>
      </c>
      <c r="M4" s="21">
        <f>L4-50%*('Cash Flow Statement'!M15+'Cash Flow Statement'!M17)-30%*'Cash Flow Statement'!M19+(L4/(L4+L5))*'Income Statement'!M13</f>
        <v>66237.387386554823</v>
      </c>
      <c r="N4" s="21">
        <f>M4-50%*('Cash Flow Statement'!N15+'Cash Flow Statement'!N17)-30%*'Cash Flow Statement'!N19+(M4/(M4+M5))*'Income Statement'!N13</f>
        <v>66117.656233342699</v>
      </c>
      <c r="O4" s="21">
        <f>N4-50%*('Cash Flow Statement'!O15+'Cash Flow Statement'!O17)-30%*'Cash Flow Statement'!O19+(N4/(N4+N5))*'Income Statement'!O13</f>
        <v>66126.058713138453</v>
      </c>
      <c r="P4" s="21">
        <f>O4-50%*('Cash Flow Statement'!P15+'Cash Flow Statement'!P17)-30%*'Cash Flow Statement'!P19+(O4/(O4+O5))*'Income Statement'!P13</f>
        <v>66261.339873063844</v>
      </c>
      <c r="Q4" s="21">
        <f>P4-50%*('Cash Flow Statement'!Q15+'Cash Flow Statement'!Q17)-30%*'Cash Flow Statement'!Q19+(P4/(P4+P5))*'Income Statement'!Q13</f>
        <v>66522.50081643906</v>
      </c>
      <c r="S4" s="22"/>
      <c r="T4" s="22"/>
      <c r="U4" s="22"/>
      <c r="V4" s="22"/>
    </row>
    <row r="5" spans="1:22" x14ac:dyDescent="0.3">
      <c r="A5" t="str">
        <f>'Raw Data'!A71</f>
        <v>Property, plant and equipment</v>
      </c>
      <c r="B5" s="5" t="str">
        <f>'Income Statement'!$B$4</f>
        <v>DKKmn</v>
      </c>
      <c r="F5" s="21">
        <f>'Raw Data'!F71</f>
        <v>25394</v>
      </c>
      <c r="G5" s="21">
        <f>'Raw Data'!G71</f>
        <v>27886</v>
      </c>
      <c r="H5" s="21">
        <f>G5-50%*('Cash Flow Statement'!H15+'Cash Flow Statement'!H17)-70%*'Cash Flow Statement'!H19+(G5/(G4+G5))*'Income Statement'!H13</f>
        <v>28799.550500000001</v>
      </c>
      <c r="I5" s="21">
        <f>H5-50%*('Cash Flow Statement'!I15+'Cash Flow Statement'!I17)-70%*'Cash Flow Statement'!I19+(H5/(H4+H5))*'Income Statement'!I13</f>
        <v>29960.791946500001</v>
      </c>
      <c r="J5" s="21">
        <f>I5-50%*('Cash Flow Statement'!J15+'Cash Flow Statement'!J17)-70%*'Cash Flow Statement'!J19+(I5/(I4+I5))*'Income Statement'!J13</f>
        <v>31138.087065868</v>
      </c>
      <c r="K5" s="21">
        <f>J5-50%*('Cash Flow Statement'!K15+'Cash Flow Statement'!K17)-70%*'Cash Flow Statement'!K19+(J5/(J4+J5))*'Income Statement'!K13</f>
        <v>32363.488544818334</v>
      </c>
      <c r="L5" s="21">
        <f>K5-50%*('Cash Flow Statement'!L15+'Cash Flow Statement'!L17)-70%*'Cash Flow Statement'!L19+(K5/(K4+K5))*'Income Statement'!L13</f>
        <v>33638.871939103534</v>
      </c>
      <c r="M5" s="21">
        <f>L5-50%*('Cash Flow Statement'!M15+'Cash Flow Statement'!M17)-70%*'Cash Flow Statement'!M19+(L5/(L4+L5))*'Income Statement'!M13</f>
        <v>34966.190164240506</v>
      </c>
      <c r="N5" s="21">
        <f>M5-50%*('Cash Flow Statement'!N15+'Cash Flow Statement'!N17)-70%*'Cash Flow Statement'!N19+(M5/(M4+M5))*'Income Statement'!N13</f>
        <v>36347.476477699463</v>
      </c>
      <c r="O5" s="21">
        <f>N5-50%*('Cash Flow Statement'!O15+'Cash Flow Statement'!O17)-70%*'Cash Flow Statement'!O19+(N5/(N4+N5))*'Income Statement'!O13</f>
        <v>37784.847585766089</v>
      </c>
      <c r="P5" s="21">
        <f>O5-50%*('Cash Flow Statement'!P15+'Cash Flow Statement'!P17)-70%*'Cash Flow Statement'!P19+(O5/(O4+O5))*'Income Statement'!P13</f>
        <v>39280.506879805369</v>
      </c>
      <c r="Q5" s="21">
        <f>P5-50%*('Cash Flow Statement'!Q15+'Cash Flow Statement'!Q17)-70%*'Cash Flow Statement'!Q19+(P5/(P4+P5))*'Income Statement'!Q13</f>
        <v>40836.747806856998</v>
      </c>
      <c r="S5" s="22"/>
      <c r="T5" s="22"/>
      <c r="U5" s="22"/>
    </row>
    <row r="6" spans="1:22" x14ac:dyDescent="0.3">
      <c r="A6" t="str">
        <f>'Raw Data'!A72</f>
        <v>Investments in associates and joint ventures</v>
      </c>
      <c r="B6" s="5" t="str">
        <f>'Income Statement'!$B$4</f>
        <v>DKKmn</v>
      </c>
      <c r="F6" s="21">
        <f>'Raw Data'!F72</f>
        <v>4562</v>
      </c>
      <c r="G6" s="21">
        <f>'Raw Data'!G72</f>
        <v>4364</v>
      </c>
      <c r="H6" s="40">
        <f>G6</f>
        <v>4364</v>
      </c>
      <c r="I6" s="40">
        <f t="shared" ref="I6:Q8" si="1">H6</f>
        <v>4364</v>
      </c>
      <c r="J6" s="40">
        <f t="shared" si="1"/>
        <v>4364</v>
      </c>
      <c r="K6" s="40">
        <f t="shared" si="1"/>
        <v>4364</v>
      </c>
      <c r="L6" s="40">
        <f t="shared" si="1"/>
        <v>4364</v>
      </c>
      <c r="M6" s="40">
        <f t="shared" si="1"/>
        <v>4364</v>
      </c>
      <c r="N6" s="40">
        <f t="shared" si="1"/>
        <v>4364</v>
      </c>
      <c r="O6" s="40">
        <f t="shared" si="1"/>
        <v>4364</v>
      </c>
      <c r="P6" s="40">
        <f t="shared" si="1"/>
        <v>4364</v>
      </c>
      <c r="Q6" s="40">
        <f t="shared" si="1"/>
        <v>4364</v>
      </c>
      <c r="S6" s="22"/>
      <c r="T6" s="22"/>
      <c r="U6" s="22"/>
    </row>
    <row r="7" spans="1:22" x14ac:dyDescent="0.3">
      <c r="A7" t="str">
        <f>'Raw Data'!A73</f>
        <v>Receivables</v>
      </c>
      <c r="B7" s="5" t="str">
        <f>'Income Statement'!$B$4</f>
        <v>DKKmn</v>
      </c>
      <c r="F7" s="21">
        <f>'Raw Data'!F73</f>
        <v>1097</v>
      </c>
      <c r="G7" s="21">
        <f>'Raw Data'!G73</f>
        <v>1179</v>
      </c>
      <c r="H7" s="40">
        <f>G7</f>
        <v>1179</v>
      </c>
      <c r="I7" s="40">
        <f t="shared" si="1"/>
        <v>1179</v>
      </c>
      <c r="J7" s="40">
        <f t="shared" si="1"/>
        <v>1179</v>
      </c>
      <c r="K7" s="40">
        <f t="shared" si="1"/>
        <v>1179</v>
      </c>
      <c r="L7" s="40">
        <f t="shared" si="1"/>
        <v>1179</v>
      </c>
      <c r="M7" s="40">
        <f t="shared" si="1"/>
        <v>1179</v>
      </c>
      <c r="N7" s="40">
        <f t="shared" si="1"/>
        <v>1179</v>
      </c>
      <c r="O7" s="40">
        <f t="shared" si="1"/>
        <v>1179</v>
      </c>
      <c r="P7" s="40">
        <f t="shared" si="1"/>
        <v>1179</v>
      </c>
      <c r="Q7" s="40">
        <f t="shared" si="1"/>
        <v>1179</v>
      </c>
      <c r="S7" s="22"/>
      <c r="T7" s="22"/>
      <c r="U7" s="22"/>
    </row>
    <row r="8" spans="1:22" x14ac:dyDescent="0.3">
      <c r="A8" t="str">
        <f>'Raw Data'!A74</f>
        <v>Tax assets</v>
      </c>
      <c r="B8" s="5" t="str">
        <f>'Income Statement'!$B$4</f>
        <v>DKKmn</v>
      </c>
      <c r="F8" s="21">
        <f>'Raw Data'!F74</f>
        <v>1693</v>
      </c>
      <c r="G8" s="21">
        <f>'Raw Data'!G74</f>
        <v>1938</v>
      </c>
      <c r="H8" s="40">
        <f>G8</f>
        <v>1938</v>
      </c>
      <c r="I8" s="40">
        <f t="shared" si="1"/>
        <v>1938</v>
      </c>
      <c r="J8" s="40">
        <f t="shared" si="1"/>
        <v>1938</v>
      </c>
      <c r="K8" s="40">
        <f t="shared" si="1"/>
        <v>1938</v>
      </c>
      <c r="L8" s="40">
        <f t="shared" si="1"/>
        <v>1938</v>
      </c>
      <c r="M8" s="40">
        <f t="shared" si="1"/>
        <v>1938</v>
      </c>
      <c r="N8" s="40">
        <f t="shared" si="1"/>
        <v>1938</v>
      </c>
      <c r="O8" s="40">
        <f t="shared" si="1"/>
        <v>1938</v>
      </c>
      <c r="P8" s="40">
        <f t="shared" si="1"/>
        <v>1938</v>
      </c>
      <c r="Q8" s="40">
        <f t="shared" si="1"/>
        <v>1938</v>
      </c>
      <c r="S8" s="22"/>
      <c r="T8" s="22"/>
      <c r="U8" s="22"/>
    </row>
    <row r="9" spans="1:22" x14ac:dyDescent="0.3">
      <c r="A9" s="2" t="str">
        <f>'Raw Data'!A75</f>
        <v>Total non-current assets</v>
      </c>
      <c r="B9" s="7" t="str">
        <f>'Income Statement'!$B$4</f>
        <v>DKKmn</v>
      </c>
      <c r="F9" s="35">
        <f>SUM(F4:F8)</f>
        <v>99614</v>
      </c>
      <c r="G9" s="35">
        <f>SUM(G4:G8)</f>
        <v>105172</v>
      </c>
      <c r="H9" s="35">
        <f t="shared" ref="H9:Q9" si="2">SUM(H4:H8)</f>
        <v>105028.908</v>
      </c>
      <c r="I9" s="35">
        <f t="shared" si="2"/>
        <v>105473.79696399999</v>
      </c>
      <c r="J9" s="35">
        <f t="shared" si="2"/>
        <v>106000.968975328</v>
      </c>
      <c r="K9" s="35">
        <f t="shared" si="2"/>
        <v>106712.06978073626</v>
      </c>
      <c r="L9" s="35">
        <f t="shared" si="2"/>
        <v>107606.64012013387</v>
      </c>
      <c r="M9" s="35">
        <f t="shared" si="2"/>
        <v>108684.57755079534</v>
      </c>
      <c r="N9" s="35">
        <f t="shared" si="2"/>
        <v>109946.13271104216</v>
      </c>
      <c r="O9" s="35">
        <f t="shared" si="2"/>
        <v>111391.90629890453</v>
      </c>
      <c r="P9" s="35">
        <f t="shared" si="2"/>
        <v>113022.84675286921</v>
      </c>
      <c r="Q9" s="35">
        <f t="shared" si="2"/>
        <v>114840.24862329607</v>
      </c>
      <c r="S9" s="22"/>
      <c r="T9" s="22"/>
      <c r="U9" s="22"/>
    </row>
    <row r="10" spans="1:22" x14ac:dyDescent="0.3">
      <c r="A10" s="2"/>
      <c r="F10" s="35"/>
      <c r="G10" s="35"/>
      <c r="H10" s="22"/>
      <c r="I10" s="22"/>
      <c r="J10" s="22"/>
      <c r="K10" s="22"/>
      <c r="L10" s="22"/>
      <c r="M10" s="22"/>
      <c r="S10" s="22"/>
      <c r="T10" s="22"/>
      <c r="U10" s="22"/>
    </row>
    <row r="11" spans="1:22" x14ac:dyDescent="0.3">
      <c r="A11" t="str">
        <f>'Raw Data'!A76</f>
        <v>Inventories</v>
      </c>
      <c r="B11" s="5" t="str">
        <f>'Income Statement'!$B$4</f>
        <v>DKKmn</v>
      </c>
      <c r="F11" s="21">
        <f>'Raw Data'!F76</f>
        <v>4435</v>
      </c>
      <c r="G11" s="21">
        <f>'Raw Data'!G76</f>
        <v>4751</v>
      </c>
      <c r="H11" s="40">
        <f>G11</f>
        <v>4751</v>
      </c>
      <c r="I11" s="40">
        <f t="shared" ref="I11:Q14" si="3">H11</f>
        <v>4751</v>
      </c>
      <c r="J11" s="40">
        <f t="shared" si="3"/>
        <v>4751</v>
      </c>
      <c r="K11" s="40">
        <f t="shared" si="3"/>
        <v>4751</v>
      </c>
      <c r="L11" s="40">
        <f t="shared" si="3"/>
        <v>4751</v>
      </c>
      <c r="M11" s="40">
        <f t="shared" si="3"/>
        <v>4751</v>
      </c>
      <c r="N11" s="40">
        <f t="shared" si="3"/>
        <v>4751</v>
      </c>
      <c r="O11" s="40">
        <f t="shared" si="3"/>
        <v>4751</v>
      </c>
      <c r="P11" s="40">
        <f t="shared" si="3"/>
        <v>4751</v>
      </c>
      <c r="Q11" s="40">
        <f t="shared" si="3"/>
        <v>4751</v>
      </c>
      <c r="S11" s="22"/>
      <c r="T11" s="22"/>
      <c r="U11" s="22"/>
    </row>
    <row r="12" spans="1:22" x14ac:dyDescent="0.3">
      <c r="A12" t="str">
        <f>'Raw Data'!A77</f>
        <v>Trade receivables</v>
      </c>
      <c r="B12" s="5" t="str">
        <f>'Income Statement'!$B$4</f>
        <v>DKKmn</v>
      </c>
      <c r="F12" s="21">
        <f>'Raw Data'!F77</f>
        <v>5084</v>
      </c>
      <c r="G12" s="21">
        <f>'Raw Data'!G77</f>
        <v>5339</v>
      </c>
      <c r="H12" s="40">
        <f>G12</f>
        <v>5339</v>
      </c>
      <c r="I12" s="40">
        <f t="shared" si="3"/>
        <v>5339</v>
      </c>
      <c r="J12" s="40">
        <f t="shared" si="3"/>
        <v>5339</v>
      </c>
      <c r="K12" s="40">
        <f t="shared" si="3"/>
        <v>5339</v>
      </c>
      <c r="L12" s="40">
        <f t="shared" si="3"/>
        <v>5339</v>
      </c>
      <c r="M12" s="40">
        <f t="shared" si="3"/>
        <v>5339</v>
      </c>
      <c r="N12" s="40">
        <f t="shared" si="3"/>
        <v>5339</v>
      </c>
      <c r="O12" s="40">
        <f t="shared" si="3"/>
        <v>5339</v>
      </c>
      <c r="P12" s="40">
        <f t="shared" si="3"/>
        <v>5339</v>
      </c>
      <c r="Q12" s="40">
        <f t="shared" si="3"/>
        <v>5339</v>
      </c>
      <c r="S12" s="22"/>
      <c r="T12" s="22"/>
      <c r="U12" s="22"/>
    </row>
    <row r="13" spans="1:22" x14ac:dyDescent="0.3">
      <c r="A13" t="str">
        <f>'Raw Data'!A79</f>
        <v>Other receivables</v>
      </c>
      <c r="B13" s="5" t="str">
        <f>'Income Statement'!$B$4</f>
        <v>DKKmn</v>
      </c>
      <c r="F13" s="21">
        <f>'Raw Data'!F78+'Raw Data'!F79</f>
        <v>2138</v>
      </c>
      <c r="G13" s="21">
        <f>'Raw Data'!G78+'Raw Data'!G79</f>
        <v>1860</v>
      </c>
      <c r="H13" s="40">
        <f>G13-'Cash Flow Statement'!H20-'Cash Flow Statement'!H18</f>
        <v>1860</v>
      </c>
      <c r="I13" s="40">
        <f>H13-'Cash Flow Statement'!I20-'Cash Flow Statement'!I18</f>
        <v>1860</v>
      </c>
      <c r="J13" s="40">
        <f>I13-'Cash Flow Statement'!J20-'Cash Flow Statement'!J18</f>
        <v>1860</v>
      </c>
      <c r="K13" s="40">
        <f>J13-'Cash Flow Statement'!K20-'Cash Flow Statement'!K18</f>
        <v>1860</v>
      </c>
      <c r="L13" s="40">
        <f>K13-'Cash Flow Statement'!L20-'Cash Flow Statement'!L18</f>
        <v>1860</v>
      </c>
      <c r="M13" s="40">
        <f>L13-'Cash Flow Statement'!M20-'Cash Flow Statement'!M18</f>
        <v>1860</v>
      </c>
      <c r="N13" s="40">
        <f>M13-'Cash Flow Statement'!N20-'Cash Flow Statement'!N18</f>
        <v>1860</v>
      </c>
      <c r="O13" s="40">
        <f>N13-'Cash Flow Statement'!O20-'Cash Flow Statement'!O18</f>
        <v>1860</v>
      </c>
      <c r="P13" s="40">
        <f>O13-'Cash Flow Statement'!P20-'Cash Flow Statement'!P18</f>
        <v>1860</v>
      </c>
      <c r="Q13" s="40">
        <f>P13-'Cash Flow Statement'!Q20-'Cash Flow Statement'!Q18</f>
        <v>1860</v>
      </c>
      <c r="S13" s="22"/>
      <c r="T13" s="22"/>
      <c r="U13" s="22"/>
    </row>
    <row r="14" spans="1:22" x14ac:dyDescent="0.3">
      <c r="A14" t="str">
        <f>'Raw Data'!A80</f>
        <v>Prepayments</v>
      </c>
      <c r="B14" s="5" t="str">
        <f>'Income Statement'!$B$4</f>
        <v>DKKmn</v>
      </c>
      <c r="F14" s="21">
        <f>'Raw Data'!F80</f>
        <v>840</v>
      </c>
      <c r="G14" s="21">
        <f>'Raw Data'!G80</f>
        <v>776</v>
      </c>
      <c r="H14" s="40">
        <f>G14</f>
        <v>776</v>
      </c>
      <c r="I14" s="40">
        <f t="shared" si="3"/>
        <v>776</v>
      </c>
      <c r="J14" s="40">
        <f t="shared" si="3"/>
        <v>776</v>
      </c>
      <c r="K14" s="40">
        <f t="shared" si="3"/>
        <v>776</v>
      </c>
      <c r="L14" s="40">
        <f t="shared" si="3"/>
        <v>776</v>
      </c>
      <c r="M14" s="40">
        <f t="shared" si="3"/>
        <v>776</v>
      </c>
      <c r="N14" s="40">
        <f t="shared" si="3"/>
        <v>776</v>
      </c>
      <c r="O14" s="40">
        <f t="shared" si="3"/>
        <v>776</v>
      </c>
      <c r="P14" s="40">
        <f t="shared" si="3"/>
        <v>776</v>
      </c>
      <c r="Q14" s="40">
        <f t="shared" si="3"/>
        <v>776</v>
      </c>
      <c r="S14" s="22"/>
      <c r="T14" s="22"/>
      <c r="U14" s="22"/>
    </row>
    <row r="15" spans="1:22" x14ac:dyDescent="0.3">
      <c r="A15" t="str">
        <f>'Raw Data'!A81</f>
        <v>Cash and cash equivalents</v>
      </c>
      <c r="B15" s="5" t="str">
        <f>'Income Statement'!$B$4</f>
        <v>DKKmn</v>
      </c>
      <c r="F15" s="21">
        <f>'Raw Data'!F81</f>
        <v>5589</v>
      </c>
      <c r="G15" s="21">
        <f>'Raw Data'!G81</f>
        <v>5222</v>
      </c>
      <c r="H15" s="22">
        <f>'Cash Flow Statement'!H35</f>
        <v>4794.4765400000006</v>
      </c>
      <c r="I15" s="22">
        <f>'Cash Flow Statement'!I35</f>
        <v>4940.0024970799277</v>
      </c>
      <c r="J15" s="22">
        <f>'Cash Flow Statement'!J35</f>
        <v>6212.4293837041159</v>
      </c>
      <c r="K15" s="22">
        <f>'Cash Flow Statement'!K35</f>
        <v>7807.083309656824</v>
      </c>
      <c r="L15" s="22">
        <f>'Cash Flow Statement'!L35</f>
        <v>8469.1435343675894</v>
      </c>
      <c r="M15" s="22">
        <f>'Cash Flow Statement'!M35</f>
        <v>9356.5299142660933</v>
      </c>
      <c r="N15" s="22">
        <f>'Cash Flow Statement'!N35</f>
        <v>10360.0071167231</v>
      </c>
      <c r="O15" s="22">
        <f>'Cash Flow Statement'!O35</f>
        <v>11508.868373160911</v>
      </c>
      <c r="P15" s="22">
        <f>'Cash Flow Statement'!P35</f>
        <v>12833.429121885705</v>
      </c>
      <c r="Q15" s="22">
        <f>'Cash Flow Statement'!Q35</f>
        <v>14233.39528620204</v>
      </c>
      <c r="S15" s="22"/>
      <c r="T15" s="22"/>
      <c r="U15" s="22"/>
    </row>
    <row r="16" spans="1:22" x14ac:dyDescent="0.3">
      <c r="A16" s="2" t="str">
        <f>'Raw Data'!A82</f>
        <v>Total current assets</v>
      </c>
      <c r="B16" s="7" t="str">
        <f>'Income Statement'!$B$4</f>
        <v>DKKmn</v>
      </c>
      <c r="F16" s="34">
        <f t="shared" ref="F16:Q16" si="4">SUM(F11:F15)</f>
        <v>18086</v>
      </c>
      <c r="G16" s="34">
        <f t="shared" si="4"/>
        <v>17948</v>
      </c>
      <c r="H16" s="34">
        <f t="shared" si="4"/>
        <v>17520.47654</v>
      </c>
      <c r="I16" s="34">
        <f t="shared" si="4"/>
        <v>17666.002497079928</v>
      </c>
      <c r="J16" s="34">
        <f t="shared" si="4"/>
        <v>18938.429383704115</v>
      </c>
      <c r="K16" s="34">
        <f t="shared" si="4"/>
        <v>20533.083309656824</v>
      </c>
      <c r="L16" s="34">
        <f t="shared" si="4"/>
        <v>21195.143534367591</v>
      </c>
      <c r="M16" s="34">
        <f t="shared" si="4"/>
        <v>22082.529914266095</v>
      </c>
      <c r="N16" s="34">
        <f t="shared" si="4"/>
        <v>23086.0071167231</v>
      </c>
      <c r="O16" s="34">
        <f t="shared" si="4"/>
        <v>24234.868373160913</v>
      </c>
      <c r="P16" s="34">
        <f t="shared" si="4"/>
        <v>25559.429121885703</v>
      </c>
      <c r="Q16" s="34">
        <f t="shared" si="4"/>
        <v>26959.395286202038</v>
      </c>
      <c r="S16" s="22"/>
      <c r="T16" s="22"/>
      <c r="U16" s="22"/>
    </row>
    <row r="17" spans="1:21" x14ac:dyDescent="0.3"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S17" s="22"/>
      <c r="T17" s="22"/>
      <c r="U17" s="22"/>
    </row>
    <row r="18" spans="1:21" x14ac:dyDescent="0.3">
      <c r="A18" s="2" t="str">
        <f>'Raw Data'!A83</f>
        <v>Total assets</v>
      </c>
      <c r="B18" s="7" t="str">
        <f>'Income Statement'!$B$4</f>
        <v>DKKmn</v>
      </c>
      <c r="F18" s="35">
        <f t="shared" ref="F18:Q18" si="5">F9+F16</f>
        <v>117700</v>
      </c>
      <c r="G18" s="35">
        <f t="shared" si="5"/>
        <v>123120</v>
      </c>
      <c r="H18" s="35">
        <f t="shared" si="5"/>
        <v>122549.38454</v>
      </c>
      <c r="I18" s="35">
        <f t="shared" si="5"/>
        <v>123139.79946107992</v>
      </c>
      <c r="J18" s="35">
        <f t="shared" si="5"/>
        <v>124939.39835903211</v>
      </c>
      <c r="K18" s="35">
        <f t="shared" si="5"/>
        <v>127245.15309039308</v>
      </c>
      <c r="L18" s="35">
        <f t="shared" si="5"/>
        <v>128801.78365450146</v>
      </c>
      <c r="M18" s="35">
        <f t="shared" si="5"/>
        <v>130767.10746506143</v>
      </c>
      <c r="N18" s="35">
        <f t="shared" si="5"/>
        <v>133032.13982776526</v>
      </c>
      <c r="O18" s="35">
        <f t="shared" si="5"/>
        <v>135626.77467206545</v>
      </c>
      <c r="P18" s="35">
        <f t="shared" si="5"/>
        <v>138582.27587475491</v>
      </c>
      <c r="Q18" s="35">
        <f t="shared" si="5"/>
        <v>141799.64390949812</v>
      </c>
      <c r="S18" s="22"/>
      <c r="T18" s="22"/>
      <c r="U18" s="22"/>
    </row>
    <row r="19" spans="1:21" x14ac:dyDescent="0.3">
      <c r="S19" s="22"/>
      <c r="T19" s="22"/>
      <c r="U19" s="22"/>
    </row>
    <row r="20" spans="1:21" x14ac:dyDescent="0.3">
      <c r="F20" s="58"/>
      <c r="G20" s="58"/>
      <c r="H20" s="58"/>
      <c r="I20" s="58"/>
      <c r="J20" s="58"/>
      <c r="K20" s="58"/>
      <c r="L20" s="58"/>
      <c r="M20" s="58"/>
      <c r="S20" s="22"/>
      <c r="T20" s="22"/>
      <c r="U20" s="22"/>
    </row>
    <row r="21" spans="1:21" x14ac:dyDescent="0.3">
      <c r="A21" t="str">
        <f>'Raw Data'!A84</f>
        <v>Share capital</v>
      </c>
      <c r="B21" s="5" t="str">
        <f>'Income Statement'!$B$4</f>
        <v>DKKmn</v>
      </c>
      <c r="F21" s="21">
        <f>'Raw Data'!F84</f>
        <v>3051</v>
      </c>
      <c r="G21" s="21">
        <f>'Raw Data'!G84</f>
        <v>3051</v>
      </c>
      <c r="H21" s="40">
        <f>G21</f>
        <v>3051</v>
      </c>
      <c r="I21" s="40">
        <f t="shared" ref="I21:M21" si="6">H21</f>
        <v>3051</v>
      </c>
      <c r="J21" s="40">
        <f t="shared" si="6"/>
        <v>3051</v>
      </c>
      <c r="K21" s="40">
        <f t="shared" si="6"/>
        <v>3051</v>
      </c>
      <c r="L21" s="40">
        <f t="shared" si="6"/>
        <v>3051</v>
      </c>
      <c r="M21" s="40">
        <f t="shared" si="6"/>
        <v>3051</v>
      </c>
      <c r="N21" s="40">
        <f t="shared" ref="N21:Q21" si="7">M21</f>
        <v>3051</v>
      </c>
      <c r="O21" s="40">
        <f t="shared" si="7"/>
        <v>3051</v>
      </c>
      <c r="P21" s="40">
        <f t="shared" si="7"/>
        <v>3051</v>
      </c>
      <c r="Q21" s="40">
        <f t="shared" si="7"/>
        <v>3051</v>
      </c>
      <c r="S21" s="22"/>
      <c r="T21" s="22"/>
      <c r="U21" s="22"/>
    </row>
    <row r="22" spans="1:21" x14ac:dyDescent="0.3">
      <c r="A22" t="str">
        <f>'Raw Data'!A85</f>
        <v>Reserves</v>
      </c>
      <c r="B22" s="5" t="str">
        <f>'Income Statement'!$B$4</f>
        <v>DKKmn</v>
      </c>
      <c r="F22" s="21">
        <f>'Raw Data'!F85</f>
        <v>-36837</v>
      </c>
      <c r="G22" s="21">
        <f>'Raw Data'!G85</f>
        <v>-33652</v>
      </c>
      <c r="H22" s="40">
        <f>G22+'Cash Flow Statement'!H34</f>
        <v>-33652</v>
      </c>
      <c r="I22" s="40">
        <f>H22+'Cash Flow Statement'!I34</f>
        <v>-33652</v>
      </c>
      <c r="J22" s="40">
        <f>I22+'Cash Flow Statement'!J34</f>
        <v>-33652</v>
      </c>
      <c r="K22" s="40">
        <f>J22+'Cash Flow Statement'!K34</f>
        <v>-33652</v>
      </c>
      <c r="L22" s="40">
        <f>K22+'Cash Flow Statement'!L34</f>
        <v>-33652</v>
      </c>
      <c r="M22" s="40">
        <f>L22+'Cash Flow Statement'!M34</f>
        <v>-33652</v>
      </c>
      <c r="N22" s="40">
        <f>M22+'Cash Flow Statement'!N34</f>
        <v>-33652</v>
      </c>
      <c r="O22" s="40">
        <f>N22+'Cash Flow Statement'!O34</f>
        <v>-33652</v>
      </c>
      <c r="P22" s="40">
        <f>O22+'Cash Flow Statement'!P34</f>
        <v>-33652</v>
      </c>
      <c r="Q22" s="40">
        <f>P22+'Cash Flow Statement'!Q34</f>
        <v>-33652</v>
      </c>
      <c r="S22" s="22"/>
      <c r="T22" s="22"/>
      <c r="U22" s="22"/>
    </row>
    <row r="23" spans="1:21" x14ac:dyDescent="0.3">
      <c r="A23" t="str">
        <f>'Raw Data'!A86</f>
        <v>Retained earnings</v>
      </c>
      <c r="B23" s="5" t="str">
        <f>'Income Statement'!$B$4</f>
        <v>DKKmn</v>
      </c>
      <c r="F23" s="21">
        <f>'Raw Data'!F86</f>
        <v>79088</v>
      </c>
      <c r="G23" s="21">
        <f>'Raw Data'!G86</f>
        <v>74049</v>
      </c>
      <c r="H23" s="22">
        <f>G23+('Income Statement'!H40+'Cash Flow Statement'!H25)+'Cash Flow Statement'!H26+'Cash Flow Statement'!H21+'Cash Flow Statement'!H8+'Cash Flow Statement'!H4+'Cash Flow Statement'!H27</f>
        <v>73454.302540000004</v>
      </c>
      <c r="I23" s="22">
        <f>H23+('Income Statement'!I40+'Cash Flow Statement'!I25)+'Cash Flow Statement'!I26+'Cash Flow Statement'!I21+'Cash Flow Statement'!I8+'Cash Flow Statement'!I4+'Cash Flow Statement'!I27</f>
        <v>73366.227461079936</v>
      </c>
      <c r="J23" s="22">
        <f>I23+('Income Statement'!J40+'Cash Flow Statement'!J25)+'Cash Flow Statement'!J26+'Cash Flow Statement'!J21+'Cash Flow Statement'!J8+'Cash Flow Statement'!J4+'Cash Flow Statement'!J27</f>
        <v>74443.41185903213</v>
      </c>
      <c r="K23" s="22">
        <f>J23+('Income Statement'!K40+'Cash Flow Statement'!K25)+'Cash Flow Statement'!K26+'Cash Flow Statement'!K21+'Cash Flow Statement'!K8+'Cash Flow Statement'!K4+'Cash Flow Statement'!K27</f>
        <v>75300.623950865091</v>
      </c>
      <c r="L23" s="22">
        <f>K23+('Income Statement'!L40+'Cash Flow Statement'!L25)+'Cash Flow Statement'!L26+'Cash Flow Statement'!L21+'Cash Flow Statement'!L8+'Cash Flow Statement'!L4+'Cash Flow Statement'!L27</f>
        <v>75333.084817614363</v>
      </c>
      <c r="M23" s="22">
        <f>L23+('Income Statement'!M40+'Cash Flow Statement'!M25)+'Cash Flow Statement'!M26+'Cash Flow Statement'!M21+'Cash Flow Statement'!M8+'Cash Flow Statement'!M4+'Cash Flow Statement'!M27</f>
        <v>75695.102523058333</v>
      </c>
      <c r="N23" s="22">
        <f>M23+('Income Statement'!N40+'Cash Flow Statement'!N25)+'Cash Flow Statement'!N26+'Cash Flow Statement'!N21+'Cash Flow Statement'!N8+'Cash Flow Statement'!N4+'Cash Flow Statement'!N27</f>
        <v>76274.018435585924</v>
      </c>
      <c r="O23" s="22">
        <f>N23+('Income Statement'!O40+'Cash Flow Statement'!O25)+'Cash Flow Statement'!O26+'Cash Flow Statement'!O21+'Cash Flow Statement'!O8+'Cash Flow Statement'!O4+'Cash Flow Statement'!O27</f>
        <v>77095.88016580441</v>
      </c>
      <c r="P23" s="22">
        <f>O23+('Income Statement'!P40+'Cash Flow Statement'!P25)+'Cash Flow Statement'!P26+'Cash Flow Statement'!P21+'Cash Flow Statement'!P8+'Cash Flow Statement'!P4+'Cash Flow Statement'!P27</f>
        <v>78187.924723655582</v>
      </c>
      <c r="Q23" s="22">
        <f>P23+('Income Statement'!Q40+'Cash Flow Statement'!Q25)+'Cash Flow Statement'!Q26+'Cash Flow Statement'!Q21+'Cash Flow Statement'!Q8+'Cash Flow Statement'!Q4+'Cash Flow Statement'!Q27</f>
        <v>79446.936611263955</v>
      </c>
      <c r="S23" s="22"/>
      <c r="T23" s="22"/>
      <c r="U23" s="22"/>
    </row>
    <row r="24" spans="1:21" x14ac:dyDescent="0.3">
      <c r="A24" t="str">
        <f>'Raw Data'!A88</f>
        <v>Non-controlling interests</v>
      </c>
      <c r="B24" s="5" t="str">
        <f>'Income Statement'!$B$4</f>
        <v>DKKmn</v>
      </c>
      <c r="F24" s="21">
        <f>'Raw Data'!F88</f>
        <v>2587</v>
      </c>
      <c r="G24" s="21">
        <f>'Raw Data'!G88</f>
        <v>2587</v>
      </c>
      <c r="H24" s="40">
        <f>G24-'Income Statement'!H34</f>
        <v>3404.2</v>
      </c>
      <c r="I24" s="40">
        <f>H24-'Income Statement'!I34</f>
        <v>4282.6899999999996</v>
      </c>
      <c r="J24" s="40">
        <f>I24-'Income Statement'!J34</f>
        <v>5205.1044999999995</v>
      </c>
      <c r="K24" s="40">
        <f>J24-'Income Statement'!K34</f>
        <v>6173.6397249999991</v>
      </c>
      <c r="L24" s="40">
        <f>K24-'Income Statement'!L34</f>
        <v>7190.6017112499994</v>
      </c>
      <c r="M24" s="40">
        <f>L24-'Income Statement'!M34</f>
        <v>8258.4117968124992</v>
      </c>
      <c r="N24" s="40">
        <f>M24-'Income Statement'!N34</f>
        <v>9379.6123866531252</v>
      </c>
      <c r="O24" s="40">
        <f>N24-'Income Statement'!O34</f>
        <v>10556.873005985783</v>
      </c>
      <c r="P24" s="40">
        <f>O24-'Income Statement'!P34</f>
        <v>11792.996656285071</v>
      </c>
      <c r="Q24" s="40">
        <f>P24-'Income Statement'!Q34</f>
        <v>13090.926489099325</v>
      </c>
      <c r="S24" s="22"/>
      <c r="T24" s="22"/>
      <c r="U24" s="22"/>
    </row>
    <row r="25" spans="1:21" x14ac:dyDescent="0.3">
      <c r="A25" s="2" t="str">
        <f>'Raw Data'!A89</f>
        <v>Total equity</v>
      </c>
      <c r="B25" s="7" t="str">
        <f>'Income Statement'!$B$4</f>
        <v>DKKmn</v>
      </c>
      <c r="C25" s="2"/>
      <c r="D25" s="2"/>
      <c r="E25" s="2"/>
      <c r="F25" s="35">
        <f>SUM(F21:F24)</f>
        <v>47889</v>
      </c>
      <c r="G25" s="35">
        <f>SUM(G21:G24)</f>
        <v>46035</v>
      </c>
      <c r="H25" s="35">
        <f t="shared" ref="H25:M25" si="8">SUM(H21:H24)</f>
        <v>46257.502540000001</v>
      </c>
      <c r="I25" s="35">
        <f t="shared" si="8"/>
        <v>47047.917461079938</v>
      </c>
      <c r="J25" s="35">
        <f t="shared" si="8"/>
        <v>49047.516359032132</v>
      </c>
      <c r="K25" s="35">
        <f t="shared" si="8"/>
        <v>50873.263675865091</v>
      </c>
      <c r="L25" s="35">
        <f t="shared" si="8"/>
        <v>51922.68652886436</v>
      </c>
      <c r="M25" s="35">
        <f t="shared" si="8"/>
        <v>53352.514319870832</v>
      </c>
      <c r="N25" s="35">
        <f t="shared" ref="N25" si="9">SUM(N21:N24)</f>
        <v>55052.630822239051</v>
      </c>
      <c r="O25" s="35">
        <f t="shared" ref="O25" si="10">SUM(O21:O24)</f>
        <v>57051.753171790195</v>
      </c>
      <c r="P25" s="35">
        <f t="shared" ref="P25" si="11">SUM(P21:P24)</f>
        <v>59379.921379940657</v>
      </c>
      <c r="Q25" s="35">
        <f t="shared" ref="Q25" si="12">SUM(Q21:Q24)</f>
        <v>61936.863100363276</v>
      </c>
      <c r="S25" s="22"/>
      <c r="T25" s="22"/>
      <c r="U25" s="22"/>
    </row>
    <row r="26" spans="1:21" x14ac:dyDescent="0.3">
      <c r="A26" s="2"/>
      <c r="B26" s="7"/>
      <c r="C26" s="2"/>
      <c r="D26" s="2"/>
      <c r="E26" s="2"/>
      <c r="F26" s="35"/>
      <c r="G26" s="35"/>
      <c r="H26" s="22"/>
      <c r="I26" s="22"/>
      <c r="J26" s="22"/>
      <c r="K26" s="22"/>
      <c r="L26" s="22"/>
      <c r="M26" s="22"/>
      <c r="S26" s="22"/>
      <c r="T26" s="22"/>
      <c r="U26" s="22"/>
    </row>
    <row r="27" spans="1:21" x14ac:dyDescent="0.3">
      <c r="A27" t="s">
        <v>177</v>
      </c>
      <c r="B27" s="5" t="str">
        <f>'Income Statement'!$B$4</f>
        <v>DKKmn</v>
      </c>
      <c r="F27" s="21">
        <f>'Raw Data'!F90</f>
        <v>16750</v>
      </c>
      <c r="G27" s="21">
        <f>'Raw Data'!G90</f>
        <v>20879</v>
      </c>
      <c r="H27" s="22">
        <f>G27+'Cash Flow Statement'!H28+'Cash Flow Statement'!H9-'Income Statement'!H24</f>
        <v>20679</v>
      </c>
      <c r="I27" s="22">
        <f>H27+'Cash Flow Statement'!I28+'Cash Flow Statement'!I9-'Income Statement'!I24</f>
        <v>20479</v>
      </c>
      <c r="J27" s="22">
        <f>I27+'Cash Flow Statement'!J28+'Cash Flow Statement'!J9-'Income Statement'!J24</f>
        <v>20279</v>
      </c>
      <c r="K27" s="22">
        <f>J27+'Cash Flow Statement'!K28+'Cash Flow Statement'!K9-'Income Statement'!K24</f>
        <v>20079</v>
      </c>
      <c r="L27" s="22">
        <f>K27+'Cash Flow Statement'!L28+'Cash Flow Statement'!L9-'Income Statement'!L24</f>
        <v>19879</v>
      </c>
      <c r="M27" s="22">
        <f>L27+'Cash Flow Statement'!M28+'Cash Flow Statement'!M9-'Income Statement'!M24</f>
        <v>19679</v>
      </c>
      <c r="N27" s="22">
        <f>M27+'Cash Flow Statement'!N28+'Cash Flow Statement'!N9-'Income Statement'!N24</f>
        <v>19479</v>
      </c>
      <c r="O27" s="22">
        <f>N27+'Cash Flow Statement'!O28+'Cash Flow Statement'!O9-'Income Statement'!O24</f>
        <v>19279</v>
      </c>
      <c r="P27" s="22">
        <f>O27+'Cash Flow Statement'!P28+'Cash Flow Statement'!P9-'Income Statement'!P24</f>
        <v>19079</v>
      </c>
      <c r="Q27" s="22">
        <f>P27+'Cash Flow Statement'!Q28+'Cash Flow Statement'!Q9-'Income Statement'!Q24</f>
        <v>18879</v>
      </c>
      <c r="S27" s="22"/>
      <c r="T27" s="22"/>
      <c r="U27" s="22"/>
    </row>
    <row r="28" spans="1:21" x14ac:dyDescent="0.3">
      <c r="A28" t="str">
        <f>'Raw Data'!A91</f>
        <v>Retirement benefit obligations and similar obligations</v>
      </c>
      <c r="B28" s="5" t="str">
        <f>'Income Statement'!$B$4</f>
        <v>DKKmn</v>
      </c>
      <c r="F28" s="21">
        <f>'Raw Data'!F91</f>
        <v>2908</v>
      </c>
      <c r="G28" s="21">
        <f>'Raw Data'!G91</f>
        <v>3299</v>
      </c>
      <c r="H28" s="40">
        <f>G28</f>
        <v>3299</v>
      </c>
      <c r="I28" s="40">
        <f t="shared" ref="I28:M30" si="13">H28</f>
        <v>3299</v>
      </c>
      <c r="J28" s="40">
        <f t="shared" si="13"/>
        <v>3299</v>
      </c>
      <c r="K28" s="40">
        <f t="shared" si="13"/>
        <v>3299</v>
      </c>
      <c r="L28" s="40">
        <f t="shared" si="13"/>
        <v>3299</v>
      </c>
      <c r="M28" s="40">
        <f t="shared" si="13"/>
        <v>3299</v>
      </c>
      <c r="N28" s="40">
        <f t="shared" ref="N28:Q28" si="14">M28</f>
        <v>3299</v>
      </c>
      <c r="O28" s="40">
        <f t="shared" si="14"/>
        <v>3299</v>
      </c>
      <c r="P28" s="40">
        <f t="shared" si="14"/>
        <v>3299</v>
      </c>
      <c r="Q28" s="40">
        <f t="shared" si="14"/>
        <v>3299</v>
      </c>
      <c r="S28" s="22"/>
      <c r="T28" s="22"/>
      <c r="U28" s="22"/>
    </row>
    <row r="29" spans="1:21" x14ac:dyDescent="0.3">
      <c r="A29" t="str">
        <f>'Raw Data'!A92</f>
        <v>Tax liabilities</v>
      </c>
      <c r="B29" s="5" t="str">
        <f>'Income Statement'!$B$4</f>
        <v>DKKmn</v>
      </c>
      <c r="F29" s="21">
        <f>'Raw Data'!F92</f>
        <v>5659</v>
      </c>
      <c r="G29" s="21">
        <f>'Raw Data'!G92</f>
        <v>6503</v>
      </c>
      <c r="H29" s="40">
        <f>G29</f>
        <v>6503</v>
      </c>
      <c r="I29" s="40">
        <f t="shared" si="13"/>
        <v>6503</v>
      </c>
      <c r="J29" s="40">
        <f t="shared" si="13"/>
        <v>6503</v>
      </c>
      <c r="K29" s="40">
        <f t="shared" si="13"/>
        <v>6503</v>
      </c>
      <c r="L29" s="40">
        <f t="shared" si="13"/>
        <v>6503</v>
      </c>
      <c r="M29" s="40">
        <f t="shared" si="13"/>
        <v>6503</v>
      </c>
      <c r="N29" s="40">
        <f t="shared" ref="N29:Q29" si="15">M29</f>
        <v>6503</v>
      </c>
      <c r="O29" s="40">
        <f t="shared" si="15"/>
        <v>6503</v>
      </c>
      <c r="P29" s="40">
        <f t="shared" si="15"/>
        <v>6503</v>
      </c>
      <c r="Q29" s="40">
        <f t="shared" si="15"/>
        <v>6503</v>
      </c>
      <c r="S29" s="22"/>
      <c r="T29" s="22"/>
      <c r="U29" s="22"/>
    </row>
    <row r="30" spans="1:21" x14ac:dyDescent="0.3">
      <c r="A30" t="str">
        <f>'Raw Data'!A93</f>
        <v>Provisions</v>
      </c>
      <c r="B30" s="5" t="str">
        <f>'Income Statement'!$B$4</f>
        <v>DKKmn</v>
      </c>
      <c r="F30" s="21">
        <f>'Raw Data'!F93</f>
        <v>3827</v>
      </c>
      <c r="G30" s="21">
        <f>'Raw Data'!G93</f>
        <v>4037</v>
      </c>
      <c r="H30" s="40">
        <f>G30</f>
        <v>4037</v>
      </c>
      <c r="I30" s="40">
        <f t="shared" si="13"/>
        <v>4037</v>
      </c>
      <c r="J30" s="40">
        <f t="shared" si="13"/>
        <v>4037</v>
      </c>
      <c r="K30" s="40">
        <f t="shared" si="13"/>
        <v>4037</v>
      </c>
      <c r="L30" s="40">
        <f t="shared" si="13"/>
        <v>4037</v>
      </c>
      <c r="M30" s="40">
        <f t="shared" si="13"/>
        <v>4037</v>
      </c>
      <c r="N30" s="40">
        <f t="shared" ref="N30:Q30" si="16">M30</f>
        <v>4037</v>
      </c>
      <c r="O30" s="40">
        <f t="shared" si="16"/>
        <v>4037</v>
      </c>
      <c r="P30" s="40">
        <f t="shared" si="16"/>
        <v>4037</v>
      </c>
      <c r="Q30" s="40">
        <f t="shared" si="16"/>
        <v>4037</v>
      </c>
      <c r="S30" s="22"/>
      <c r="T30" s="22"/>
      <c r="U30" s="22"/>
    </row>
    <row r="31" spans="1:21" x14ac:dyDescent="0.3">
      <c r="A31" t="str">
        <f>'Raw Data'!A94</f>
        <v>Other liabilities</v>
      </c>
      <c r="B31" s="5" t="str">
        <f>'Income Statement'!$B$4</f>
        <v>DKKmn</v>
      </c>
      <c r="F31" s="21">
        <f>'Raw Data'!F94</f>
        <v>6186</v>
      </c>
      <c r="G31" s="21">
        <f>'Raw Data'!G94</f>
        <v>9056</v>
      </c>
      <c r="H31" s="40">
        <f>G31+'Cash Flow Statement'!H22</f>
        <v>9056</v>
      </c>
      <c r="I31" s="40">
        <f>H31+'Cash Flow Statement'!I22</f>
        <v>9056</v>
      </c>
      <c r="J31" s="40">
        <f>I31+'Cash Flow Statement'!J22</f>
        <v>9056</v>
      </c>
      <c r="K31" s="40">
        <f>J31+'Cash Flow Statement'!K22</f>
        <v>9056</v>
      </c>
      <c r="L31" s="40">
        <f>K31+'Cash Flow Statement'!L22</f>
        <v>9056</v>
      </c>
      <c r="M31" s="40">
        <f>L31+'Cash Flow Statement'!M22</f>
        <v>9056</v>
      </c>
      <c r="N31" s="40">
        <f>M31+'Cash Flow Statement'!N22</f>
        <v>9056</v>
      </c>
      <c r="O31" s="40">
        <f>N31+'Cash Flow Statement'!O22</f>
        <v>9056</v>
      </c>
      <c r="P31" s="40">
        <f>O31+'Cash Flow Statement'!P22</f>
        <v>9056</v>
      </c>
      <c r="Q31" s="40">
        <f>P31+'Cash Flow Statement'!Q22</f>
        <v>9056</v>
      </c>
      <c r="S31" s="22"/>
      <c r="T31" s="22"/>
      <c r="U31" s="22"/>
    </row>
    <row r="32" spans="1:21" x14ac:dyDescent="0.3">
      <c r="A32" s="2" t="str">
        <f>'Raw Data'!A95</f>
        <v>Total non-current liabilities</v>
      </c>
      <c r="B32" s="7" t="str">
        <f>'Income Statement'!$B$4</f>
        <v>DKKmn</v>
      </c>
      <c r="C32" s="2"/>
      <c r="D32" s="2"/>
      <c r="E32" s="2"/>
      <c r="F32" s="35">
        <f t="shared" ref="F32:Q32" si="17">SUM(F27:F31)</f>
        <v>35330</v>
      </c>
      <c r="G32" s="35">
        <f t="shared" si="17"/>
        <v>43774</v>
      </c>
      <c r="H32" s="35">
        <f t="shared" si="17"/>
        <v>43574</v>
      </c>
      <c r="I32" s="35">
        <f t="shared" si="17"/>
        <v>43374</v>
      </c>
      <c r="J32" s="35">
        <f t="shared" si="17"/>
        <v>43174</v>
      </c>
      <c r="K32" s="35">
        <f t="shared" si="17"/>
        <v>42974</v>
      </c>
      <c r="L32" s="35">
        <f t="shared" si="17"/>
        <v>42774</v>
      </c>
      <c r="M32" s="35">
        <f t="shared" si="17"/>
        <v>42574</v>
      </c>
      <c r="N32" s="35">
        <f t="shared" si="17"/>
        <v>42374</v>
      </c>
      <c r="O32" s="35">
        <f t="shared" si="17"/>
        <v>42174</v>
      </c>
      <c r="P32" s="35">
        <f t="shared" si="17"/>
        <v>41974</v>
      </c>
      <c r="Q32" s="35">
        <f t="shared" si="17"/>
        <v>41774</v>
      </c>
      <c r="S32" s="22"/>
      <c r="T32" s="22"/>
      <c r="U32" s="22"/>
    </row>
    <row r="33" spans="1:21" x14ac:dyDescent="0.3">
      <c r="A33" s="2"/>
      <c r="B33" s="7"/>
      <c r="C33" s="2"/>
      <c r="D33" s="2"/>
      <c r="E33" s="2"/>
      <c r="F33" s="35"/>
      <c r="G33" s="35"/>
      <c r="S33" s="22"/>
      <c r="T33" s="22"/>
      <c r="U33" s="22"/>
    </row>
    <row r="34" spans="1:21" x14ac:dyDescent="0.3">
      <c r="A34" t="s">
        <v>178</v>
      </c>
      <c r="B34" s="5" t="str">
        <f>'Income Statement'!$B$4</f>
        <v>DKKmn</v>
      </c>
      <c r="F34" s="21">
        <f>'Raw Data'!F96</f>
        <v>7233</v>
      </c>
      <c r="G34" s="21">
        <f>'Raw Data'!G96</f>
        <v>4112</v>
      </c>
      <c r="H34" s="40">
        <f>G34</f>
        <v>4112</v>
      </c>
      <c r="I34" s="40">
        <f t="shared" ref="I34:M34" si="18">H34</f>
        <v>4112</v>
      </c>
      <c r="J34" s="40">
        <f t="shared" si="18"/>
        <v>4112</v>
      </c>
      <c r="K34" s="40">
        <f t="shared" si="18"/>
        <v>4112</v>
      </c>
      <c r="L34" s="40">
        <f t="shared" si="18"/>
        <v>4112</v>
      </c>
      <c r="M34" s="40">
        <f t="shared" si="18"/>
        <v>4112</v>
      </c>
      <c r="N34" s="40">
        <f t="shared" ref="N34:Q34" si="19">M34</f>
        <v>4112</v>
      </c>
      <c r="O34" s="40">
        <f t="shared" si="19"/>
        <v>4112</v>
      </c>
      <c r="P34" s="40">
        <f t="shared" si="19"/>
        <v>4112</v>
      </c>
      <c r="Q34" s="40">
        <f t="shared" si="19"/>
        <v>4112</v>
      </c>
      <c r="S34" s="22"/>
      <c r="T34" s="22"/>
      <c r="U34" s="22"/>
    </row>
    <row r="35" spans="1:21" x14ac:dyDescent="0.3">
      <c r="A35" t="str">
        <f>'Raw Data'!A97</f>
        <v>Trade payables</v>
      </c>
      <c r="B35" s="5" t="str">
        <f>'Income Statement'!$B$4</f>
        <v>DKKmn</v>
      </c>
      <c r="F35" s="21">
        <f>'Raw Data'!F97+'Raw Data'!F98</f>
        <v>17782</v>
      </c>
      <c r="G35" s="21">
        <f>'Raw Data'!G97+'Raw Data'!G98</f>
        <v>18694</v>
      </c>
      <c r="H35" s="40">
        <f>G35+'Cash Flow Statement'!H5</f>
        <v>18100.882000000001</v>
      </c>
      <c r="I35" s="40">
        <f>H35+'Cash Flow Statement'!I5</f>
        <v>18100.882000000001</v>
      </c>
      <c r="J35" s="40">
        <f>I35+'Cash Flow Statement'!J5</f>
        <v>18100.882000000001</v>
      </c>
      <c r="K35" s="40">
        <f>J35+'Cash Flow Statement'!K5</f>
        <v>18780.889414528003</v>
      </c>
      <c r="L35" s="40">
        <f>K35+'Cash Flow Statement'!L5</f>
        <v>19488.097125637123</v>
      </c>
      <c r="M35" s="40">
        <f>L35+'Cash Flow Statement'!M5</f>
        <v>20223.593145190607</v>
      </c>
      <c r="N35" s="40">
        <f>M35+'Cash Flow Statement'!N5</f>
        <v>20988.509005526234</v>
      </c>
      <c r="O35" s="40">
        <f>N35+'Cash Flow Statement'!O5</f>
        <v>21784.021500275285</v>
      </c>
      <c r="P35" s="40">
        <f>O35+'Cash Flow Statement'!P5</f>
        <v>22611.354494814295</v>
      </c>
      <c r="Q35" s="40">
        <f>P35+'Cash Flow Statement'!Q5</f>
        <v>23471.780809134867</v>
      </c>
      <c r="S35" s="22"/>
      <c r="T35" s="22"/>
      <c r="U35" s="22"/>
    </row>
    <row r="36" spans="1:21" x14ac:dyDescent="0.3">
      <c r="A36" t="str">
        <f>'Raw Data'!A99</f>
        <v>Provisions</v>
      </c>
      <c r="B36" s="5" t="str">
        <f>'Income Statement'!$B$4</f>
        <v>DKKmn</v>
      </c>
      <c r="F36" s="21">
        <f>'Raw Data'!F99</f>
        <v>1100</v>
      </c>
      <c r="G36" s="21">
        <f>'Raw Data'!G99</f>
        <v>1663</v>
      </c>
      <c r="H36" s="40">
        <f t="shared" ref="H36:M36" si="20">G36</f>
        <v>1663</v>
      </c>
      <c r="I36" s="40">
        <f t="shared" si="20"/>
        <v>1663</v>
      </c>
      <c r="J36" s="40">
        <f t="shared" si="20"/>
        <v>1663</v>
      </c>
      <c r="K36" s="40">
        <f t="shared" si="20"/>
        <v>1663</v>
      </c>
      <c r="L36" s="40">
        <f t="shared" si="20"/>
        <v>1663</v>
      </c>
      <c r="M36" s="40">
        <f t="shared" si="20"/>
        <v>1663</v>
      </c>
      <c r="N36" s="40">
        <f t="shared" ref="N36:Q36" si="21">M36</f>
        <v>1663</v>
      </c>
      <c r="O36" s="40">
        <f t="shared" si="21"/>
        <v>1663</v>
      </c>
      <c r="P36" s="40">
        <f t="shared" si="21"/>
        <v>1663</v>
      </c>
      <c r="Q36" s="40">
        <f t="shared" si="21"/>
        <v>1663</v>
      </c>
      <c r="S36" s="22"/>
      <c r="T36" s="22"/>
      <c r="U36" s="22"/>
    </row>
    <row r="37" spans="1:21" x14ac:dyDescent="0.3">
      <c r="A37" t="str">
        <f>'Raw Data'!A100</f>
        <v>Tax payables</v>
      </c>
      <c r="B37" s="5" t="str">
        <f>'Income Statement'!$B$4</f>
        <v>DKKmn</v>
      </c>
      <c r="F37" s="21">
        <f>'Raw Data'!F100</f>
        <v>878</v>
      </c>
      <c r="G37" s="21">
        <f>'Raw Data'!G100</f>
        <v>999</v>
      </c>
      <c r="H37" s="40">
        <f>G37-('Income Statement'!H30-'Cash Flow Statement'!H11)</f>
        <v>999</v>
      </c>
      <c r="I37" s="40">
        <f>H37-('Income Statement'!I30-'Cash Flow Statement'!I11)</f>
        <v>999</v>
      </c>
      <c r="J37" s="40">
        <f>I37-('Income Statement'!J30-'Cash Flow Statement'!J11)</f>
        <v>999</v>
      </c>
      <c r="K37" s="40">
        <f>J37-('Income Statement'!K30-'Cash Flow Statement'!K11)</f>
        <v>999</v>
      </c>
      <c r="L37" s="40">
        <f>K37-('Income Statement'!L30-'Cash Flow Statement'!L11)</f>
        <v>999</v>
      </c>
      <c r="M37" s="40">
        <f>L37-('Income Statement'!M30-'Cash Flow Statement'!M11)</f>
        <v>999</v>
      </c>
      <c r="N37" s="40">
        <f>M37-('Income Statement'!N30-'Cash Flow Statement'!N11)</f>
        <v>999</v>
      </c>
      <c r="O37" s="40">
        <f>N37-('Income Statement'!O30-'Cash Flow Statement'!O11)</f>
        <v>999</v>
      </c>
      <c r="P37" s="40">
        <f>O37-('Income Statement'!P30-'Cash Flow Statement'!P11)</f>
        <v>999</v>
      </c>
      <c r="Q37" s="40">
        <f>P37-('Income Statement'!Q30-'Cash Flow Statement'!Q11)</f>
        <v>999</v>
      </c>
      <c r="S37" s="22"/>
      <c r="T37" s="22"/>
      <c r="U37" s="22"/>
    </row>
    <row r="38" spans="1:21" x14ac:dyDescent="0.3">
      <c r="A38" t="str">
        <f>'Raw Data'!A101</f>
        <v>Other liabilities</v>
      </c>
      <c r="B38" s="5" t="str">
        <f>'Income Statement'!$B$4</f>
        <v>DKKmn</v>
      </c>
      <c r="F38" s="21">
        <f>'Raw Data'!F101</f>
        <v>7488</v>
      </c>
      <c r="G38" s="21">
        <f>'Raw Data'!G101</f>
        <v>7843</v>
      </c>
      <c r="H38" s="40">
        <f t="shared" ref="H38:M38" si="22">G38</f>
        <v>7843</v>
      </c>
      <c r="I38" s="40">
        <f t="shared" si="22"/>
        <v>7843</v>
      </c>
      <c r="J38" s="40">
        <f t="shared" si="22"/>
        <v>7843</v>
      </c>
      <c r="K38" s="40">
        <f t="shared" si="22"/>
        <v>7843</v>
      </c>
      <c r="L38" s="40">
        <f t="shared" si="22"/>
        <v>7843</v>
      </c>
      <c r="M38" s="40">
        <f t="shared" si="22"/>
        <v>7843</v>
      </c>
      <c r="N38" s="40">
        <f t="shared" ref="N38:Q38" si="23">M38</f>
        <v>7843</v>
      </c>
      <c r="O38" s="40">
        <f t="shared" si="23"/>
        <v>7843</v>
      </c>
      <c r="P38" s="40">
        <f t="shared" si="23"/>
        <v>7843</v>
      </c>
      <c r="Q38" s="40">
        <f t="shared" si="23"/>
        <v>7843</v>
      </c>
      <c r="S38" s="22"/>
      <c r="T38" s="22"/>
      <c r="U38" s="22"/>
    </row>
    <row r="39" spans="1:21" x14ac:dyDescent="0.3">
      <c r="A39" s="2" t="str">
        <f>'Raw Data'!A102</f>
        <v>Total current liabilities</v>
      </c>
      <c r="B39" s="7" t="str">
        <f>'Income Statement'!$B$4</f>
        <v>DKKmn</v>
      </c>
      <c r="C39" s="2"/>
      <c r="D39" s="2"/>
      <c r="E39" s="2"/>
      <c r="F39" s="35">
        <f>SUM(F34:F38)</f>
        <v>34481</v>
      </c>
      <c r="G39" s="35">
        <f>SUM(G34:G38)</f>
        <v>33311</v>
      </c>
      <c r="H39" s="35">
        <f t="shared" ref="H39:M39" si="24">SUM(H34:H38)</f>
        <v>32717.882000000001</v>
      </c>
      <c r="I39" s="35">
        <f t="shared" si="24"/>
        <v>32717.882000000001</v>
      </c>
      <c r="J39" s="35">
        <f t="shared" si="24"/>
        <v>32717.882000000001</v>
      </c>
      <c r="K39" s="35">
        <f t="shared" si="24"/>
        <v>33397.889414528006</v>
      </c>
      <c r="L39" s="35">
        <f t="shared" si="24"/>
        <v>34105.097125637127</v>
      </c>
      <c r="M39" s="35">
        <f t="shared" si="24"/>
        <v>34840.593145190607</v>
      </c>
      <c r="N39" s="35">
        <f t="shared" ref="N39" si="25">SUM(N34:N38)</f>
        <v>35605.509005526234</v>
      </c>
      <c r="O39" s="35">
        <f t="shared" ref="O39" si="26">SUM(O34:O38)</f>
        <v>36401.021500275281</v>
      </c>
      <c r="P39" s="35">
        <f t="shared" ref="P39" si="27">SUM(P34:P38)</f>
        <v>37228.354494814295</v>
      </c>
      <c r="Q39" s="35">
        <f t="shared" ref="Q39" si="28">SUM(Q34:Q38)</f>
        <v>38088.780809134871</v>
      </c>
      <c r="S39" s="22"/>
      <c r="T39" s="22"/>
      <c r="U39" s="22"/>
    </row>
    <row r="40" spans="1:21" x14ac:dyDescent="0.3">
      <c r="A40" s="2"/>
      <c r="B40" s="7"/>
      <c r="C40" s="2"/>
      <c r="D40" s="2"/>
      <c r="E40" s="2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S40" s="22"/>
      <c r="T40" s="22"/>
      <c r="U40" s="22"/>
    </row>
    <row r="41" spans="1:21" x14ac:dyDescent="0.3">
      <c r="A41" s="2" t="str">
        <f>'Raw Data'!A103</f>
        <v>Total liabilities</v>
      </c>
      <c r="B41" s="7" t="str">
        <f>'Income Statement'!$B$4</f>
        <v>DKKmn</v>
      </c>
      <c r="C41" s="2"/>
      <c r="D41" s="2"/>
      <c r="E41" s="2"/>
      <c r="F41" s="35">
        <f t="shared" ref="F41:Q41" si="29">F32+F39</f>
        <v>69811</v>
      </c>
      <c r="G41" s="35">
        <f t="shared" si="29"/>
        <v>77085</v>
      </c>
      <c r="H41" s="35">
        <f t="shared" si="29"/>
        <v>76291.881999999998</v>
      </c>
      <c r="I41" s="35">
        <f t="shared" si="29"/>
        <v>76091.881999999998</v>
      </c>
      <c r="J41" s="35">
        <f t="shared" si="29"/>
        <v>75891.881999999998</v>
      </c>
      <c r="K41" s="35">
        <f t="shared" si="29"/>
        <v>76371.889414528006</v>
      </c>
      <c r="L41" s="35">
        <f t="shared" si="29"/>
        <v>76879.097125637127</v>
      </c>
      <c r="M41" s="35">
        <f t="shared" si="29"/>
        <v>77414.593145190607</v>
      </c>
      <c r="N41" s="35">
        <f t="shared" si="29"/>
        <v>77979.509005526226</v>
      </c>
      <c r="O41" s="35">
        <f t="shared" si="29"/>
        <v>78575.021500275281</v>
      </c>
      <c r="P41" s="35">
        <f t="shared" si="29"/>
        <v>79202.354494814295</v>
      </c>
      <c r="Q41" s="35">
        <f t="shared" si="29"/>
        <v>79862.780809134871</v>
      </c>
      <c r="S41" s="22"/>
      <c r="T41" s="22"/>
      <c r="U41" s="22"/>
    </row>
    <row r="42" spans="1:21" x14ac:dyDescent="0.3">
      <c r="H42" s="22"/>
      <c r="I42" s="22"/>
      <c r="J42" s="22"/>
      <c r="K42" s="22"/>
      <c r="L42" s="22"/>
      <c r="M42" s="22"/>
      <c r="S42" s="22"/>
      <c r="T42" s="22"/>
      <c r="U42" s="22"/>
    </row>
    <row r="43" spans="1:21" x14ac:dyDescent="0.3">
      <c r="A43" s="56"/>
      <c r="B43" s="42"/>
      <c r="C43" s="43"/>
      <c r="D43" s="43"/>
      <c r="E43" s="43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S43" s="22"/>
      <c r="T43" s="22"/>
      <c r="U43" s="22"/>
    </row>
    <row r="44" spans="1:21" x14ac:dyDescent="0.3">
      <c r="I44" s="55"/>
      <c r="J44" s="55"/>
      <c r="K44" s="55"/>
      <c r="L44" s="55"/>
      <c r="M44" s="55"/>
      <c r="N44" s="55"/>
      <c r="O44" s="55"/>
      <c r="P44" s="55"/>
      <c r="Q44" s="55"/>
      <c r="S44" s="22"/>
      <c r="T44" s="22"/>
      <c r="U44" s="22"/>
    </row>
    <row r="45" spans="1:21" x14ac:dyDescent="0.3">
      <c r="J45" s="55"/>
      <c r="K45" s="55"/>
      <c r="L45" s="55"/>
      <c r="M45" s="55"/>
      <c r="N45" s="55"/>
      <c r="O45" s="55"/>
      <c r="P45" s="55"/>
      <c r="Q45" s="55"/>
      <c r="S45" s="22"/>
      <c r="T45" s="22"/>
      <c r="U45" s="22"/>
    </row>
    <row r="46" spans="1:21" x14ac:dyDescent="0.3">
      <c r="K46" s="55"/>
      <c r="L46" s="55"/>
      <c r="M46" s="55"/>
      <c r="N46" s="55"/>
      <c r="O46" s="55"/>
      <c r="P46" s="55"/>
      <c r="Q46" s="55"/>
      <c r="S46" s="22"/>
      <c r="T46" s="22"/>
      <c r="U46" s="22"/>
    </row>
    <row r="47" spans="1:21" x14ac:dyDescent="0.3">
      <c r="L47" s="55"/>
      <c r="M47" s="55"/>
      <c r="N47" s="55"/>
      <c r="O47" s="55"/>
      <c r="P47" s="55"/>
      <c r="Q47" s="55"/>
      <c r="S47" s="22"/>
      <c r="T47" s="22"/>
      <c r="U47" s="22"/>
    </row>
    <row r="48" spans="1:21" x14ac:dyDescent="0.3">
      <c r="M48" s="55"/>
      <c r="N48" s="55"/>
      <c r="O48" s="55"/>
      <c r="P48" s="55"/>
      <c r="Q48" s="55"/>
      <c r="S48" s="22"/>
      <c r="T48" s="22"/>
      <c r="U48" s="22"/>
    </row>
    <row r="49" spans="14:21" x14ac:dyDescent="0.3">
      <c r="N49" s="55"/>
      <c r="O49" s="55"/>
      <c r="P49" s="55"/>
      <c r="Q49" s="55"/>
      <c r="S49" s="22"/>
      <c r="T49" s="22"/>
      <c r="U49" s="22"/>
    </row>
    <row r="50" spans="14:21" x14ac:dyDescent="0.3">
      <c r="O50" s="55"/>
      <c r="P50" s="55"/>
      <c r="Q50" s="55"/>
      <c r="R50" s="55"/>
      <c r="S50" s="22"/>
      <c r="T50" s="22"/>
      <c r="U50" s="22"/>
    </row>
    <row r="51" spans="14:21" x14ac:dyDescent="0.3">
      <c r="P51" s="55"/>
      <c r="Q51" s="55"/>
      <c r="R51" s="55"/>
      <c r="S51" s="22"/>
      <c r="T51" s="22"/>
      <c r="U51" s="22"/>
    </row>
    <row r="52" spans="14:21" x14ac:dyDescent="0.3">
      <c r="Q52" s="55"/>
    </row>
  </sheetData>
  <conditionalFormatting sqref="F43:Q43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606D-5B11-469E-9683-207D07A52CF7}">
  <dimension ref="A1:R3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36.6640625" customWidth="1"/>
    <col min="2" max="2" width="7.21875" style="5" bestFit="1" customWidth="1"/>
    <col min="8" max="8" width="8.88671875" customWidth="1"/>
  </cols>
  <sheetData>
    <row r="1" spans="1:18" x14ac:dyDescent="0.3">
      <c r="A1" s="2" t="str">
        <f>'Income Statement'!A1</f>
        <v>Carlsberg</v>
      </c>
      <c r="C1" s="2">
        <f>'Income Statement'!C1</f>
        <v>2015</v>
      </c>
      <c r="D1" s="2">
        <f>'Income Statement'!D1</f>
        <v>2016</v>
      </c>
      <c r="E1" s="2">
        <f>'Income Statement'!E1</f>
        <v>2017</v>
      </c>
      <c r="F1" s="2">
        <f>'Income Statement'!F1</f>
        <v>2018</v>
      </c>
      <c r="G1" s="2">
        <f>'Income Statement'!G1</f>
        <v>2019</v>
      </c>
      <c r="H1" s="14" t="str">
        <f>'Income Statement'!H1</f>
        <v>2020E</v>
      </c>
      <c r="I1" s="14" t="str">
        <f>'Income Statement'!I1</f>
        <v>2021E</v>
      </c>
      <c r="J1" s="14" t="str">
        <f>'Income Statement'!J1</f>
        <v>2022E</v>
      </c>
      <c r="K1" s="14" t="str">
        <f>'Income Statement'!K1</f>
        <v>2023E</v>
      </c>
      <c r="L1" s="14" t="str">
        <f>'Income Statement'!L1</f>
        <v>2024E</v>
      </c>
      <c r="M1" s="14" t="str">
        <f>'Income Statement'!M1</f>
        <v>2025E</v>
      </c>
      <c r="N1" s="14" t="str">
        <f>'Income Statement'!N1</f>
        <v>2026E</v>
      </c>
      <c r="O1" s="14" t="str">
        <f>'Income Statement'!O1</f>
        <v>2027E</v>
      </c>
      <c r="P1" s="14" t="str">
        <f>'Income Statement'!P1</f>
        <v>2028E</v>
      </c>
      <c r="Q1" s="14" t="str">
        <f>'Income Statement'!Q1</f>
        <v>2029E</v>
      </c>
    </row>
    <row r="2" spans="1:18" x14ac:dyDescent="0.3">
      <c r="A2" s="3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8" x14ac:dyDescent="0.3">
      <c r="A3" t="str">
        <f>'Raw Data'!A111</f>
        <v>Operating profit before depreciation, amortisation and impairment losses</v>
      </c>
      <c r="B3" s="5" t="str">
        <f>'Income Statement'!$B$4</f>
        <v>DKKmn</v>
      </c>
      <c r="C3" s="21"/>
      <c r="D3" s="21"/>
      <c r="E3" s="21"/>
      <c r="F3" s="21">
        <f>'Income Statement'!F10</f>
        <v>13420</v>
      </c>
      <c r="G3" s="21">
        <f>'Income Statement'!G10</f>
        <v>15007</v>
      </c>
      <c r="H3" s="21">
        <f>'Income Statement'!H10</f>
        <v>13784.806</v>
      </c>
      <c r="I3" s="21">
        <f>'Income Statement'!I10</f>
        <v>14644.032956000001</v>
      </c>
      <c r="J3" s="21">
        <f>'Income Statement'!J10</f>
        <v>15296.077442112002</v>
      </c>
      <c r="K3" s="21">
        <f>'Income Statement'!K10</f>
        <v>15881.080109074948</v>
      </c>
      <c r="L3" s="21">
        <f>'Income Statement'!L10</f>
        <v>16502.73935388674</v>
      </c>
      <c r="M3" s="21">
        <f>'Income Statement'!M10</f>
        <v>17162.363854264979</v>
      </c>
      <c r="N3" s="21">
        <f>'Income Statement'!N10</f>
        <v>17861.341348143793</v>
      </c>
      <c r="O3" s="21">
        <f>'Income Statement'!O10</f>
        <v>18601.141279813677</v>
      </c>
      <c r="P3" s="21">
        <f>'Income Statement'!P10</f>
        <v>19383.317607326218</v>
      </c>
      <c r="Q3" s="21">
        <f>'Income Statement'!Q10</f>
        <v>20209.511776179788</v>
      </c>
    </row>
    <row r="4" spans="1:18" x14ac:dyDescent="0.3">
      <c r="A4" t="str">
        <f>'Raw Data'!A112</f>
        <v>Other non-cash items</v>
      </c>
      <c r="B4" s="5" t="str">
        <f>'Income Statement'!$B$4</f>
        <v>DKKmn</v>
      </c>
      <c r="F4" s="21">
        <f>'Raw Data'!F112</f>
        <v>143</v>
      </c>
      <c r="G4" s="21">
        <f>'Raw Data'!G112</f>
        <v>-320</v>
      </c>
      <c r="H4" s="41">
        <v>0</v>
      </c>
      <c r="I4" s="40">
        <f>H4</f>
        <v>0</v>
      </c>
      <c r="J4" s="40">
        <f t="shared" ref="J4:M4" si="0">I4</f>
        <v>0</v>
      </c>
      <c r="K4" s="40">
        <f t="shared" si="0"/>
        <v>0</v>
      </c>
      <c r="L4" s="40">
        <f t="shared" si="0"/>
        <v>0</v>
      </c>
      <c r="M4" s="40">
        <f t="shared" si="0"/>
        <v>0</v>
      </c>
      <c r="N4" s="40">
        <f t="shared" ref="N4:Q4" si="1">M4</f>
        <v>0</v>
      </c>
      <c r="O4" s="40">
        <f t="shared" si="1"/>
        <v>0</v>
      </c>
      <c r="P4" s="40">
        <f t="shared" si="1"/>
        <v>0</v>
      </c>
      <c r="Q4" s="40">
        <f t="shared" si="1"/>
        <v>0</v>
      </c>
    </row>
    <row r="5" spans="1:18" x14ac:dyDescent="0.3">
      <c r="A5" t="s">
        <v>175</v>
      </c>
      <c r="B5" s="5" t="str">
        <f>'Income Statement'!$B$4</f>
        <v>DKKmn</v>
      </c>
      <c r="F5" s="21">
        <f>'Raw Data'!F113+'Raw Data'!F114</f>
        <v>1960</v>
      </c>
      <c r="G5" s="21">
        <f>'Raw Data'!G113+'Raw Data'!G114</f>
        <v>1125</v>
      </c>
      <c r="H5" s="21">
        <f>H6*'Income Statement'!H4</f>
        <v>-593.11800000000005</v>
      </c>
      <c r="I5" s="21">
        <f>I6*'Income Statement'!I4</f>
        <v>0</v>
      </c>
      <c r="J5" s="21">
        <f>J6*'Income Statement'!J4</f>
        <v>0</v>
      </c>
      <c r="K5" s="21">
        <f>K6*'Income Statement'!K4</f>
        <v>680.00741452800025</v>
      </c>
      <c r="L5" s="21">
        <f>L6*'Income Statement'!L4</f>
        <v>707.20771110912028</v>
      </c>
      <c r="M5" s="21">
        <f>M6*'Income Statement'!M4</f>
        <v>735.4960195534851</v>
      </c>
      <c r="N5" s="21">
        <f>N6*'Income Statement'!N4</f>
        <v>764.91586033562453</v>
      </c>
      <c r="O5" s="21">
        <f>O6*'Income Statement'!O4</f>
        <v>795.51249474904955</v>
      </c>
      <c r="P5" s="21">
        <f>P6*'Income Statement'!P4</f>
        <v>827.33299453901157</v>
      </c>
      <c r="Q5" s="21">
        <f>Q6*'Income Statement'!Q4</f>
        <v>860.42631432057203</v>
      </c>
    </row>
    <row r="6" spans="1:18" x14ac:dyDescent="0.3">
      <c r="A6" s="44" t="s">
        <v>186</v>
      </c>
      <c r="B6" s="45" t="str">
        <f>'Income Statement'!$B$5</f>
        <v>%</v>
      </c>
      <c r="F6" s="47">
        <f>F5/'Income Statement'!F4</f>
        <v>3.1358494792249975E-2</v>
      </c>
      <c r="G6" s="47">
        <f>G5/'Income Statement'!G4</f>
        <v>1.707080210008801E-2</v>
      </c>
      <c r="H6" s="48">
        <v>-0.01</v>
      </c>
      <c r="I6" s="48">
        <v>0</v>
      </c>
      <c r="J6" s="48">
        <v>0</v>
      </c>
      <c r="K6" s="48">
        <v>0.01</v>
      </c>
      <c r="L6" s="49">
        <f t="shared" ref="L6:Q6" si="2">K6</f>
        <v>0.01</v>
      </c>
      <c r="M6" s="49">
        <f t="shared" si="2"/>
        <v>0.01</v>
      </c>
      <c r="N6" s="49">
        <f t="shared" si="2"/>
        <v>0.01</v>
      </c>
      <c r="O6" s="49">
        <f t="shared" si="2"/>
        <v>0.01</v>
      </c>
      <c r="P6" s="49">
        <f t="shared" si="2"/>
        <v>0.01</v>
      </c>
      <c r="Q6" s="49">
        <f t="shared" si="2"/>
        <v>0.01</v>
      </c>
    </row>
    <row r="7" spans="1:18" x14ac:dyDescent="0.3">
      <c r="A7" s="44" t="s">
        <v>185</v>
      </c>
      <c r="B7" s="45" t="str">
        <f>'Income Statement'!$B$5</f>
        <v>%</v>
      </c>
      <c r="C7" s="46"/>
      <c r="D7" s="46"/>
      <c r="E7" s="46"/>
      <c r="F7" s="47">
        <f>('Balance Sheet'!F12+'Balance Sheet'!F11-'Balance Sheet'!F35)/'Income Statement'!F4</f>
        <v>-0.13220165432059261</v>
      </c>
      <c r="G7" s="47">
        <f>('Balance Sheet'!G12+'Balance Sheet'!G11-'Balance Sheet'!G35)/'Income Statement'!G4</f>
        <v>-0.13055749446147311</v>
      </c>
      <c r="H7" s="47">
        <f>('Balance Sheet'!H12+'Balance Sheet'!H11-'Balance Sheet'!H35)/'Income Statement'!H4</f>
        <v>-0.13506388273497014</v>
      </c>
      <c r="I7" s="47">
        <f>('Balance Sheet'!I12+'Balance Sheet'!I11-'Balance Sheet'!I35)/'Income Statement'!I4</f>
        <v>-0.12741875729714161</v>
      </c>
      <c r="J7" s="47">
        <f>('Balance Sheet'!J12+'Balance Sheet'!J11-'Balance Sheet'!J35)/'Income Statement'!J4</f>
        <v>-0.12251803586263615</v>
      </c>
      <c r="K7" s="47">
        <f>('Balance Sheet'!K12+'Balance Sheet'!K11-'Balance Sheet'!K35)/'Income Statement'!K4</f>
        <v>-0.12780580371407324</v>
      </c>
      <c r="L7" s="47">
        <f>('Balance Sheet'!L12+'Balance Sheet'!L11-'Balance Sheet'!L35)/'Income Statement'!L4</f>
        <v>-0.13289019587891657</v>
      </c>
      <c r="M7" s="47">
        <f>('Balance Sheet'!M12+'Balance Sheet'!M11-'Balance Sheet'!M35)/'Income Statement'!M4</f>
        <v>-0.13777903449895823</v>
      </c>
      <c r="N7" s="47">
        <f>('Balance Sheet'!N12+'Balance Sheet'!N11-'Balance Sheet'!N35)/'Income Statement'!N4</f>
        <v>-0.14247984086438292</v>
      </c>
      <c r="O7" s="47">
        <f>('Balance Sheet'!O12+'Balance Sheet'!O11-'Balance Sheet'!O35)/'Income Statement'!O4</f>
        <v>-0.14699984698498361</v>
      </c>
      <c r="P7" s="47">
        <f>('Balance Sheet'!P12+'Balance Sheet'!P11-'Balance Sheet'!P35)/'Income Statement'!P4</f>
        <v>-0.15134600671633036</v>
      </c>
      <c r="Q7" s="47">
        <f>('Balance Sheet'!Q12+'Balance Sheet'!Q11-'Balance Sheet'!Q35)/'Income Statement'!Q4</f>
        <v>-0.15552500645800996</v>
      </c>
    </row>
    <row r="8" spans="1:18" x14ac:dyDescent="0.3">
      <c r="A8" t="str">
        <f>'Raw Data'!A115</f>
        <v>Restructuring costs paid</v>
      </c>
      <c r="B8" s="5" t="str">
        <f>'Income Statement'!$B$4</f>
        <v>DKKmn</v>
      </c>
      <c r="F8" s="21">
        <f>'Raw Data'!F115</f>
        <v>-238</v>
      </c>
      <c r="G8" s="21">
        <f>'Raw Data'!G115</f>
        <v>-445</v>
      </c>
      <c r="H8" s="41">
        <v>-200</v>
      </c>
      <c r="I8" s="41">
        <v>-200</v>
      </c>
      <c r="J8" s="41">
        <v>-200</v>
      </c>
      <c r="K8" s="41">
        <v>-200</v>
      </c>
      <c r="L8" s="41">
        <v>-200</v>
      </c>
      <c r="M8" s="41">
        <v>-200</v>
      </c>
      <c r="N8" s="41">
        <v>-200</v>
      </c>
      <c r="O8" s="41">
        <v>-200</v>
      </c>
      <c r="P8" s="41">
        <v>-200</v>
      </c>
      <c r="Q8" s="41">
        <v>-200</v>
      </c>
    </row>
    <row r="9" spans="1:18" x14ac:dyDescent="0.3">
      <c r="A9" t="s">
        <v>182</v>
      </c>
      <c r="B9" s="5" t="str">
        <f>'Income Statement'!$B$4</f>
        <v>DKKmn</v>
      </c>
      <c r="F9" s="21">
        <f>'Raw Data'!F116+'Raw Data'!F117</f>
        <v>-863</v>
      </c>
      <c r="G9" s="21">
        <f>'Raw Data'!G116+'Raw Data'!G117</f>
        <v>-894</v>
      </c>
      <c r="H9" s="21">
        <f>H10*'Income Statement'!H24</f>
        <v>-632.60800000000006</v>
      </c>
      <c r="I9" s="21">
        <f>I10*'Income Statement'!I24</f>
        <v>-679.88179764000006</v>
      </c>
      <c r="J9" s="21">
        <f>J10*'Income Statement'!J24</f>
        <v>-786.03990011680287</v>
      </c>
      <c r="K9" s="21">
        <f>K10*'Income Statement'!K24</f>
        <v>-727.14282465183544</v>
      </c>
      <c r="L9" s="21">
        <f>L10*'Income Statement'!L24</f>
        <v>-655.35666761372704</v>
      </c>
      <c r="M9" s="21">
        <f>M10*'Income Statement'!M24</f>
        <v>-620.87425862529642</v>
      </c>
      <c r="N9" s="21">
        <f>N10*'Income Statement'!N24</f>
        <v>-577.37880342935625</v>
      </c>
      <c r="O9" s="21">
        <f>O10*'Income Statement'!O24</f>
        <v>-529.23971533107601</v>
      </c>
      <c r="P9" s="21">
        <f>P10*'Income Statement'!P24</f>
        <v>-475.28526507356355</v>
      </c>
      <c r="Q9" s="21">
        <f>Q10*'Income Statement'!Q24</f>
        <v>-414.3028351245718</v>
      </c>
    </row>
    <row r="10" spans="1:18" x14ac:dyDescent="0.3">
      <c r="A10" s="44" t="s">
        <v>181</v>
      </c>
      <c r="B10" s="45" t="str">
        <f>'Income Statement'!$B$5</f>
        <v>%</v>
      </c>
      <c r="C10" s="46"/>
      <c r="D10" s="46"/>
      <c r="E10" s="46"/>
      <c r="F10" s="50">
        <f>F9/'Income Statement'!F24</f>
        <v>1.1952908587257618</v>
      </c>
      <c r="G10" s="50">
        <f>G9/'Income Statement'!G24</f>
        <v>1.2113821138211383</v>
      </c>
      <c r="H10" s="48">
        <v>1</v>
      </c>
      <c r="I10" s="49">
        <f t="shared" ref="I10:M10" si="3">H10</f>
        <v>1</v>
      </c>
      <c r="J10" s="49">
        <f t="shared" si="3"/>
        <v>1</v>
      </c>
      <c r="K10" s="49">
        <f t="shared" si="3"/>
        <v>1</v>
      </c>
      <c r="L10" s="49">
        <f t="shared" si="3"/>
        <v>1</v>
      </c>
      <c r="M10" s="49">
        <f t="shared" si="3"/>
        <v>1</v>
      </c>
      <c r="N10" s="49">
        <f t="shared" ref="N10:Q10" si="4">M10</f>
        <v>1</v>
      </c>
      <c r="O10" s="49">
        <f t="shared" si="4"/>
        <v>1</v>
      </c>
      <c r="P10" s="49">
        <f t="shared" si="4"/>
        <v>1</v>
      </c>
      <c r="Q10" s="49">
        <f t="shared" si="4"/>
        <v>1</v>
      </c>
      <c r="R10" s="50"/>
    </row>
    <row r="11" spans="1:18" x14ac:dyDescent="0.3">
      <c r="A11" t="s">
        <v>184</v>
      </c>
      <c r="B11" s="5" t="str">
        <f>'Income Statement'!$B$4</f>
        <v>DKKmn</v>
      </c>
      <c r="F11" s="21">
        <f>'Raw Data'!F118</f>
        <v>-2375</v>
      </c>
      <c r="G11" s="21">
        <f>'Raw Data'!G118</f>
        <v>-2234</v>
      </c>
      <c r="H11" s="21">
        <f>H12*'Income Statement'!H30</f>
        <v>-2225.78746</v>
      </c>
      <c r="I11" s="21">
        <f>I12*'Income Statement'!I30</f>
        <v>-2532.4378602372003</v>
      </c>
      <c r="J11" s="21">
        <f>J12*'Income Statement'!J30</f>
        <v>-2647.723487685264</v>
      </c>
      <c r="K11" s="21">
        <f>K12*'Income Statement'!K30</f>
        <v>-2814.7442688739898</v>
      </c>
      <c r="L11" s="21">
        <f>L12*'Income Statement'!L30</f>
        <v>-2992.7586609353712</v>
      </c>
      <c r="M11" s="21">
        <f>M12*'Income Statement'!M30</f>
        <v>-3168.573894865779</v>
      </c>
      <c r="N11" s="21">
        <f>N12*'Income Statement'!N30</f>
        <v>-3355.0715220145908</v>
      </c>
      <c r="O11" s="21">
        <f>O12*'Income Statement'!O30</f>
        <v>-3551.465302475196</v>
      </c>
      <c r="P11" s="21">
        <f>P12*'Income Statement'!P30</f>
        <v>-3758.4833867744146</v>
      </c>
      <c r="Q11" s="21">
        <f>Q12*'Income Statement'!Q30</f>
        <v>-3976.8840801677238</v>
      </c>
    </row>
    <row r="12" spans="1:18" x14ac:dyDescent="0.3">
      <c r="A12" s="44" t="s">
        <v>183</v>
      </c>
      <c r="B12" s="45" t="str">
        <f>'Income Statement'!$B$5</f>
        <v>%</v>
      </c>
      <c r="C12" s="46"/>
      <c r="D12" s="46"/>
      <c r="E12" s="46"/>
      <c r="F12" s="47">
        <f>F11/'Income Statement'!F30</f>
        <v>0.99538977367979886</v>
      </c>
      <c r="G12" s="47">
        <f>G11/'Income Statement'!G30</f>
        <v>0.81206833878589602</v>
      </c>
      <c r="H12" s="48">
        <v>1</v>
      </c>
      <c r="I12" s="49">
        <f>H12</f>
        <v>1</v>
      </c>
      <c r="J12" s="49">
        <f>I12</f>
        <v>1</v>
      </c>
      <c r="K12" s="49">
        <f>J12</f>
        <v>1</v>
      </c>
      <c r="L12" s="49">
        <f>K12</f>
        <v>1</v>
      </c>
      <c r="M12" s="49">
        <f>L12</f>
        <v>1</v>
      </c>
      <c r="N12" s="49">
        <f t="shared" ref="N12:Q12" si="5">M12</f>
        <v>1</v>
      </c>
      <c r="O12" s="49">
        <f t="shared" si="5"/>
        <v>1</v>
      </c>
      <c r="P12" s="49">
        <f t="shared" si="5"/>
        <v>1</v>
      </c>
      <c r="Q12" s="49">
        <f t="shared" si="5"/>
        <v>1</v>
      </c>
    </row>
    <row r="13" spans="1:18" x14ac:dyDescent="0.3">
      <c r="A13" s="2" t="str">
        <f>'Raw Data'!A119</f>
        <v>Cash flow from operating activities</v>
      </c>
      <c r="B13" s="7" t="str">
        <f>'Income Statement'!$B$4</f>
        <v>DKKmn</v>
      </c>
      <c r="C13" s="2"/>
      <c r="D13" s="2"/>
      <c r="E13" s="2"/>
      <c r="F13" s="35">
        <f>F3+F4+F5+F8+F9+F11</f>
        <v>12047</v>
      </c>
      <c r="G13" s="35">
        <f t="shared" ref="G13:Q13" si="6">G3+G4+G5+G8+G9+G11</f>
        <v>12239</v>
      </c>
      <c r="H13" s="35">
        <f t="shared" si="6"/>
        <v>10133.29254</v>
      </c>
      <c r="I13" s="35">
        <f t="shared" si="6"/>
        <v>11231.713298122801</v>
      </c>
      <c r="J13" s="35">
        <f t="shared" si="6"/>
        <v>11662.314054309936</v>
      </c>
      <c r="K13" s="35">
        <f t="shared" si="6"/>
        <v>12819.200430077124</v>
      </c>
      <c r="L13" s="35">
        <f t="shared" si="6"/>
        <v>13361.831736446762</v>
      </c>
      <c r="M13" s="35">
        <f t="shared" si="6"/>
        <v>13908.411720327389</v>
      </c>
      <c r="N13" s="35">
        <f t="shared" si="6"/>
        <v>14493.806883035468</v>
      </c>
      <c r="O13" s="35">
        <f t="shared" si="6"/>
        <v>15115.948756756454</v>
      </c>
      <c r="P13" s="35">
        <f t="shared" si="6"/>
        <v>15776.881950017252</v>
      </c>
      <c r="Q13" s="35">
        <f t="shared" si="6"/>
        <v>16478.751175208065</v>
      </c>
    </row>
    <row r="14" spans="1:18" x14ac:dyDescent="0.3">
      <c r="A14" s="2"/>
      <c r="B14" s="7"/>
      <c r="C14" s="2"/>
      <c r="D14" s="2"/>
      <c r="E14" s="2"/>
      <c r="F14" s="35"/>
      <c r="G14" s="35"/>
    </row>
    <row r="15" spans="1:18" x14ac:dyDescent="0.3">
      <c r="A15" s="54" t="str">
        <f>'Raw Data'!A120</f>
        <v>Acquisition of property, plant and equipment and intangible assets</v>
      </c>
      <c r="B15" s="5" t="str">
        <f>'Income Statement'!$B$4</f>
        <v>DKKmn</v>
      </c>
      <c r="F15" s="21">
        <f>'Raw Data'!F120</f>
        <v>-4017</v>
      </c>
      <c r="G15" s="21">
        <f>'Raw Data'!G120</f>
        <v>-4588</v>
      </c>
      <c r="H15" s="21">
        <f>-H16*'Income Statement'!H4</f>
        <v>-4448.3850000000002</v>
      </c>
      <c r="I15" s="21">
        <f>-I16*'Income Statement'!I4</f>
        <v>-5029.6406400000005</v>
      </c>
      <c r="J15" s="21">
        <f>-J16*'Income Statement'!J4</f>
        <v>-5230.8262656000015</v>
      </c>
      <c r="K15" s="21">
        <f>-K16*'Income Statement'!K4</f>
        <v>-5440.059316224002</v>
      </c>
      <c r="L15" s="21">
        <f>-L16*'Income Statement'!L4</f>
        <v>-5657.6616888729623</v>
      </c>
      <c r="M15" s="21">
        <f>-M16*'Income Statement'!M4</f>
        <v>-5883.9681564278808</v>
      </c>
      <c r="N15" s="21">
        <f>-N16*'Income Statement'!N4</f>
        <v>-6119.3268826849962</v>
      </c>
      <c r="O15" s="21">
        <f>-O16*'Income Statement'!O4</f>
        <v>-6364.0999579923964</v>
      </c>
      <c r="P15" s="21">
        <f>-P16*'Income Statement'!P4</f>
        <v>-6618.6639563120925</v>
      </c>
      <c r="Q15" s="21">
        <f>-Q16*'Income Statement'!Q4</f>
        <v>-6883.4105145645763</v>
      </c>
    </row>
    <row r="16" spans="1:18" x14ac:dyDescent="0.3">
      <c r="A16" s="44" t="s">
        <v>62</v>
      </c>
      <c r="B16" s="45" t="str">
        <f>'Income Statement'!$B$5</f>
        <v>%</v>
      </c>
      <c r="C16" s="46"/>
      <c r="D16" s="46"/>
      <c r="E16" s="46"/>
      <c r="F16" s="47">
        <f>-F15/'Income Statement'!F4</f>
        <v>6.4268915092075579E-2</v>
      </c>
      <c r="G16" s="47">
        <f>-G15/'Income Statement'!G4</f>
        <v>6.9618524475736701E-2</v>
      </c>
      <c r="H16" s="48">
        <v>7.4999999999999997E-2</v>
      </c>
      <c r="I16" s="48">
        <v>0.08</v>
      </c>
      <c r="J16" s="48">
        <v>0.08</v>
      </c>
      <c r="K16" s="49">
        <f>J16</f>
        <v>0.08</v>
      </c>
      <c r="L16" s="49">
        <f>K16</f>
        <v>0.08</v>
      </c>
      <c r="M16" s="49">
        <f>L16</f>
        <v>0.08</v>
      </c>
      <c r="N16" s="49">
        <f t="shared" ref="N16:Q17" si="7">M16</f>
        <v>0.08</v>
      </c>
      <c r="O16" s="49">
        <f t="shared" si="7"/>
        <v>0.08</v>
      </c>
      <c r="P16" s="49">
        <f t="shared" si="7"/>
        <v>0.08</v>
      </c>
      <c r="Q16" s="49">
        <f t="shared" si="7"/>
        <v>0.08</v>
      </c>
    </row>
    <row r="17" spans="1:17" x14ac:dyDescent="0.3">
      <c r="A17" s="54" t="str">
        <f>'Raw Data'!A121</f>
        <v>Disposal of property, plant and equipment and intangible assets</v>
      </c>
      <c r="F17" s="21">
        <f>'Raw Data'!F121</f>
        <v>254</v>
      </c>
      <c r="G17" s="21">
        <f>'Raw Data'!G121</f>
        <v>1714</v>
      </c>
      <c r="H17" s="41">
        <v>0</v>
      </c>
      <c r="I17" s="40">
        <f>H17</f>
        <v>0</v>
      </c>
      <c r="J17" s="40">
        <f t="shared" ref="J17:M22" si="8">I17</f>
        <v>0</v>
      </c>
      <c r="K17" s="40">
        <f t="shared" si="8"/>
        <v>0</v>
      </c>
      <c r="L17" s="40">
        <f t="shared" si="8"/>
        <v>0</v>
      </c>
      <c r="M17" s="40">
        <f t="shared" si="8"/>
        <v>0</v>
      </c>
      <c r="N17" s="40">
        <f t="shared" si="7"/>
        <v>0</v>
      </c>
      <c r="O17" s="40">
        <f t="shared" si="7"/>
        <v>0</v>
      </c>
      <c r="P17" s="40">
        <f t="shared" si="7"/>
        <v>0</v>
      </c>
      <c r="Q17" s="40">
        <f t="shared" si="7"/>
        <v>0</v>
      </c>
    </row>
    <row r="18" spans="1:17" x14ac:dyDescent="0.3">
      <c r="A18" t="str">
        <f>'Raw Data'!A122</f>
        <v>Change in on-trade loans</v>
      </c>
      <c r="B18" s="5" t="str">
        <f>'Income Statement'!$B$4</f>
        <v>DKKmn</v>
      </c>
      <c r="F18" s="21">
        <f>'Raw Data'!F122</f>
        <v>-192</v>
      </c>
      <c r="G18" s="21">
        <f>'Raw Data'!G122</f>
        <v>50</v>
      </c>
      <c r="H18" s="41">
        <v>0</v>
      </c>
      <c r="I18" s="40">
        <f>H18</f>
        <v>0</v>
      </c>
      <c r="J18" s="40">
        <f t="shared" si="8"/>
        <v>0</v>
      </c>
      <c r="K18" s="40">
        <f t="shared" si="8"/>
        <v>0</v>
      </c>
      <c r="L18" s="40">
        <f t="shared" si="8"/>
        <v>0</v>
      </c>
      <c r="M18" s="40">
        <f t="shared" si="8"/>
        <v>0</v>
      </c>
      <c r="N18" s="40">
        <f t="shared" ref="N18:Q18" si="9">M18</f>
        <v>0</v>
      </c>
      <c r="O18" s="40">
        <f t="shared" si="9"/>
        <v>0</v>
      </c>
      <c r="P18" s="40">
        <f t="shared" si="9"/>
        <v>0</v>
      </c>
      <c r="Q18" s="40">
        <f t="shared" si="9"/>
        <v>0</v>
      </c>
    </row>
    <row r="19" spans="1:17" x14ac:dyDescent="0.3">
      <c r="A19" t="s">
        <v>176</v>
      </c>
      <c r="B19" s="5" t="str">
        <f>'Income Statement'!$B$4</f>
        <v>DKKmn</v>
      </c>
      <c r="F19" s="21">
        <f>'Raw Data'!F125+'Raw Data'!F126+'Raw Data'!F127</f>
        <v>-2462</v>
      </c>
      <c r="G19" s="21">
        <f>'Raw Data'!G125+'Raw Data'!G126+'Raw Data'!G127</f>
        <v>-16</v>
      </c>
      <c r="H19" s="41">
        <v>0</v>
      </c>
      <c r="I19" s="40">
        <f>H19</f>
        <v>0</v>
      </c>
      <c r="J19" s="40">
        <f t="shared" si="8"/>
        <v>0</v>
      </c>
      <c r="K19" s="40">
        <f t="shared" si="8"/>
        <v>0</v>
      </c>
      <c r="L19" s="40">
        <f t="shared" si="8"/>
        <v>0</v>
      </c>
      <c r="M19" s="40">
        <f t="shared" si="8"/>
        <v>0</v>
      </c>
      <c r="N19" s="40">
        <f t="shared" ref="N19:Q22" si="10">M19</f>
        <v>0</v>
      </c>
      <c r="O19" s="40">
        <f t="shared" si="10"/>
        <v>0</v>
      </c>
      <c r="P19" s="40">
        <f t="shared" si="10"/>
        <v>0</v>
      </c>
      <c r="Q19" s="40">
        <f t="shared" si="10"/>
        <v>0</v>
      </c>
    </row>
    <row r="20" spans="1:17" x14ac:dyDescent="0.3">
      <c r="A20" t="str">
        <f>'Raw Data'!A128</f>
        <v>Change in financial receivables</v>
      </c>
      <c r="B20" s="5" t="str">
        <f>'Income Statement'!$B$4</f>
        <v>DKKmn</v>
      </c>
      <c r="F20" s="21">
        <f>'Raw Data'!F128</f>
        <v>-36</v>
      </c>
      <c r="G20" s="21">
        <f>'Raw Data'!G128</f>
        <v>-59</v>
      </c>
      <c r="H20" s="41">
        <v>0</v>
      </c>
      <c r="I20" s="40">
        <f>H20</f>
        <v>0</v>
      </c>
      <c r="J20" s="40">
        <f t="shared" si="8"/>
        <v>0</v>
      </c>
      <c r="K20" s="40">
        <f t="shared" si="8"/>
        <v>0</v>
      </c>
      <c r="L20" s="40">
        <f t="shared" si="8"/>
        <v>0</v>
      </c>
      <c r="M20" s="40">
        <f t="shared" si="8"/>
        <v>0</v>
      </c>
      <c r="N20" s="40">
        <f t="shared" si="10"/>
        <v>0</v>
      </c>
      <c r="O20" s="40">
        <f t="shared" si="10"/>
        <v>0</v>
      </c>
      <c r="P20" s="40">
        <f t="shared" si="10"/>
        <v>0</v>
      </c>
      <c r="Q20" s="40">
        <f t="shared" si="10"/>
        <v>0</v>
      </c>
    </row>
    <row r="21" spans="1:17" x14ac:dyDescent="0.3">
      <c r="A21" t="str">
        <f>'Raw Data'!A129</f>
        <v>Dividends received</v>
      </c>
      <c r="B21" s="5" t="str">
        <f>'Income Statement'!$B$4</f>
        <v>DKKmn</v>
      </c>
      <c r="F21" s="21">
        <f>'Raw Data'!F129</f>
        <v>572</v>
      </c>
      <c r="G21" s="21">
        <f>'Raw Data'!G129</f>
        <v>626</v>
      </c>
      <c r="H21" s="41">
        <f>G21*0.9</f>
        <v>563.4</v>
      </c>
      <c r="I21" s="41">
        <f>H21*1.1</f>
        <v>619.74</v>
      </c>
      <c r="J21" s="41">
        <f>I21*1.05</f>
        <v>650.72700000000009</v>
      </c>
      <c r="K21" s="40">
        <f t="shared" ref="K21:Q21" si="11">J21/I21*J21</f>
        <v>683.26335000000017</v>
      </c>
      <c r="L21" s="40">
        <f t="shared" si="11"/>
        <v>717.42651750000016</v>
      </c>
      <c r="M21" s="40">
        <f t="shared" si="11"/>
        <v>753.29784337500018</v>
      </c>
      <c r="N21" s="40">
        <f t="shared" si="11"/>
        <v>790.96273554375023</v>
      </c>
      <c r="O21" s="40">
        <f t="shared" si="11"/>
        <v>830.51087232093778</v>
      </c>
      <c r="P21" s="40">
        <f t="shared" si="11"/>
        <v>872.03641593698467</v>
      </c>
      <c r="Q21" s="40">
        <f t="shared" si="11"/>
        <v>915.63823673383399</v>
      </c>
    </row>
    <row r="22" spans="1:17" x14ac:dyDescent="0.3">
      <c r="A22" t="str">
        <f>'Raw Data'!A132</f>
        <v>Total other activities</v>
      </c>
      <c r="B22" s="5" t="str">
        <f>'Income Statement'!$B$4</f>
        <v>DKKmn</v>
      </c>
      <c r="F22" s="21">
        <f>'Raw Data'!F132</f>
        <v>-10</v>
      </c>
      <c r="G22" s="21">
        <f>'Raw Data'!G132</f>
        <v>-4</v>
      </c>
      <c r="H22" s="41">
        <v>0</v>
      </c>
      <c r="I22" s="40">
        <f>H22</f>
        <v>0</v>
      </c>
      <c r="J22" s="40">
        <f t="shared" si="8"/>
        <v>0</v>
      </c>
      <c r="K22" s="40">
        <f t="shared" si="8"/>
        <v>0</v>
      </c>
      <c r="L22" s="40">
        <f t="shared" si="8"/>
        <v>0</v>
      </c>
      <c r="M22" s="40">
        <f t="shared" si="8"/>
        <v>0</v>
      </c>
      <c r="N22" s="40">
        <f t="shared" si="10"/>
        <v>0</v>
      </c>
      <c r="O22" s="40">
        <f t="shared" si="10"/>
        <v>0</v>
      </c>
      <c r="P22" s="40">
        <f t="shared" si="10"/>
        <v>0</v>
      </c>
      <c r="Q22" s="40">
        <f t="shared" si="10"/>
        <v>0</v>
      </c>
    </row>
    <row r="23" spans="1:17" x14ac:dyDescent="0.3">
      <c r="A23" s="2" t="str">
        <f>'Raw Data'!A133</f>
        <v>Cash flow from investing activities</v>
      </c>
      <c r="B23" s="7" t="str">
        <f>'Income Statement'!$B$4</f>
        <v>DKKmn</v>
      </c>
      <c r="C23" s="2"/>
      <c r="D23" s="2"/>
      <c r="E23" s="2"/>
      <c r="F23" s="35">
        <f>F15+F17+F18+F19+F20+F21+F22</f>
        <v>-5891</v>
      </c>
      <c r="G23" s="35">
        <f t="shared" ref="G23:Q23" si="12">G15+G17+G18+G19+G20+G21+G22</f>
        <v>-2277</v>
      </c>
      <c r="H23" s="35">
        <f t="shared" si="12"/>
        <v>-3884.9850000000001</v>
      </c>
      <c r="I23" s="35">
        <f t="shared" si="12"/>
        <v>-4409.9006400000007</v>
      </c>
      <c r="J23" s="35">
        <f t="shared" si="12"/>
        <v>-4580.0992656000017</v>
      </c>
      <c r="K23" s="35">
        <f t="shared" si="12"/>
        <v>-4756.7959662240019</v>
      </c>
      <c r="L23" s="35">
        <f t="shared" si="12"/>
        <v>-4940.2351713729622</v>
      </c>
      <c r="M23" s="35">
        <f t="shared" si="12"/>
        <v>-5130.6703130528804</v>
      </c>
      <c r="N23" s="35">
        <f t="shared" si="12"/>
        <v>-5328.3641471412457</v>
      </c>
      <c r="O23" s="35">
        <f t="shared" si="12"/>
        <v>-5533.5890856714586</v>
      </c>
      <c r="P23" s="35">
        <f t="shared" si="12"/>
        <v>-5746.6275403751079</v>
      </c>
      <c r="Q23" s="35">
        <f t="shared" si="12"/>
        <v>-5967.7722778307425</v>
      </c>
    </row>
    <row r="24" spans="1:17" x14ac:dyDescent="0.3">
      <c r="A24" s="2"/>
      <c r="B24" s="7"/>
      <c r="C24" s="2"/>
      <c r="D24" s="2"/>
      <c r="E24" s="2"/>
      <c r="F24" s="35"/>
      <c r="G24" s="35"/>
      <c r="H24" s="22"/>
      <c r="I24" s="22"/>
      <c r="J24" s="22"/>
      <c r="K24" s="22"/>
      <c r="L24" s="22"/>
    </row>
    <row r="25" spans="1:17" x14ac:dyDescent="0.3">
      <c r="A25" t="s">
        <v>189</v>
      </c>
      <c r="B25" s="5" t="str">
        <f>'Income Statement'!$B$4</f>
        <v>DKKmn</v>
      </c>
      <c r="F25" s="21">
        <f>'Raw Data'!F135</f>
        <v>-2489</v>
      </c>
      <c r="G25" s="21">
        <f>'Raw Data'!G135</f>
        <v>-2738</v>
      </c>
      <c r="H25" s="21">
        <f>-'Income Statement'!G53*'Income Statement'!G43</f>
        <v>-3158.6309999999999</v>
      </c>
      <c r="I25" s="21">
        <f>-'Income Statement'!H53*'Income Statement'!H43</f>
        <v>-3097.7967010428733</v>
      </c>
      <c r="J25" s="21">
        <f>-'Income Statement'!I53*'Income Statement'!I43</f>
        <v>-3187.3734020857469</v>
      </c>
      <c r="K25" s="21">
        <f>-'Income Statement'!J53*'Income Statement'!J43</f>
        <v>-3299.2153129004146</v>
      </c>
      <c r="L25" s="21">
        <f>-'Income Statement'!K53*'Income Statement'!K43</f>
        <v>-3542.5743541130346</v>
      </c>
      <c r="M25" s="21">
        <f>-'Income Statement'!L53*'Income Statement'!L43</f>
        <v>-3622.5449418135054</v>
      </c>
      <c r="N25" s="21">
        <f>-'Income Statement'!M53*'Income Statement'!M43</f>
        <v>-3840.7649435965927</v>
      </c>
      <c r="O25" s="21">
        <f>-'Income Statement'!N53*'Income Statement'!N43</f>
        <v>-4056.2377953145283</v>
      </c>
      <c r="P25" s="21">
        <f>-'Income Statement'!O53*'Income Statement'!O43</f>
        <v>-4269.5700106180602</v>
      </c>
      <c r="Q25" s="21">
        <f>-'Income Statement'!P53*'Income Statement'!P43</f>
        <v>-4613.0829002467335</v>
      </c>
    </row>
    <row r="26" spans="1:17" x14ac:dyDescent="0.3">
      <c r="A26" t="str">
        <f>'Raw Data'!A136</f>
        <v>Share buy-back</v>
      </c>
      <c r="B26" s="5" t="str">
        <f>'Income Statement'!$B$4</f>
        <v>DKKmn</v>
      </c>
      <c r="F26" s="21">
        <f>'Raw Data'!F136</f>
        <v>0</v>
      </c>
      <c r="G26" s="21">
        <f>'Raw Data'!G136</f>
        <v>-4100</v>
      </c>
      <c r="H26" s="41">
        <v>-2500</v>
      </c>
      <c r="I26" s="41">
        <v>-2500</v>
      </c>
      <c r="J26" s="41">
        <v>-1500</v>
      </c>
      <c r="K26" s="41">
        <v>-2000</v>
      </c>
      <c r="L26" s="41">
        <v>-3000</v>
      </c>
      <c r="M26" s="40">
        <f t="shared" ref="M26:Q26" si="13">L26</f>
        <v>-3000</v>
      </c>
      <c r="N26" s="40">
        <f t="shared" si="13"/>
        <v>-3000</v>
      </c>
      <c r="O26" s="40">
        <f t="shared" si="13"/>
        <v>-3000</v>
      </c>
      <c r="P26" s="40">
        <f t="shared" si="13"/>
        <v>-3000</v>
      </c>
      <c r="Q26" s="40">
        <f t="shared" si="13"/>
        <v>-3000</v>
      </c>
    </row>
    <row r="27" spans="1:17" x14ac:dyDescent="0.3">
      <c r="A27" t="s">
        <v>190</v>
      </c>
      <c r="B27" s="5" t="str">
        <f>'Income Statement'!$B$4</f>
        <v>DKKmn</v>
      </c>
      <c r="C27" s="2"/>
      <c r="D27" s="2"/>
      <c r="E27" s="2"/>
      <c r="F27" s="21">
        <f>'Raw Data'!F137</f>
        <v>-1186</v>
      </c>
      <c r="G27" s="21">
        <f>'Raw Data'!G137</f>
        <v>-2520</v>
      </c>
      <c r="H27" s="40">
        <f>'Income Statement'!H34</f>
        <v>-817.2</v>
      </c>
      <c r="I27" s="40">
        <f>'Income Statement'!I34</f>
        <v>-878.49</v>
      </c>
      <c r="J27" s="40">
        <f>'Income Statement'!J34</f>
        <v>-922.41450000000009</v>
      </c>
      <c r="K27" s="40">
        <f>'Income Statement'!K34</f>
        <v>-968.53522500000008</v>
      </c>
      <c r="L27" s="40">
        <f>'Income Statement'!L34</f>
        <v>-1016.9619862500001</v>
      </c>
      <c r="M27" s="40">
        <f>'Income Statement'!M34</f>
        <v>-1067.8100855625003</v>
      </c>
      <c r="N27" s="40">
        <f>'Income Statement'!N34</f>
        <v>-1121.2005898406253</v>
      </c>
      <c r="O27" s="40">
        <f>'Income Statement'!O34</f>
        <v>-1177.2606193326567</v>
      </c>
      <c r="P27" s="40">
        <f>'Income Statement'!P34</f>
        <v>-1236.1236502992895</v>
      </c>
      <c r="Q27" s="40">
        <f>'Income Statement'!Q34</f>
        <v>-1297.929832814254</v>
      </c>
    </row>
    <row r="28" spans="1:17" x14ac:dyDescent="0.3">
      <c r="A28" t="str">
        <f>'Raw Data'!A138</f>
        <v>External financing</v>
      </c>
      <c r="B28" s="5" t="str">
        <f>'Income Statement'!$B$4</f>
        <v>DKKmn</v>
      </c>
      <c r="C28" s="2"/>
      <c r="D28" s="2"/>
      <c r="E28" s="2"/>
      <c r="F28" s="21">
        <f>'Raw Data'!F138</f>
        <v>-123</v>
      </c>
      <c r="G28" s="21">
        <f>'Raw Data'!G138</f>
        <v>-935</v>
      </c>
      <c r="H28" s="41">
        <v>-200</v>
      </c>
      <c r="I28" s="40">
        <f>H28</f>
        <v>-200</v>
      </c>
      <c r="J28" s="40">
        <f t="shared" ref="J28:Q28" si="14">I28</f>
        <v>-200</v>
      </c>
      <c r="K28" s="40">
        <f t="shared" si="14"/>
        <v>-200</v>
      </c>
      <c r="L28" s="40">
        <f t="shared" si="14"/>
        <v>-200</v>
      </c>
      <c r="M28" s="40">
        <f t="shared" si="14"/>
        <v>-200</v>
      </c>
      <c r="N28" s="40">
        <f t="shared" si="14"/>
        <v>-200</v>
      </c>
      <c r="O28" s="40">
        <f t="shared" si="14"/>
        <v>-200</v>
      </c>
      <c r="P28" s="40">
        <f t="shared" si="14"/>
        <v>-200</v>
      </c>
      <c r="Q28" s="40">
        <f t="shared" si="14"/>
        <v>-200</v>
      </c>
    </row>
    <row r="29" spans="1:17" x14ac:dyDescent="0.3">
      <c r="A29" s="2" t="str">
        <f>'Raw Data'!A139</f>
        <v>Cash flow from financing activities</v>
      </c>
      <c r="B29" s="7" t="str">
        <f>'Income Statement'!$B$4</f>
        <v>DKKmn</v>
      </c>
      <c r="C29" s="2"/>
      <c r="D29" s="2"/>
      <c r="E29" s="2"/>
      <c r="F29" s="35">
        <f>F25+F26+F27+F28</f>
        <v>-3798</v>
      </c>
      <c r="G29" s="35">
        <f t="shared" ref="G29:Q29" si="15">G25+G26+G27+G28</f>
        <v>-10293</v>
      </c>
      <c r="H29" s="35">
        <f t="shared" si="15"/>
        <v>-6675.8309999999992</v>
      </c>
      <c r="I29" s="35">
        <f t="shared" si="15"/>
        <v>-6676.2867010428727</v>
      </c>
      <c r="J29" s="35">
        <f t="shared" si="15"/>
        <v>-5809.7879020857463</v>
      </c>
      <c r="K29" s="35">
        <f t="shared" si="15"/>
        <v>-6467.7505379004142</v>
      </c>
      <c r="L29" s="35">
        <f t="shared" si="15"/>
        <v>-7759.5363403630345</v>
      </c>
      <c r="M29" s="35">
        <f t="shared" si="15"/>
        <v>-7890.3550273760047</v>
      </c>
      <c r="N29" s="35">
        <f t="shared" si="15"/>
        <v>-8161.9655334372173</v>
      </c>
      <c r="O29" s="35">
        <f t="shared" si="15"/>
        <v>-8433.4984146471852</v>
      </c>
      <c r="P29" s="35">
        <f t="shared" si="15"/>
        <v>-8705.6936609173499</v>
      </c>
      <c r="Q29" s="35">
        <f t="shared" si="15"/>
        <v>-9111.0127330609866</v>
      </c>
    </row>
    <row r="30" spans="1:17" x14ac:dyDescent="0.3">
      <c r="A30" s="2"/>
      <c r="B30" s="7"/>
      <c r="C30" s="2"/>
      <c r="D30" s="2"/>
      <c r="E30" s="2"/>
      <c r="F30" s="35"/>
      <c r="G30" s="35"/>
    </row>
    <row r="31" spans="1:17" x14ac:dyDescent="0.3">
      <c r="A31" s="2" t="str">
        <f>'Raw Data'!A140</f>
        <v>Net cash flow</v>
      </c>
      <c r="B31" s="7" t="str">
        <f>'Income Statement'!$B$4</f>
        <v>DKKmn</v>
      </c>
      <c r="C31" s="2"/>
      <c r="D31" s="2"/>
      <c r="E31" s="2"/>
      <c r="F31" s="35">
        <f>F13+F23+F29</f>
        <v>2358</v>
      </c>
      <c r="G31" s="35">
        <f>G13+G23+G29</f>
        <v>-331</v>
      </c>
      <c r="H31" s="35">
        <f t="shared" ref="H31:Q31" si="16">H13+H23+H29</f>
        <v>-427.52345999999943</v>
      </c>
      <c r="I31" s="35">
        <f t="shared" si="16"/>
        <v>145.52595707992714</v>
      </c>
      <c r="J31" s="35">
        <f t="shared" si="16"/>
        <v>1272.4268866241882</v>
      </c>
      <c r="K31" s="35">
        <f t="shared" si="16"/>
        <v>1594.6539259527081</v>
      </c>
      <c r="L31" s="35">
        <f t="shared" si="16"/>
        <v>662.0602247107654</v>
      </c>
      <c r="M31" s="35">
        <f t="shared" si="16"/>
        <v>887.38637989850395</v>
      </c>
      <c r="N31" s="35">
        <f t="shared" si="16"/>
        <v>1003.4772024570057</v>
      </c>
      <c r="O31" s="35">
        <f t="shared" si="16"/>
        <v>1148.8612564378109</v>
      </c>
      <c r="P31" s="35">
        <f t="shared" si="16"/>
        <v>1324.5607487247944</v>
      </c>
      <c r="Q31" s="35">
        <f t="shared" si="16"/>
        <v>1399.9661643163345</v>
      </c>
    </row>
    <row r="32" spans="1:17" x14ac:dyDescent="0.3">
      <c r="A32" s="2"/>
      <c r="B32" s="7"/>
      <c r="C32" s="2"/>
      <c r="D32" s="2"/>
      <c r="E32" s="2"/>
      <c r="F32" s="35"/>
      <c r="G32" s="35"/>
    </row>
    <row r="33" spans="1:17" x14ac:dyDescent="0.3">
      <c r="A33" t="str">
        <f>'Raw Data'!A141</f>
        <v>Cash and cash equivalents at 1 January</v>
      </c>
      <c r="B33" s="5" t="str">
        <f>'Income Statement'!$B$4</f>
        <v>DKKmn</v>
      </c>
      <c r="F33" s="21">
        <f>'Raw Data'!F141</f>
        <v>3120</v>
      </c>
      <c r="G33" s="21">
        <f>'Balance Sheet'!F15</f>
        <v>5589</v>
      </c>
      <c r="H33" s="21">
        <f>'Balance Sheet'!G15</f>
        <v>5222</v>
      </c>
      <c r="I33" s="21">
        <f t="shared" ref="I33:M33" si="17">H35</f>
        <v>4794.4765400000006</v>
      </c>
      <c r="J33" s="21">
        <f t="shared" si="17"/>
        <v>4940.0024970799277</v>
      </c>
      <c r="K33" s="21">
        <f t="shared" si="17"/>
        <v>6212.4293837041159</v>
      </c>
      <c r="L33" s="21">
        <f t="shared" si="17"/>
        <v>7807.083309656824</v>
      </c>
      <c r="M33" s="21">
        <f t="shared" si="17"/>
        <v>8469.1435343675894</v>
      </c>
      <c r="N33" s="21">
        <f t="shared" ref="N33:Q33" si="18">M35</f>
        <v>9356.5299142660933</v>
      </c>
      <c r="O33" s="21">
        <f t="shared" si="18"/>
        <v>10360.0071167231</v>
      </c>
      <c r="P33" s="21">
        <f t="shared" si="18"/>
        <v>11508.868373160911</v>
      </c>
      <c r="Q33" s="21">
        <f t="shared" si="18"/>
        <v>12833.429121885705</v>
      </c>
    </row>
    <row r="34" spans="1:17" x14ac:dyDescent="0.3">
      <c r="A34" t="str">
        <f>'Raw Data'!A142</f>
        <v>Foreign exchange adjustment of cash and cash equivalents</v>
      </c>
      <c r="B34" s="5" t="str">
        <f>'Income Statement'!$B$4</f>
        <v>DKKmn</v>
      </c>
      <c r="F34" s="21">
        <f>'Raw Data'!F142</f>
        <v>-44</v>
      </c>
      <c r="G34" s="21">
        <f>'Raw Data'!G142</f>
        <v>46</v>
      </c>
      <c r="H34" s="41">
        <v>0</v>
      </c>
      <c r="I34" s="40">
        <f>H34</f>
        <v>0</v>
      </c>
      <c r="J34" s="40">
        <f t="shared" ref="J34:Q34" si="19">I34</f>
        <v>0</v>
      </c>
      <c r="K34" s="40">
        <f t="shared" si="19"/>
        <v>0</v>
      </c>
      <c r="L34" s="40">
        <f t="shared" si="19"/>
        <v>0</v>
      </c>
      <c r="M34" s="40">
        <f t="shared" si="19"/>
        <v>0</v>
      </c>
      <c r="N34" s="40">
        <f t="shared" si="19"/>
        <v>0</v>
      </c>
      <c r="O34" s="40">
        <f t="shared" si="19"/>
        <v>0</v>
      </c>
      <c r="P34" s="40">
        <f t="shared" si="19"/>
        <v>0</v>
      </c>
      <c r="Q34" s="40">
        <f t="shared" si="19"/>
        <v>0</v>
      </c>
    </row>
    <row r="35" spans="1:17" x14ac:dyDescent="0.3">
      <c r="A35" s="2" t="str">
        <f>'Raw Data'!A143</f>
        <v>Cash and cash equivalents at 31 December</v>
      </c>
      <c r="B35" s="7" t="str">
        <f>'Income Statement'!$B$4</f>
        <v>DKKmn</v>
      </c>
      <c r="F35" s="35">
        <f>F33+F31+F34</f>
        <v>5434</v>
      </c>
      <c r="G35" s="35">
        <f>G33+G31+G34</f>
        <v>5304</v>
      </c>
      <c r="H35" s="35">
        <f t="shared" ref="H35:Q35" si="20">H33+H31+H34</f>
        <v>4794.4765400000006</v>
      </c>
      <c r="I35" s="35">
        <f t="shared" si="20"/>
        <v>4940.0024970799277</v>
      </c>
      <c r="J35" s="35">
        <f t="shared" si="20"/>
        <v>6212.4293837041159</v>
      </c>
      <c r="K35" s="35">
        <f t="shared" si="20"/>
        <v>7807.083309656824</v>
      </c>
      <c r="L35" s="35">
        <f t="shared" si="20"/>
        <v>8469.1435343675894</v>
      </c>
      <c r="M35" s="35">
        <f t="shared" si="20"/>
        <v>9356.5299142660933</v>
      </c>
      <c r="N35" s="35">
        <f t="shared" si="20"/>
        <v>10360.0071167231</v>
      </c>
      <c r="O35" s="35">
        <f t="shared" si="20"/>
        <v>11508.868373160911</v>
      </c>
      <c r="P35" s="35">
        <f t="shared" si="20"/>
        <v>12833.429121885705</v>
      </c>
      <c r="Q35" s="35">
        <f t="shared" si="20"/>
        <v>14233.39528620204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EC6B-BAC0-4775-8EC3-51AAEF10FDAA}">
  <dimension ref="A1:R62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35.77734375" bestFit="1" customWidth="1"/>
    <col min="3" max="7" width="0" hidden="1" customWidth="1"/>
    <col min="8" max="8" width="8.88671875" customWidth="1"/>
  </cols>
  <sheetData>
    <row r="1" spans="1:17" x14ac:dyDescent="0.3">
      <c r="A1" s="2" t="str">
        <f>'Income Statement'!A1</f>
        <v>Carlsberg</v>
      </c>
      <c r="C1" s="2"/>
      <c r="D1" s="2"/>
      <c r="E1" s="2"/>
      <c r="F1" s="14">
        <f>'Income Statement'!F$1</f>
        <v>2018</v>
      </c>
      <c r="G1" s="14">
        <f>'Income Statement'!G$1</f>
        <v>2019</v>
      </c>
      <c r="H1" s="14" t="str">
        <f>'Income Statement'!H$1</f>
        <v>2020E</v>
      </c>
      <c r="I1" s="14" t="str">
        <f>'Income Statement'!I$1</f>
        <v>2021E</v>
      </c>
      <c r="J1" s="14" t="str">
        <f>'Income Statement'!J$1</f>
        <v>2022E</v>
      </c>
      <c r="K1" s="14" t="str">
        <f>'Income Statement'!K$1</f>
        <v>2023E</v>
      </c>
      <c r="L1" s="14" t="str">
        <f>'Income Statement'!L$1</f>
        <v>2024E</v>
      </c>
      <c r="M1" s="14" t="str">
        <f>'Income Statement'!M$1</f>
        <v>2025E</v>
      </c>
      <c r="N1" s="14" t="str">
        <f>'Income Statement'!N$1</f>
        <v>2026E</v>
      </c>
      <c r="O1" s="14" t="str">
        <f>'Income Statement'!O$1</f>
        <v>2027E</v>
      </c>
      <c r="P1" s="14" t="str">
        <f>'Income Statement'!P$1</f>
        <v>2028E</v>
      </c>
      <c r="Q1" s="14" t="str">
        <f>'Income Statement'!Q$1</f>
        <v>2029E</v>
      </c>
    </row>
    <row r="2" spans="1:17" x14ac:dyDescent="0.3">
      <c r="A2" s="3"/>
    </row>
    <row r="3" spans="1:17" x14ac:dyDescent="0.3">
      <c r="A3" s="39" t="s">
        <v>191</v>
      </c>
    </row>
    <row r="4" spans="1:17" x14ac:dyDescent="0.3">
      <c r="A4" s="2" t="str">
        <f>'Income Statement'!A10</f>
        <v>Clean EBITDA</v>
      </c>
      <c r="B4" s="5" t="str">
        <f>'Income Statement'!B10</f>
        <v>DKKmn</v>
      </c>
      <c r="C4" s="21"/>
      <c r="D4" s="21"/>
      <c r="E4" s="21"/>
      <c r="F4" s="21">
        <f>'Income Statement'!F$10</f>
        <v>13420</v>
      </c>
      <c r="G4" s="21">
        <f>'Income Statement'!G$10</f>
        <v>15007</v>
      </c>
      <c r="H4" s="21">
        <f>'Income Statement'!H$10</f>
        <v>13784.806</v>
      </c>
      <c r="I4" s="21">
        <f>'Income Statement'!I$10</f>
        <v>14644.032956000001</v>
      </c>
      <c r="J4" s="21">
        <f>'Income Statement'!J$10</f>
        <v>15296.077442112002</v>
      </c>
      <c r="K4" s="21">
        <f>'Income Statement'!K$10</f>
        <v>15881.080109074948</v>
      </c>
      <c r="L4" s="21">
        <f>'Income Statement'!L$10</f>
        <v>16502.73935388674</v>
      </c>
      <c r="M4" s="21">
        <f>'Income Statement'!M$10</f>
        <v>17162.363854264979</v>
      </c>
      <c r="N4" s="21">
        <f>'Income Statement'!N$10</f>
        <v>17861.341348143793</v>
      </c>
      <c r="O4" s="21">
        <f>'Income Statement'!O$10</f>
        <v>18601.141279813677</v>
      </c>
      <c r="P4" s="21">
        <f>'Income Statement'!P$10</f>
        <v>19383.317607326218</v>
      </c>
      <c r="Q4" s="21">
        <f>'Income Statement'!Q$10</f>
        <v>20209.511776179788</v>
      </c>
    </row>
    <row r="5" spans="1:17" x14ac:dyDescent="0.3">
      <c r="A5" s="15" t="s">
        <v>64</v>
      </c>
      <c r="B5" s="16" t="s">
        <v>44</v>
      </c>
      <c r="C5" s="10"/>
      <c r="D5" s="17"/>
      <c r="E5" s="17"/>
      <c r="F5" s="17"/>
      <c r="G5" s="17">
        <f t="shared" ref="G5" si="0">G4/F4-1</f>
        <v>0.11825633383010437</v>
      </c>
      <c r="H5" s="17">
        <f t="shared" ref="H5" si="1">H4/G4-1</f>
        <v>-8.1441593922836009E-2</v>
      </c>
      <c r="I5" s="17">
        <f t="shared" ref="I5" si="2">I4/H4-1</f>
        <v>6.2331450729157911E-2</v>
      </c>
      <c r="J5" s="17">
        <f t="shared" ref="J5" si="3">J4/I4-1</f>
        <v>4.4526291908189464E-2</v>
      </c>
      <c r="K5" s="17">
        <f t="shared" ref="K5" si="4">K4/J4-1</f>
        <v>3.8245273611936748E-2</v>
      </c>
      <c r="L5" s="17">
        <f t="shared" ref="L5:M5" si="5">L4/K4-1</f>
        <v>3.9144645108650789E-2</v>
      </c>
      <c r="M5" s="17">
        <f t="shared" si="5"/>
        <v>3.9970606469215353E-2</v>
      </c>
      <c r="N5" s="17">
        <f t="shared" ref="N5" si="6">N4/M4-1</f>
        <v>4.0727343844601638E-2</v>
      </c>
      <c r="O5" s="17">
        <f t="shared" ref="O5" si="7">O4/N4-1</f>
        <v>4.1419057911166623E-2</v>
      </c>
      <c r="P5" s="17">
        <f t="shared" ref="P5" si="8">P4/O4-1</f>
        <v>4.2049910580560734E-2</v>
      </c>
      <c r="Q5" s="17">
        <f t="shared" ref="Q5" si="9">Q4/P4-1</f>
        <v>4.2623981383934861E-2</v>
      </c>
    </row>
    <row r="7" spans="1:17" x14ac:dyDescent="0.3">
      <c r="A7" s="2" t="s">
        <v>102</v>
      </c>
      <c r="B7" s="5" t="str">
        <f>$B$4</f>
        <v>DKKmn</v>
      </c>
      <c r="C7" s="21"/>
      <c r="D7" s="21"/>
      <c r="E7" s="21"/>
      <c r="F7" s="30">
        <f>-'Raw Data'!F66</f>
        <v>-2460.5369999999998</v>
      </c>
      <c r="G7" s="30">
        <f>-'Raw Data'!G66</f>
        <v>-2327.1419999999998</v>
      </c>
      <c r="H7" s="21">
        <f>-H8*'Income Statement'!H$17</f>
        <v>-2114.46567</v>
      </c>
      <c r="I7" s="21">
        <f>-I8*'Income Statement'!I$17</f>
        <v>-2313.6346944000002</v>
      </c>
      <c r="J7" s="21">
        <f>-J8*'Income Statement'!J$17</f>
        <v>-2436.2573332032007</v>
      </c>
      <c r="K7" s="21">
        <f>-K8*'Income Statement'!K$17</f>
        <v>-2564.9879675996171</v>
      </c>
      <c r="L7" s="21">
        <f>-L8*'Income Statement'!L$17</f>
        <v>-2700.1190410146214</v>
      </c>
      <c r="M7" s="21">
        <f>-M8*'Income Statement'!M$17</f>
        <v>-2841.9566195546668</v>
      </c>
      <c r="N7" s="21">
        <f>-N8*'Income Statement'!N$17</f>
        <v>-2990.8210139122921</v>
      </c>
      <c r="O7" s="21">
        <f>-O8*'Income Statement'!O$17</f>
        <v>-3147.0474292272402</v>
      </c>
      <c r="P7" s="21">
        <f>-P8*'Income Statement'!P$17</f>
        <v>-3310.9866441451245</v>
      </c>
      <c r="Q7" s="21">
        <f>-Q8*'Income Statement'!Q$17</f>
        <v>-3483.0057203696756</v>
      </c>
    </row>
    <row r="8" spans="1:17" x14ac:dyDescent="0.3">
      <c r="A8" s="15" t="s">
        <v>81</v>
      </c>
      <c r="B8" s="16" t="str">
        <f>$B$5</f>
        <v>%</v>
      </c>
      <c r="F8" s="17">
        <f>-F7/'Income Statement'!F17</f>
        <v>0.26375142030228316</v>
      </c>
      <c r="G8" s="17">
        <f>-G7/'Income Statement'!G17</f>
        <v>0.22237381748686094</v>
      </c>
      <c r="H8" s="18">
        <v>0.23</v>
      </c>
      <c r="I8" s="18">
        <v>0.23</v>
      </c>
      <c r="J8" s="18">
        <v>0.23</v>
      </c>
      <c r="K8" s="19">
        <f>J8</f>
        <v>0.23</v>
      </c>
      <c r="L8" s="19">
        <f t="shared" ref="L8:M8" si="10">K8</f>
        <v>0.23</v>
      </c>
      <c r="M8" s="19">
        <f t="shared" si="10"/>
        <v>0.23</v>
      </c>
      <c r="N8" s="19">
        <f t="shared" ref="N8:Q8" si="11">M8</f>
        <v>0.23</v>
      </c>
      <c r="O8" s="19">
        <f t="shared" si="11"/>
        <v>0.23</v>
      </c>
      <c r="P8" s="19">
        <f t="shared" si="11"/>
        <v>0.23</v>
      </c>
      <c r="Q8" s="19">
        <f t="shared" si="11"/>
        <v>0.23</v>
      </c>
    </row>
    <row r="9" spans="1:17" x14ac:dyDescent="0.3">
      <c r="G9" s="22"/>
    </row>
    <row r="10" spans="1:17" x14ac:dyDescent="0.3">
      <c r="A10" s="2" t="s">
        <v>179</v>
      </c>
      <c r="B10" s="5" t="str">
        <f>$B$4</f>
        <v>DKKmn</v>
      </c>
      <c r="C10" s="21"/>
      <c r="D10" s="21"/>
      <c r="E10" s="21"/>
      <c r="F10" s="30">
        <f>'Cash Flow Statement'!F5</f>
        <v>1960</v>
      </c>
      <c r="G10" s="30">
        <f>'Cash Flow Statement'!G5</f>
        <v>1125</v>
      </c>
      <c r="H10" s="30">
        <f>'Cash Flow Statement'!H5</f>
        <v>-593.11800000000005</v>
      </c>
      <c r="I10" s="30">
        <f>'Cash Flow Statement'!I5</f>
        <v>0</v>
      </c>
      <c r="J10" s="30">
        <f>'Cash Flow Statement'!J5</f>
        <v>0</v>
      </c>
      <c r="K10" s="30">
        <f>'Cash Flow Statement'!K5</f>
        <v>680.00741452800025</v>
      </c>
      <c r="L10" s="30">
        <f>'Cash Flow Statement'!L5</f>
        <v>707.20771110912028</v>
      </c>
      <c r="M10" s="30">
        <f>'Cash Flow Statement'!M5</f>
        <v>735.4960195534851</v>
      </c>
      <c r="N10" s="30">
        <f>'Cash Flow Statement'!N5</f>
        <v>764.91586033562453</v>
      </c>
      <c r="O10" s="30">
        <f>'Cash Flow Statement'!O5</f>
        <v>795.51249474904955</v>
      </c>
      <c r="P10" s="30">
        <f>'Cash Flow Statement'!P5</f>
        <v>827.33299453901157</v>
      </c>
      <c r="Q10" s="30">
        <f>'Cash Flow Statement'!Q5</f>
        <v>860.42631432057203</v>
      </c>
    </row>
    <row r="11" spans="1:17" x14ac:dyDescent="0.3">
      <c r="A11" s="15" t="s">
        <v>62</v>
      </c>
      <c r="B11" s="16" t="str">
        <f>$B$5</f>
        <v>%</v>
      </c>
      <c r="C11" s="10"/>
      <c r="D11" s="17"/>
      <c r="E11" s="17"/>
      <c r="F11" s="17">
        <f>F10/'Income Statement'!F4</f>
        <v>3.1358494792249975E-2</v>
      </c>
      <c r="G11" s="17">
        <f>G10/'Income Statement'!G4</f>
        <v>1.707080210008801E-2</v>
      </c>
      <c r="H11" s="17">
        <f>H10/'Income Statement'!H4</f>
        <v>-0.01</v>
      </c>
      <c r="I11" s="17">
        <f>I10/'Income Statement'!I4</f>
        <v>0</v>
      </c>
      <c r="J11" s="17">
        <f>J10/'Income Statement'!J4</f>
        <v>0</v>
      </c>
      <c r="K11" s="17">
        <f>K10/'Income Statement'!K4</f>
        <v>0.01</v>
      </c>
      <c r="L11" s="17">
        <f>L10/'Income Statement'!L4</f>
        <v>0.01</v>
      </c>
      <c r="M11" s="17">
        <f>M10/'Income Statement'!M4</f>
        <v>0.01</v>
      </c>
      <c r="N11" s="17">
        <f>N10/'Income Statement'!N4</f>
        <v>0.01</v>
      </c>
      <c r="O11" s="17">
        <f>O10/'Income Statement'!O4</f>
        <v>0.01</v>
      </c>
      <c r="P11" s="17">
        <f>P10/'Income Statement'!P4</f>
        <v>0.01</v>
      </c>
      <c r="Q11" s="17">
        <f>Q10/'Income Statement'!Q4</f>
        <v>0.01</v>
      </c>
    </row>
    <row r="13" spans="1:17" x14ac:dyDescent="0.3">
      <c r="A13" s="2" t="s">
        <v>76</v>
      </c>
      <c r="B13" s="5" t="str">
        <f>$B$4</f>
        <v>DKKmn</v>
      </c>
      <c r="C13" s="21"/>
      <c r="D13" s="21"/>
      <c r="E13" s="21"/>
      <c r="F13" s="21">
        <f>'Cash Flow Statement'!F15</f>
        <v>-4017</v>
      </c>
      <c r="G13" s="21">
        <f>'Cash Flow Statement'!G15</f>
        <v>-4588</v>
      </c>
      <c r="H13" s="21">
        <f>'Cash Flow Statement'!H15</f>
        <v>-4448.3850000000002</v>
      </c>
      <c r="I13" s="21">
        <f>'Cash Flow Statement'!I15</f>
        <v>-5029.6406400000005</v>
      </c>
      <c r="J13" s="21">
        <f>'Cash Flow Statement'!J15</f>
        <v>-5230.8262656000015</v>
      </c>
      <c r="K13" s="21">
        <f>'Cash Flow Statement'!K15</f>
        <v>-5440.059316224002</v>
      </c>
      <c r="L13" s="21">
        <f>'Cash Flow Statement'!L15</f>
        <v>-5657.6616888729623</v>
      </c>
      <c r="M13" s="21">
        <f>'Cash Flow Statement'!M15</f>
        <v>-5883.9681564278808</v>
      </c>
      <c r="N13" s="21">
        <f>'Cash Flow Statement'!N15</f>
        <v>-6119.3268826849962</v>
      </c>
      <c r="O13" s="21">
        <f>'Cash Flow Statement'!O15</f>
        <v>-6364.0999579923964</v>
      </c>
      <c r="P13" s="21">
        <f>'Cash Flow Statement'!P15</f>
        <v>-6618.6639563120925</v>
      </c>
      <c r="Q13" s="21">
        <f>'Cash Flow Statement'!Q15</f>
        <v>-6883.4105145645763</v>
      </c>
    </row>
    <row r="14" spans="1:17" x14ac:dyDescent="0.3">
      <c r="A14" s="15" t="s">
        <v>62</v>
      </c>
      <c r="B14" s="16" t="str">
        <f>$B$5</f>
        <v>%</v>
      </c>
      <c r="C14" s="17"/>
      <c r="D14" s="17"/>
      <c r="E14" s="17"/>
      <c r="F14" s="17">
        <f>-F13/'Income Statement'!F4</f>
        <v>6.4268915092075579E-2</v>
      </c>
      <c r="G14" s="17">
        <f>-G13/'Income Statement'!G4</f>
        <v>6.9618524475736701E-2</v>
      </c>
      <c r="H14" s="17">
        <f>-H13/'Income Statement'!H4</f>
        <v>7.4999999999999997E-2</v>
      </c>
      <c r="I14" s="17">
        <f>-I13/'Income Statement'!I4</f>
        <v>0.08</v>
      </c>
      <c r="J14" s="17">
        <f>-J13/'Income Statement'!J4</f>
        <v>0.08</v>
      </c>
      <c r="K14" s="17">
        <f>-K13/'Income Statement'!K4</f>
        <v>0.08</v>
      </c>
      <c r="L14" s="17">
        <f>-L13/'Income Statement'!L4</f>
        <v>0.08</v>
      </c>
      <c r="M14" s="17">
        <f>-M13/'Income Statement'!M4</f>
        <v>0.08</v>
      </c>
      <c r="N14" s="17">
        <f>-N13/'Income Statement'!N4</f>
        <v>0.08</v>
      </c>
      <c r="O14" s="17">
        <f>-O13/'Income Statement'!O4</f>
        <v>0.08</v>
      </c>
      <c r="P14" s="17">
        <f>-P13/'Income Statement'!P4</f>
        <v>0.08</v>
      </c>
      <c r="Q14" s="17">
        <f>-Q13/'Income Statement'!Q4</f>
        <v>0.08</v>
      </c>
    </row>
    <row r="15" spans="1:17" x14ac:dyDescent="0.3">
      <c r="A15" s="2"/>
      <c r="B15" s="5"/>
      <c r="C15" s="21"/>
    </row>
    <row r="16" spans="1:17" x14ac:dyDescent="0.3">
      <c r="A16" s="2" t="s">
        <v>77</v>
      </c>
      <c r="B16" s="7" t="str">
        <f>$B$4</f>
        <v>DKKmn</v>
      </c>
      <c r="C16" s="35"/>
      <c r="D16" s="35"/>
      <c r="E16" s="35"/>
      <c r="F16" s="35">
        <f t="shared" ref="F16:Q16" si="12">F4+F7+F10+F13</f>
        <v>8902.4629999999997</v>
      </c>
      <c r="G16" s="35">
        <f t="shared" si="12"/>
        <v>9216.8580000000002</v>
      </c>
      <c r="H16" s="35">
        <f t="shared" si="12"/>
        <v>6628.8373300000003</v>
      </c>
      <c r="I16" s="35">
        <f t="shared" si="12"/>
        <v>7300.7576216000007</v>
      </c>
      <c r="J16" s="35">
        <f t="shared" si="12"/>
        <v>7628.9938433088</v>
      </c>
      <c r="K16" s="35">
        <f t="shared" si="12"/>
        <v>8556.0402397793296</v>
      </c>
      <c r="L16" s="35">
        <f t="shared" si="12"/>
        <v>8852.1663351082771</v>
      </c>
      <c r="M16" s="35">
        <f t="shared" si="12"/>
        <v>9171.935097835918</v>
      </c>
      <c r="N16" s="35">
        <f t="shared" si="12"/>
        <v>9516.1093118821282</v>
      </c>
      <c r="O16" s="35">
        <f t="shared" si="12"/>
        <v>9885.5063873430881</v>
      </c>
      <c r="P16" s="35">
        <f t="shared" si="12"/>
        <v>10281.000001408014</v>
      </c>
      <c r="Q16" s="35">
        <f t="shared" si="12"/>
        <v>10703.521855566109</v>
      </c>
    </row>
    <row r="17" spans="1:18" x14ac:dyDescent="0.3">
      <c r="A17" s="15" t="s">
        <v>64</v>
      </c>
      <c r="B17" s="16" t="str">
        <f>$B$5</f>
        <v>%</v>
      </c>
      <c r="C17" s="10"/>
      <c r="D17" s="17"/>
      <c r="E17" s="17"/>
      <c r="F17" s="17"/>
      <c r="G17" s="17">
        <f t="shared" ref="G17" si="13">G16/F16-1</f>
        <v>3.5315507629742449E-2</v>
      </c>
      <c r="H17" s="17">
        <f t="shared" ref="H17" si="14">H16/G16-1</f>
        <v>-0.2807920736112024</v>
      </c>
      <c r="I17" s="17">
        <f t="shared" ref="I17" si="15">I16/H16-1</f>
        <v>0.10136321924194824</v>
      </c>
      <c r="J17" s="17">
        <f t="shared" ref="J17" si="16">J16/I16-1</f>
        <v>4.4959199951753126E-2</v>
      </c>
      <c r="K17" s="17">
        <f t="shared" ref="K17" si="17">K16/J16-1</f>
        <v>0.12151620718420419</v>
      </c>
      <c r="L17" s="17">
        <f t="shared" ref="L17" si="18">L16/K16-1</f>
        <v>3.461018029721008E-2</v>
      </c>
      <c r="M17" s="17">
        <f t="shared" ref="M17" si="19">M16/L16-1</f>
        <v>3.6123221211898926E-2</v>
      </c>
      <c r="N17" s="17">
        <f t="shared" ref="N17" si="20">N16/M16-1</f>
        <v>3.7524711020623824E-2</v>
      </c>
      <c r="O17" s="17">
        <f t="shared" ref="O17" si="21">O16/N16-1</f>
        <v>3.8818078203422868E-2</v>
      </c>
      <c r="P17" s="17">
        <f t="shared" ref="P17" si="22">P16/O16-1</f>
        <v>4.0007420820778128E-2</v>
      </c>
      <c r="Q17" s="17">
        <f t="shared" ref="Q17" si="23">Q16/P16-1</f>
        <v>4.1097349878438827E-2</v>
      </c>
    </row>
    <row r="19" spans="1:18" x14ac:dyDescent="0.3">
      <c r="A19" s="2" t="s">
        <v>79</v>
      </c>
      <c r="B19" s="24">
        <v>7.4999999999999997E-2</v>
      </c>
      <c r="H19" s="74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3">
      <c r="A20" s="2" t="s">
        <v>80</v>
      </c>
      <c r="B20" s="24">
        <v>2.5000000000000001E-2</v>
      </c>
    </row>
    <row r="22" spans="1:18" x14ac:dyDescent="0.3">
      <c r="A22" s="39" t="s">
        <v>78</v>
      </c>
      <c r="H22" s="71">
        <v>1</v>
      </c>
      <c r="I22" s="72">
        <f>H22+1</f>
        <v>2</v>
      </c>
      <c r="J22" s="72">
        <f t="shared" ref="J22:R22" si="24">I22+1</f>
        <v>3</v>
      </c>
      <c r="K22" s="72">
        <f t="shared" si="24"/>
        <v>4</v>
      </c>
      <c r="L22" s="72">
        <f t="shared" si="24"/>
        <v>5</v>
      </c>
      <c r="M22" s="72">
        <f t="shared" si="24"/>
        <v>6</v>
      </c>
      <c r="N22" s="72">
        <f t="shared" si="24"/>
        <v>7</v>
      </c>
      <c r="O22" s="72">
        <f t="shared" si="24"/>
        <v>8</v>
      </c>
      <c r="P22" s="72">
        <f t="shared" si="24"/>
        <v>9</v>
      </c>
      <c r="Q22" s="72">
        <f t="shared" si="24"/>
        <v>10</v>
      </c>
      <c r="R22" s="72">
        <f t="shared" si="24"/>
        <v>11</v>
      </c>
    </row>
    <row r="23" spans="1:18" x14ac:dyDescent="0.3">
      <c r="B23" s="5"/>
      <c r="F23" s="14">
        <f>F$1</f>
        <v>2018</v>
      </c>
      <c r="G23" s="14">
        <f t="shared" ref="G23:Q23" si="25">G$1</f>
        <v>2019</v>
      </c>
      <c r="H23" s="14" t="str">
        <f t="shared" si="25"/>
        <v>2020E</v>
      </c>
      <c r="I23" s="14" t="str">
        <f t="shared" si="25"/>
        <v>2021E</v>
      </c>
      <c r="J23" s="14" t="str">
        <f t="shared" si="25"/>
        <v>2022E</v>
      </c>
      <c r="K23" s="14" t="str">
        <f t="shared" si="25"/>
        <v>2023E</v>
      </c>
      <c r="L23" s="14" t="str">
        <f t="shared" si="25"/>
        <v>2024E</v>
      </c>
      <c r="M23" s="14" t="str">
        <f t="shared" si="25"/>
        <v>2025E</v>
      </c>
      <c r="N23" s="14" t="str">
        <f t="shared" si="25"/>
        <v>2026E</v>
      </c>
      <c r="O23" s="14" t="str">
        <f t="shared" si="25"/>
        <v>2027E</v>
      </c>
      <c r="P23" s="14" t="str">
        <f t="shared" si="25"/>
        <v>2028E</v>
      </c>
      <c r="Q23" s="14" t="str">
        <f t="shared" si="25"/>
        <v>2029E</v>
      </c>
    </row>
    <row r="24" spans="1:18" x14ac:dyDescent="0.3">
      <c r="A24" s="33" t="s">
        <v>82</v>
      </c>
      <c r="B24" s="5" t="str">
        <f>$B$4</f>
        <v>DKKmn</v>
      </c>
      <c r="H24" s="21">
        <f>NPV($B$19,H$16:$Q$16)</f>
        <v>58975.255069542654</v>
      </c>
      <c r="I24" s="21">
        <f>NPV($B$19,I$16:$Q$16)</f>
        <v>56769.561869758356</v>
      </c>
      <c r="J24" s="21">
        <f>NPV($B$19,J$16:$Q$16)</f>
        <v>53726.521388390218</v>
      </c>
      <c r="K24" s="21">
        <f>NPV($B$19,K$16:$Q$16)</f>
        <v>50127.016649210687</v>
      </c>
      <c r="L24" s="21">
        <f>NPV($B$19,L$16:$Q$16)</f>
        <v>45330.502658122154</v>
      </c>
      <c r="M24" s="21">
        <f>NPV($B$19,M$16:$Q$16)</f>
        <v>39878.124022373042</v>
      </c>
      <c r="N24" s="21">
        <f>NPV($B$19,N$16:$Q$16)</f>
        <v>33697.048226215091</v>
      </c>
      <c r="O24" s="21">
        <f>NPV($B$19,O$16:$Q$16)</f>
        <v>26708.217531299098</v>
      </c>
      <c r="P24" s="21">
        <f>NPV($B$19,P$16:$Q$16)</f>
        <v>18825.82745880344</v>
      </c>
      <c r="Q24" s="21">
        <f>NPV($B$19,Q$16:$Q$16)</f>
        <v>9956.7645168056824</v>
      </c>
      <c r="R24" s="21"/>
    </row>
    <row r="25" spans="1:18" x14ac:dyDescent="0.3">
      <c r="A25" s="33" t="s">
        <v>83</v>
      </c>
      <c r="B25" s="5" t="str">
        <f>$B$4</f>
        <v>DKKmn</v>
      </c>
      <c r="H25" s="22">
        <f t="shared" ref="H25:Q25" si="26">-PV($B$19, $R$22-H$22, ,$R$25)</f>
        <v>106462.31822313534</v>
      </c>
      <c r="I25" s="22">
        <f t="shared" si="26"/>
        <v>114446.99208987047</v>
      </c>
      <c r="J25" s="22">
        <f t="shared" si="26"/>
        <v>123030.51649661075</v>
      </c>
      <c r="K25" s="22">
        <f t="shared" si="26"/>
        <v>132257.80523385655</v>
      </c>
      <c r="L25" s="22">
        <f t="shared" si="26"/>
        <v>142177.14062639582</v>
      </c>
      <c r="M25" s="22">
        <f t="shared" si="26"/>
        <v>152840.42617337548</v>
      </c>
      <c r="N25" s="22">
        <f t="shared" si="26"/>
        <v>164303.45813637864</v>
      </c>
      <c r="O25" s="22">
        <f t="shared" si="26"/>
        <v>176626.21749660705</v>
      </c>
      <c r="P25" s="22">
        <f t="shared" si="26"/>
        <v>189873.18380885257</v>
      </c>
      <c r="Q25" s="22">
        <f t="shared" si="26"/>
        <v>204113.67259451648</v>
      </c>
      <c r="R25" s="21">
        <f>($Q$16*(1+$B$20))/($B$19-$B$20)</f>
        <v>219422.19803910522</v>
      </c>
    </row>
    <row r="26" spans="1:18" x14ac:dyDescent="0.3">
      <c r="A26" s="2" t="s">
        <v>84</v>
      </c>
      <c r="B26" s="7" t="str">
        <f>$B$4</f>
        <v>DKKmn</v>
      </c>
      <c r="C26" s="2"/>
      <c r="D26" s="2"/>
      <c r="E26" s="2"/>
      <c r="F26" s="2"/>
      <c r="G26" s="2"/>
      <c r="H26" s="34">
        <f>SUM(H24:H25)</f>
        <v>165437.57329267799</v>
      </c>
      <c r="I26" s="34">
        <f t="shared" ref="I26:M26" si="27">SUM(I24:I25)</f>
        <v>171216.55395962883</v>
      </c>
      <c r="J26" s="34">
        <f t="shared" si="27"/>
        <v>176757.03788500099</v>
      </c>
      <c r="K26" s="34">
        <f t="shared" si="27"/>
        <v>182384.82188306723</v>
      </c>
      <c r="L26" s="34">
        <f t="shared" si="27"/>
        <v>187507.64328451798</v>
      </c>
      <c r="M26" s="34">
        <f t="shared" si="27"/>
        <v>192718.55019574851</v>
      </c>
      <c r="N26" s="34">
        <f t="shared" ref="N26" si="28">SUM(N24:N25)</f>
        <v>198000.50636259373</v>
      </c>
      <c r="O26" s="34">
        <f t="shared" ref="O26" si="29">SUM(O24:O25)</f>
        <v>203334.43502790615</v>
      </c>
      <c r="P26" s="34">
        <f t="shared" ref="P26" si="30">SUM(P24:P25)</f>
        <v>208699.01126765599</v>
      </c>
      <c r="Q26" s="34">
        <f t="shared" ref="Q26" si="31">SUM(Q24:Q25)</f>
        <v>214070.43711132216</v>
      </c>
      <c r="R26" s="26"/>
    </row>
    <row r="27" spans="1:18" x14ac:dyDescent="0.3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2"/>
    </row>
    <row r="28" spans="1:18" x14ac:dyDescent="0.3">
      <c r="A28" s="33" t="s">
        <v>91</v>
      </c>
      <c r="B28" s="5" t="str">
        <f t="shared" ref="B28:B33" si="32">$B$4</f>
        <v>DKKmn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8" x14ac:dyDescent="0.3">
      <c r="A29" s="33" t="s">
        <v>199</v>
      </c>
      <c r="B29" s="5" t="str">
        <f t="shared" si="32"/>
        <v>DKKmn</v>
      </c>
      <c r="F29" s="21">
        <f>-'Balance Sheet'!F24</f>
        <v>-2587</v>
      </c>
      <c r="G29" s="21">
        <f>-'Balance Sheet'!G24</f>
        <v>-2587</v>
      </c>
      <c r="H29" s="21">
        <f>-'Balance Sheet'!H24</f>
        <v>-3404.2</v>
      </c>
      <c r="I29" s="21">
        <f>-'Balance Sheet'!I24</f>
        <v>-4282.6899999999996</v>
      </c>
      <c r="J29" s="21">
        <f>-'Balance Sheet'!J24</f>
        <v>-5205.1044999999995</v>
      </c>
      <c r="K29" s="21">
        <f>-'Balance Sheet'!K24</f>
        <v>-6173.6397249999991</v>
      </c>
      <c r="L29" s="21">
        <f>-'Balance Sheet'!L24</f>
        <v>-7190.6017112499994</v>
      </c>
      <c r="M29" s="21">
        <f>-'Balance Sheet'!M24</f>
        <v>-8258.4117968124992</v>
      </c>
      <c r="N29" s="21">
        <f>-'Balance Sheet'!N24</f>
        <v>-9379.6123866531252</v>
      </c>
      <c r="O29" s="21">
        <f>-'Balance Sheet'!O24</f>
        <v>-10556.873005985783</v>
      </c>
      <c r="P29" s="21">
        <f>-'Balance Sheet'!P24</f>
        <v>-11792.996656285071</v>
      </c>
      <c r="Q29" s="21">
        <f>-'Balance Sheet'!Q24</f>
        <v>-13090.926489099325</v>
      </c>
      <c r="R29" s="22"/>
    </row>
    <row r="30" spans="1:18" x14ac:dyDescent="0.3">
      <c r="A30" s="33" t="s">
        <v>92</v>
      </c>
      <c r="B30" s="5" t="str">
        <f t="shared" si="32"/>
        <v>DKKmn</v>
      </c>
      <c r="F30" s="21">
        <f>-('Balance Sheet'!F27+'Balance Sheet'!F34-'Balance Sheet'!F15)</f>
        <v>-18394</v>
      </c>
      <c r="G30" s="21">
        <f>-('Balance Sheet'!G27+'Balance Sheet'!G34-'Balance Sheet'!G15)</f>
        <v>-19769</v>
      </c>
      <c r="H30" s="21">
        <f>-('Balance Sheet'!H27+'Balance Sheet'!H34-'Balance Sheet'!H15)</f>
        <v>-19996.52346</v>
      </c>
      <c r="I30" s="21">
        <f>-('Balance Sheet'!I27+'Balance Sheet'!I34-'Balance Sheet'!I15)</f>
        <v>-19650.997502920072</v>
      </c>
      <c r="J30" s="21">
        <f>-('Balance Sheet'!J27+'Balance Sheet'!J34-'Balance Sheet'!J15)</f>
        <v>-18178.570616295885</v>
      </c>
      <c r="K30" s="21">
        <f>-('Balance Sheet'!K27+'Balance Sheet'!K34-'Balance Sheet'!K15)</f>
        <v>-16383.916690343176</v>
      </c>
      <c r="L30" s="21">
        <f>-('Balance Sheet'!L27+'Balance Sheet'!L34-'Balance Sheet'!L15)</f>
        <v>-15521.856465632411</v>
      </c>
      <c r="M30" s="21">
        <f>-('Balance Sheet'!M27+'Balance Sheet'!M34-'Balance Sheet'!M15)</f>
        <v>-14434.470085733907</v>
      </c>
      <c r="N30" s="21">
        <f>-('Balance Sheet'!N27+'Balance Sheet'!N34-'Balance Sheet'!N15)</f>
        <v>-13230.9928832769</v>
      </c>
      <c r="O30" s="21">
        <f>-('Balance Sheet'!O27+'Balance Sheet'!O34-'Balance Sheet'!O15)</f>
        <v>-11882.131626839089</v>
      </c>
      <c r="P30" s="21">
        <f>-('Balance Sheet'!P27+'Balance Sheet'!P34-'Balance Sheet'!P15)</f>
        <v>-10357.570878114295</v>
      </c>
      <c r="Q30" s="21">
        <f>-('Balance Sheet'!Q27+'Balance Sheet'!Q34-'Balance Sheet'!Q15)</f>
        <v>-8757.6047137979604</v>
      </c>
      <c r="R30" s="21"/>
    </row>
    <row r="31" spans="1:18" x14ac:dyDescent="0.3">
      <c r="A31" s="33" t="s">
        <v>89</v>
      </c>
      <c r="B31" s="5" t="str">
        <f t="shared" si="32"/>
        <v>DKKmn</v>
      </c>
      <c r="F31" s="21">
        <f>-'Balance Sheet'!F28</f>
        <v>-2908</v>
      </c>
      <c r="G31" s="21">
        <f>-'Balance Sheet'!G28</f>
        <v>-3299</v>
      </c>
      <c r="H31" s="21">
        <f>-'Balance Sheet'!H28</f>
        <v>-3299</v>
      </c>
      <c r="I31" s="21">
        <f>-'Balance Sheet'!I28</f>
        <v>-3299</v>
      </c>
      <c r="J31" s="21">
        <f>-'Balance Sheet'!J28</f>
        <v>-3299</v>
      </c>
      <c r="K31" s="21">
        <f>-'Balance Sheet'!K28</f>
        <v>-3299</v>
      </c>
      <c r="L31" s="21">
        <f>-'Balance Sheet'!L28</f>
        <v>-3299</v>
      </c>
      <c r="M31" s="21">
        <f>-'Balance Sheet'!M28</f>
        <v>-3299</v>
      </c>
      <c r="N31" s="21">
        <f>-'Balance Sheet'!N28</f>
        <v>-3299</v>
      </c>
      <c r="O31" s="21">
        <f>-'Balance Sheet'!O28</f>
        <v>-3299</v>
      </c>
      <c r="P31" s="21">
        <f>-'Balance Sheet'!P28</f>
        <v>-3299</v>
      </c>
      <c r="Q31" s="21">
        <f>-'Balance Sheet'!Q28</f>
        <v>-3299</v>
      </c>
    </row>
    <row r="32" spans="1:18" x14ac:dyDescent="0.3">
      <c r="A32" s="33" t="s">
        <v>90</v>
      </c>
      <c r="B32" s="5" t="str">
        <f t="shared" si="32"/>
        <v>DKKmn</v>
      </c>
      <c r="F32" s="21">
        <f>'Raw Data'!F54-'Raw Data'!F55</f>
        <v>-2398</v>
      </c>
      <c r="G32" s="21">
        <f>'Raw Data'!G54-'Raw Data'!G55</f>
        <v>-2770</v>
      </c>
      <c r="H32" s="62">
        <f>G32</f>
        <v>-2770</v>
      </c>
      <c r="I32" s="31">
        <f>H32*(H32/G32)</f>
        <v>-2770</v>
      </c>
      <c r="J32" s="31">
        <f t="shared" ref="J32:Q32" si="33">I32*(I32/H32)</f>
        <v>-2770</v>
      </c>
      <c r="K32" s="31">
        <f t="shared" si="33"/>
        <v>-2770</v>
      </c>
      <c r="L32" s="31">
        <f t="shared" si="33"/>
        <v>-2770</v>
      </c>
      <c r="M32" s="31">
        <f t="shared" si="33"/>
        <v>-2770</v>
      </c>
      <c r="N32" s="31">
        <f t="shared" si="33"/>
        <v>-2770</v>
      </c>
      <c r="O32" s="31">
        <f t="shared" si="33"/>
        <v>-2770</v>
      </c>
      <c r="P32" s="31">
        <f t="shared" si="33"/>
        <v>-2770</v>
      </c>
      <c r="Q32" s="31">
        <f t="shared" si="33"/>
        <v>-2770</v>
      </c>
    </row>
    <row r="33" spans="1:17" x14ac:dyDescent="0.3">
      <c r="A33" s="33" t="s">
        <v>194</v>
      </c>
      <c r="B33" s="5" t="str">
        <f t="shared" si="32"/>
        <v>DKKmn</v>
      </c>
      <c r="F33" s="62">
        <f>-'Balance Sheet'!F30*0.9</f>
        <v>-3444.3</v>
      </c>
      <c r="G33" s="62">
        <f>-'Balance Sheet'!G30*0.9</f>
        <v>-3633.3</v>
      </c>
      <c r="H33" s="62">
        <f>-'Balance Sheet'!H30*0.9</f>
        <v>-3633.3</v>
      </c>
      <c r="I33" s="62">
        <f>-'Balance Sheet'!I30*0.9</f>
        <v>-3633.3</v>
      </c>
      <c r="J33" s="62">
        <f>-'Balance Sheet'!J30*0.9</f>
        <v>-3633.3</v>
      </c>
      <c r="K33" s="62">
        <f>-'Balance Sheet'!K30*0.9</f>
        <v>-3633.3</v>
      </c>
      <c r="L33" s="62">
        <f>-'Balance Sheet'!L30*0.9</f>
        <v>-3633.3</v>
      </c>
      <c r="M33" s="62">
        <f>-'Balance Sheet'!M30*0.9</f>
        <v>-3633.3</v>
      </c>
      <c r="N33" s="62">
        <f>-'Balance Sheet'!N30*0.9</f>
        <v>-3633.3</v>
      </c>
      <c r="O33" s="62">
        <f>-'Balance Sheet'!O30*0.9</f>
        <v>-3633.3</v>
      </c>
      <c r="P33" s="62">
        <f>-'Balance Sheet'!P30*0.9</f>
        <v>-3633.3</v>
      </c>
      <c r="Q33" s="62">
        <f>-'Balance Sheet'!Q30*0.9</f>
        <v>-3633.3</v>
      </c>
    </row>
    <row r="34" spans="1:17" x14ac:dyDescent="0.3">
      <c r="A34" s="33"/>
      <c r="B34" s="5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3">
      <c r="A35" s="2" t="s">
        <v>105</v>
      </c>
      <c r="B35" s="7" t="str">
        <f>$B$4</f>
        <v>DKKmn</v>
      </c>
      <c r="C35" s="2"/>
      <c r="D35" s="2"/>
      <c r="E35" s="2"/>
      <c r="F35" s="2"/>
      <c r="G35" s="2"/>
      <c r="H35" s="34">
        <f>H26+H28+H29+H30+H31+H32+H33</f>
        <v>132334.54983267799</v>
      </c>
      <c r="I35" s="34">
        <f t="shared" ref="I35:Q35" si="34">I26+I28+I29+I30+I31+I32+I33</f>
        <v>137580.56645670877</v>
      </c>
      <c r="J35" s="34">
        <f t="shared" si="34"/>
        <v>143671.06276870513</v>
      </c>
      <c r="K35" s="34">
        <f t="shared" si="34"/>
        <v>150124.96546772408</v>
      </c>
      <c r="L35" s="34">
        <f t="shared" si="34"/>
        <v>155092.88510763558</v>
      </c>
      <c r="M35" s="34">
        <f t="shared" si="34"/>
        <v>160323.36831320211</v>
      </c>
      <c r="N35" s="34">
        <f t="shared" si="34"/>
        <v>165687.60109266374</v>
      </c>
      <c r="O35" s="34">
        <f t="shared" si="34"/>
        <v>171193.1303950813</v>
      </c>
      <c r="P35" s="34">
        <f t="shared" si="34"/>
        <v>176846.14373325664</v>
      </c>
      <c r="Q35" s="34">
        <f t="shared" si="34"/>
        <v>182519.60590842488</v>
      </c>
    </row>
    <row r="36" spans="1:17" x14ac:dyDescent="0.3">
      <c r="A36" t="str">
        <f>'Income Statement'!A43</f>
        <v>Average Shares Outstanding</v>
      </c>
      <c r="B36" s="5" t="str">
        <f>'Income Statement'!B43</f>
        <v>mn</v>
      </c>
      <c r="H36" s="29">
        <f>'Income Statement'!H43</f>
        <v>147.51412862108921</v>
      </c>
      <c r="I36" s="29">
        <f>'Income Statement'!I43</f>
        <v>144.88060918571577</v>
      </c>
      <c r="J36" s="29">
        <f>'Income Statement'!J43</f>
        <v>143.44414403914845</v>
      </c>
      <c r="K36" s="29">
        <f>'Income Statement'!K43</f>
        <v>141.70297416452138</v>
      </c>
      <c r="L36" s="29">
        <f>'Income Statement'!L43</f>
        <v>139.32865160821174</v>
      </c>
      <c r="M36" s="29">
        <f>'Income Statement'!M43</f>
        <v>137.17017655702116</v>
      </c>
      <c r="N36" s="29">
        <f>'Income Statement'!N43</f>
        <v>135.20792651048427</v>
      </c>
      <c r="O36" s="29">
        <f>'Income Statement'!O43</f>
        <v>133.42406283181438</v>
      </c>
      <c r="P36" s="29">
        <f>'Income Statement'!P43</f>
        <v>131.80236857847811</v>
      </c>
      <c r="Q36" s="29">
        <f>'Income Statement'!Q43</f>
        <v>130.32810107544515</v>
      </c>
    </row>
    <row r="37" spans="1:17" x14ac:dyDescent="0.3">
      <c r="A37" s="2" t="str">
        <f>CONCATENATE(A1, " implied share price at year-end")</f>
        <v>Carlsberg implied share price at year-end</v>
      </c>
      <c r="B37" s="7" t="str">
        <f>'Income Statement'!B47</f>
        <v>DKK</v>
      </c>
      <c r="H37" s="29">
        <f>H35/H36</f>
        <v>897.09745818719432</v>
      </c>
      <c r="I37" s="29">
        <f t="shared" ref="I37:Q37" si="35">I35/I36</f>
        <v>949.61339015596343</v>
      </c>
      <c r="J37" s="29">
        <f t="shared" si="35"/>
        <v>1001.5819309395771</v>
      </c>
      <c r="K37" s="29">
        <f t="shared" si="35"/>
        <v>1059.4341181112015</v>
      </c>
      <c r="L37" s="29">
        <f t="shared" si="35"/>
        <v>1113.1442335618981</v>
      </c>
      <c r="M37" s="29">
        <f t="shared" si="35"/>
        <v>1168.7917325567942</v>
      </c>
      <c r="N37" s="29">
        <f t="shared" si="35"/>
        <v>1225.4281636351845</v>
      </c>
      <c r="O37" s="29">
        <f t="shared" si="35"/>
        <v>1283.0753820686461</v>
      </c>
      <c r="P37" s="29">
        <f t="shared" si="35"/>
        <v>1341.7523952003826</v>
      </c>
      <c r="Q37" s="29">
        <f t="shared" si="35"/>
        <v>1400.4624052856168</v>
      </c>
    </row>
    <row r="38" spans="1:17" x14ac:dyDescent="0.3">
      <c r="I38" s="58"/>
      <c r="J38" s="58"/>
      <c r="K38" s="58"/>
      <c r="L38" s="58"/>
      <c r="M38" s="58"/>
      <c r="N38" s="58"/>
      <c r="O38" s="58"/>
      <c r="P38" s="58"/>
      <c r="Q38" s="58"/>
    </row>
    <row r="39" spans="1:17" x14ac:dyDescent="0.3">
      <c r="I39" s="58"/>
      <c r="J39" s="58"/>
      <c r="K39" s="58"/>
      <c r="L39" s="58"/>
      <c r="M39" s="58"/>
      <c r="N39" s="58"/>
      <c r="O39" s="58"/>
      <c r="P39" s="58"/>
      <c r="Q39" s="58"/>
    </row>
    <row r="40" spans="1:17" x14ac:dyDescent="0.3">
      <c r="A40" s="2" t="s">
        <v>192</v>
      </c>
      <c r="B40" s="67">
        <v>839.2</v>
      </c>
    </row>
    <row r="41" spans="1:17" x14ac:dyDescent="0.3">
      <c r="A41" s="2"/>
    </row>
    <row r="42" spans="1:17" x14ac:dyDescent="0.3">
      <c r="A42" s="2" t="s">
        <v>38</v>
      </c>
      <c r="B42" s="7" t="str">
        <f>B35</f>
        <v>DKKmn</v>
      </c>
      <c r="H42" s="34">
        <f>B40*H36</f>
        <v>123793.85673881808</v>
      </c>
    </row>
    <row r="43" spans="1:17" x14ac:dyDescent="0.3">
      <c r="A43" s="68" t="s">
        <v>198</v>
      </c>
      <c r="B43" s="69" t="str">
        <f>$B$42</f>
        <v>DKKmn</v>
      </c>
      <c r="H43" s="22">
        <f>-H29</f>
        <v>3404.2</v>
      </c>
    </row>
    <row r="44" spans="1:17" x14ac:dyDescent="0.3">
      <c r="A44" s="68" t="s">
        <v>193</v>
      </c>
      <c r="B44" s="69" t="str">
        <f t="shared" ref="B44:B48" si="36">$B$42</f>
        <v>DKKmn</v>
      </c>
      <c r="H44" s="22">
        <f>-H30</f>
        <v>19996.52346</v>
      </c>
    </row>
    <row r="45" spans="1:17" x14ac:dyDescent="0.3">
      <c r="A45" s="68" t="s">
        <v>195</v>
      </c>
      <c r="B45" s="69" t="str">
        <f t="shared" si="36"/>
        <v>DKKmn</v>
      </c>
      <c r="H45" s="22">
        <f>-H31</f>
        <v>3299</v>
      </c>
    </row>
    <row r="46" spans="1:17" x14ac:dyDescent="0.3">
      <c r="A46" s="68" t="s">
        <v>196</v>
      </c>
      <c r="B46" s="69" t="str">
        <f t="shared" si="36"/>
        <v>DKKmn</v>
      </c>
      <c r="H46" s="22">
        <f>-H32</f>
        <v>2770</v>
      </c>
      <c r="I46" s="14"/>
      <c r="J46" s="14"/>
    </row>
    <row r="47" spans="1:17" x14ac:dyDescent="0.3">
      <c r="A47" s="68" t="s">
        <v>197</v>
      </c>
      <c r="B47" s="69" t="str">
        <f t="shared" si="36"/>
        <v>DKKmn</v>
      </c>
      <c r="H47" s="22">
        <f>-H33</f>
        <v>3633.3</v>
      </c>
      <c r="I47" s="14"/>
      <c r="J47" s="14"/>
    </row>
    <row r="48" spans="1:17" x14ac:dyDescent="0.3">
      <c r="A48" s="2" t="s">
        <v>200</v>
      </c>
      <c r="B48" s="7" t="str">
        <f t="shared" si="36"/>
        <v>DKKmn</v>
      </c>
      <c r="H48" s="34">
        <f>SUM(H42:H47)</f>
        <v>156896.88019881808</v>
      </c>
      <c r="I48" s="14"/>
      <c r="J48" s="14"/>
    </row>
    <row r="49" spans="1:10" x14ac:dyDescent="0.3">
      <c r="H49" s="14"/>
      <c r="I49" s="14"/>
      <c r="J49" s="14"/>
    </row>
    <row r="50" spans="1:10" x14ac:dyDescent="0.3">
      <c r="H50" s="14"/>
      <c r="I50" s="14"/>
      <c r="J50" s="14"/>
    </row>
    <row r="51" spans="1:10" x14ac:dyDescent="0.3">
      <c r="A51" s="28" t="s">
        <v>203</v>
      </c>
      <c r="H51" s="14" t="str">
        <f>H23</f>
        <v>2020E</v>
      </c>
      <c r="I51" s="14" t="str">
        <f>I23</f>
        <v>2021E</v>
      </c>
      <c r="J51" s="14" t="str">
        <f>J23</f>
        <v>2022E</v>
      </c>
    </row>
    <row r="52" spans="1:10" x14ac:dyDescent="0.3">
      <c r="A52" s="2" t="s">
        <v>201</v>
      </c>
      <c r="B52" s="7" t="str">
        <f t="shared" ref="B52" si="37">$B$42</f>
        <v>DKKmn</v>
      </c>
      <c r="H52" s="70">
        <f>$H$48/H4</f>
        <v>11.381870749491728</v>
      </c>
      <c r="I52" s="70">
        <f>$H$48/I4</f>
        <v>10.714048559589848</v>
      </c>
      <c r="J52" s="70">
        <f>$H$48/J4</f>
        <v>10.257327788290446</v>
      </c>
    </row>
    <row r="53" spans="1:10" x14ac:dyDescent="0.3">
      <c r="A53" s="2" t="s">
        <v>207</v>
      </c>
      <c r="B53" s="7" t="s">
        <v>45</v>
      </c>
      <c r="H53" s="70">
        <f>$H$42/'Income Statement'!H37</f>
        <v>22.435635182705486</v>
      </c>
      <c r="I53" s="70">
        <f>$H$42/'Income Statement'!I37</f>
        <v>20.741299377207802</v>
      </c>
      <c r="J53" s="70">
        <f>$H$42/'Income Statement'!J37</f>
        <v>19.85070355363748</v>
      </c>
    </row>
    <row r="54" spans="1:10" x14ac:dyDescent="0.3">
      <c r="A54" s="2" t="s">
        <v>205</v>
      </c>
      <c r="B54" s="7" t="str">
        <f>$B$5</f>
        <v>%</v>
      </c>
      <c r="H54" s="58">
        <f>(H16+'Cash Flow Statement'!H9)/$H$36/$B$40</f>
        <v>4.843721237840521E-2</v>
      </c>
      <c r="I54" s="58">
        <f>(I16+'Cash Flow Statement'!I9)/$H$36/$B$40</f>
        <v>5.3483072572242524E-2</v>
      </c>
      <c r="J54" s="58">
        <f>(J16+'Cash Flow Statement'!J9)/$H$36/$B$40</f>
        <v>5.5277007465962973E-2</v>
      </c>
    </row>
    <row r="55" spans="1:10" x14ac:dyDescent="0.3">
      <c r="A55" s="2" t="s">
        <v>204</v>
      </c>
      <c r="B55" s="7" t="str">
        <f>$B$5</f>
        <v>%</v>
      </c>
      <c r="H55" s="58">
        <f>'Income Statement'!H53/'DCF Valution'!$B$40</f>
        <v>2.5023832221163011E-2</v>
      </c>
      <c r="I55" s="58">
        <f>'Income Statement'!I53/'DCF Valution'!$B$40</f>
        <v>2.6215443279313629E-2</v>
      </c>
      <c r="J55" s="58">
        <f>'Income Statement'!J53/'DCF Valution'!$B$40</f>
        <v>2.7407054337464251E-2</v>
      </c>
    </row>
    <row r="56" spans="1:10" x14ac:dyDescent="0.3">
      <c r="A56" s="2" t="s">
        <v>202</v>
      </c>
      <c r="B56" s="7" t="s">
        <v>45</v>
      </c>
      <c r="H56" s="66">
        <f>-H30/H4</f>
        <v>1.4506205934272851</v>
      </c>
      <c r="I56" s="66">
        <f>-I30/I4</f>
        <v>1.34191158692173</v>
      </c>
      <c r="J56" s="66">
        <f>-J30/J4</f>
        <v>1.1884465599165981</v>
      </c>
    </row>
    <row r="59" spans="1:10" x14ac:dyDescent="0.3">
      <c r="A59" s="39"/>
    </row>
    <row r="60" spans="1:10" x14ac:dyDescent="0.3">
      <c r="A60" s="2"/>
    </row>
    <row r="61" spans="1:10" x14ac:dyDescent="0.3">
      <c r="A61" s="2"/>
      <c r="B61" s="7"/>
      <c r="C61" s="73"/>
    </row>
    <row r="62" spans="1:10" x14ac:dyDescent="0.3">
      <c r="A62" s="2"/>
      <c r="B62" s="7"/>
      <c r="C62" s="73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workbookViewId="0"/>
  </sheetViews>
  <sheetFormatPr defaultRowHeight="14.4" x14ac:dyDescent="0.3"/>
  <cols>
    <col min="1" max="1" width="55.5546875" bestFit="1" customWidth="1"/>
  </cols>
  <sheetData>
    <row r="1" spans="1:7" x14ac:dyDescent="0.3">
      <c r="A1" s="75" t="s">
        <v>206</v>
      </c>
    </row>
    <row r="3" spans="1:7" x14ac:dyDescent="0.3">
      <c r="A3" s="1"/>
      <c r="B3" s="1" t="s">
        <v>51</v>
      </c>
      <c r="C3" s="1">
        <v>2015</v>
      </c>
      <c r="D3" s="1">
        <v>2016</v>
      </c>
      <c r="E3" s="1">
        <v>2017</v>
      </c>
      <c r="F3" s="1">
        <v>2018</v>
      </c>
      <c r="G3" s="1">
        <v>2019</v>
      </c>
    </row>
    <row r="4" spans="1:7" x14ac:dyDescent="0.3">
      <c r="A4" s="9" t="s">
        <v>0</v>
      </c>
      <c r="B4" s="6" t="s">
        <v>50</v>
      </c>
      <c r="C4" s="4">
        <v>120.3</v>
      </c>
      <c r="D4" s="4">
        <v>116.9</v>
      </c>
      <c r="E4" s="4">
        <v>107.1</v>
      </c>
      <c r="F4" s="4">
        <v>112.3</v>
      </c>
      <c r="G4" s="4">
        <v>112.5</v>
      </c>
    </row>
    <row r="5" spans="1:7" x14ac:dyDescent="0.3">
      <c r="A5" s="9" t="s">
        <v>1</v>
      </c>
      <c r="B5" s="7" t="str">
        <f>$B$4</f>
        <v>mn hl</v>
      </c>
      <c r="C5" s="4">
        <v>21.5</v>
      </c>
      <c r="D5" s="4">
        <v>21.9</v>
      </c>
      <c r="E5" s="4">
        <v>19.2</v>
      </c>
      <c r="F5" s="4">
        <v>20.8</v>
      </c>
      <c r="G5" s="4">
        <v>22.4</v>
      </c>
    </row>
    <row r="6" spans="1:7" x14ac:dyDescent="0.3">
      <c r="A6" s="9" t="s">
        <v>2</v>
      </c>
      <c r="B6" s="6" t="s">
        <v>43</v>
      </c>
      <c r="C6" s="4">
        <v>65354</v>
      </c>
      <c r="D6" s="4">
        <v>62614</v>
      </c>
      <c r="E6" s="4">
        <v>60655</v>
      </c>
      <c r="F6" s="4">
        <v>62503</v>
      </c>
      <c r="G6" s="4">
        <v>65902</v>
      </c>
    </row>
    <row r="7" spans="1:7" x14ac:dyDescent="0.3">
      <c r="A7" s="9" t="s">
        <v>3</v>
      </c>
      <c r="B7" s="7" t="str">
        <f>$B$6</f>
        <v>DKKmn</v>
      </c>
      <c r="C7" s="4">
        <v>31925</v>
      </c>
      <c r="D7" s="4">
        <v>31419</v>
      </c>
      <c r="E7" s="4">
        <v>30208</v>
      </c>
      <c r="F7" s="4">
        <v>31220</v>
      </c>
      <c r="G7" s="4">
        <v>32638</v>
      </c>
    </row>
    <row r="8" spans="1:7" x14ac:dyDescent="0.3">
      <c r="A8" s="9" t="s">
        <v>4</v>
      </c>
      <c r="B8" s="7" t="str">
        <f t="shared" ref="B8:B27" si="0">$B$6</f>
        <v>DKKmn</v>
      </c>
      <c r="C8" s="4">
        <v>13213</v>
      </c>
      <c r="D8" s="4">
        <v>13006</v>
      </c>
      <c r="E8" s="4">
        <v>13583</v>
      </c>
      <c r="F8" s="4">
        <v>13420</v>
      </c>
      <c r="G8" s="4">
        <v>15007</v>
      </c>
    </row>
    <row r="9" spans="1:7" x14ac:dyDescent="0.3">
      <c r="A9" s="9" t="s">
        <v>5</v>
      </c>
      <c r="B9" s="7" t="str">
        <f t="shared" si="0"/>
        <v>DKKmn</v>
      </c>
      <c r="C9" s="4">
        <v>8457</v>
      </c>
      <c r="D9" s="4">
        <v>8245</v>
      </c>
      <c r="E9" s="4">
        <v>8876</v>
      </c>
      <c r="F9" s="4">
        <v>9329</v>
      </c>
      <c r="G9" s="4">
        <v>10465</v>
      </c>
    </row>
    <row r="10" spans="1:7" x14ac:dyDescent="0.3">
      <c r="A10" s="9" t="s">
        <v>6</v>
      </c>
      <c r="B10" s="7" t="str">
        <f t="shared" si="0"/>
        <v>DKKmn</v>
      </c>
      <c r="C10" s="4">
        <v>-8659</v>
      </c>
      <c r="D10" s="4">
        <v>251</v>
      </c>
      <c r="E10" s="4">
        <v>-4565</v>
      </c>
      <c r="F10" s="4">
        <v>-88</v>
      </c>
      <c r="G10" s="4">
        <v>501</v>
      </c>
    </row>
    <row r="11" spans="1:7" x14ac:dyDescent="0.3">
      <c r="A11" s="9" t="s">
        <v>7</v>
      </c>
      <c r="B11" s="7" t="str">
        <f t="shared" si="0"/>
        <v>DKKmn</v>
      </c>
      <c r="C11" s="4">
        <v>-1531</v>
      </c>
      <c r="D11" s="4">
        <v>-1247</v>
      </c>
      <c r="E11" s="4">
        <v>-788</v>
      </c>
      <c r="F11" s="4">
        <v>-722</v>
      </c>
      <c r="G11" s="4">
        <v>-738</v>
      </c>
    </row>
    <row r="12" spans="1:7" x14ac:dyDescent="0.3">
      <c r="A12" s="9" t="s">
        <v>8</v>
      </c>
      <c r="B12" s="7" t="str">
        <f t="shared" si="0"/>
        <v>DKKmn</v>
      </c>
      <c r="C12" s="4">
        <v>-1733</v>
      </c>
      <c r="D12" s="4">
        <v>7249</v>
      </c>
      <c r="E12" s="4">
        <v>3523</v>
      </c>
      <c r="F12" s="4">
        <v>8519</v>
      </c>
      <c r="G12" s="4">
        <v>10228</v>
      </c>
    </row>
    <row r="13" spans="1:7" x14ac:dyDescent="0.3">
      <c r="A13" s="9" t="s">
        <v>9</v>
      </c>
      <c r="B13" s="7" t="str">
        <f t="shared" si="0"/>
        <v>DKKmn</v>
      </c>
      <c r="C13" s="4">
        <v>-849</v>
      </c>
      <c r="D13" s="4">
        <v>-2392</v>
      </c>
      <c r="E13" s="4">
        <v>-1458</v>
      </c>
      <c r="F13" s="4">
        <v>-2386</v>
      </c>
      <c r="G13" s="4">
        <v>-2751</v>
      </c>
    </row>
    <row r="14" spans="1:7" x14ac:dyDescent="0.3">
      <c r="A14" s="9" t="s">
        <v>10</v>
      </c>
      <c r="B14" s="7" t="str">
        <f t="shared" si="0"/>
        <v>DKKmn</v>
      </c>
      <c r="C14" s="4">
        <v>-2582</v>
      </c>
      <c r="D14" s="4">
        <v>4857</v>
      </c>
      <c r="E14" s="4">
        <v>2065</v>
      </c>
      <c r="F14" s="4">
        <v>6133</v>
      </c>
      <c r="G14" s="4">
        <v>7477</v>
      </c>
    </row>
    <row r="15" spans="1:7" x14ac:dyDescent="0.3">
      <c r="A15" s="9" t="s">
        <v>11</v>
      </c>
      <c r="B15" s="7" t="str">
        <f t="shared" si="0"/>
        <v>DKKmn</v>
      </c>
      <c r="C15" s="4">
        <v>344</v>
      </c>
      <c r="D15" s="4">
        <v>371</v>
      </c>
      <c r="E15" s="4">
        <v>806</v>
      </c>
      <c r="F15" s="4">
        <v>824</v>
      </c>
      <c r="G15" s="4">
        <v>908</v>
      </c>
    </row>
    <row r="16" spans="1:7" x14ac:dyDescent="0.3">
      <c r="A16" s="9" t="s">
        <v>12</v>
      </c>
      <c r="B16" s="7" t="str">
        <f t="shared" si="0"/>
        <v>DKKmn</v>
      </c>
      <c r="C16" s="4">
        <v>-2926</v>
      </c>
      <c r="D16" s="4">
        <v>4486</v>
      </c>
      <c r="E16" s="4">
        <v>1259</v>
      </c>
      <c r="F16" s="4">
        <v>5309</v>
      </c>
      <c r="G16" s="4">
        <v>6569</v>
      </c>
    </row>
    <row r="17" spans="1:7" x14ac:dyDescent="0.3">
      <c r="A17" s="9" t="s">
        <v>52</v>
      </c>
      <c r="B17" s="7" t="str">
        <f t="shared" si="0"/>
        <v>DKKmn</v>
      </c>
      <c r="C17" s="4">
        <v>4292</v>
      </c>
      <c r="D17" s="4">
        <v>3881</v>
      </c>
      <c r="E17" s="4">
        <v>4925</v>
      </c>
      <c r="F17" s="4">
        <v>5359</v>
      </c>
      <c r="G17" s="4">
        <v>6160</v>
      </c>
    </row>
    <row r="18" spans="1:7" x14ac:dyDescent="0.3">
      <c r="A18" s="9" t="s">
        <v>13</v>
      </c>
      <c r="B18" s="7" t="str">
        <f t="shared" si="0"/>
        <v>DKKmn</v>
      </c>
      <c r="C18" s="4">
        <v>124901</v>
      </c>
      <c r="D18" s="4">
        <v>126906</v>
      </c>
      <c r="E18" s="4">
        <v>114251</v>
      </c>
      <c r="F18" s="4">
        <v>117700</v>
      </c>
      <c r="G18" s="4">
        <v>123120</v>
      </c>
    </row>
    <row r="19" spans="1:7" x14ac:dyDescent="0.3">
      <c r="A19" s="9" t="s">
        <v>14</v>
      </c>
      <c r="B19" s="7" t="str">
        <f t="shared" si="0"/>
        <v>DKKmn</v>
      </c>
      <c r="C19" s="4">
        <v>94950</v>
      </c>
      <c r="D19" s="4">
        <v>96089</v>
      </c>
      <c r="E19" s="4">
        <v>84488</v>
      </c>
      <c r="F19" s="4">
        <v>82721</v>
      </c>
      <c r="G19" s="4">
        <v>86219</v>
      </c>
    </row>
    <row r="20" spans="1:7" x14ac:dyDescent="0.3">
      <c r="A20" s="9" t="s">
        <v>15</v>
      </c>
      <c r="B20" s="7" t="str">
        <f t="shared" si="0"/>
        <v>DKKmn</v>
      </c>
      <c r="C20" s="4">
        <v>44680</v>
      </c>
      <c r="D20" s="4">
        <v>43225</v>
      </c>
      <c r="E20" s="4">
        <v>33991</v>
      </c>
      <c r="F20" s="4">
        <v>31792</v>
      </c>
      <c r="G20" s="4">
        <v>33311</v>
      </c>
    </row>
    <row r="21" spans="1:7" x14ac:dyDescent="0.3">
      <c r="A21" s="9" t="s">
        <v>16</v>
      </c>
      <c r="B21" s="7" t="str">
        <f t="shared" si="0"/>
        <v>DKKmn</v>
      </c>
      <c r="C21" s="4">
        <v>30945</v>
      </c>
      <c r="D21" s="4">
        <v>25503</v>
      </c>
      <c r="E21" s="4">
        <v>19638</v>
      </c>
      <c r="F21" s="4">
        <v>17313</v>
      </c>
      <c r="G21" s="4">
        <v>18776</v>
      </c>
    </row>
    <row r="22" spans="1:7" x14ac:dyDescent="0.3">
      <c r="A22" s="9" t="s">
        <v>17</v>
      </c>
      <c r="B22" s="7" t="str">
        <f t="shared" si="0"/>
        <v>DKKmn</v>
      </c>
      <c r="C22" s="4">
        <v>43489</v>
      </c>
      <c r="D22" s="4">
        <v>50811</v>
      </c>
      <c r="E22" s="4">
        <v>46930</v>
      </c>
      <c r="F22" s="4">
        <v>45302</v>
      </c>
      <c r="G22" s="4">
        <v>43448</v>
      </c>
    </row>
    <row r="23" spans="1:7" x14ac:dyDescent="0.3">
      <c r="A23" s="9" t="s">
        <v>18</v>
      </c>
      <c r="B23" s="7" t="str">
        <f t="shared" si="0"/>
        <v>DKKmn</v>
      </c>
      <c r="C23" s="4">
        <v>10140</v>
      </c>
      <c r="D23" s="4">
        <v>9329</v>
      </c>
      <c r="E23" s="4">
        <v>11834</v>
      </c>
      <c r="F23" s="4">
        <v>12047</v>
      </c>
      <c r="G23" s="4">
        <v>12239</v>
      </c>
    </row>
    <row r="24" spans="1:7" x14ac:dyDescent="0.3">
      <c r="A24" s="9" t="s">
        <v>19</v>
      </c>
      <c r="B24" s="7" t="str">
        <f t="shared" si="0"/>
        <v>DKKmn</v>
      </c>
      <c r="C24" s="4">
        <v>-2618</v>
      </c>
      <c r="D24" s="4">
        <v>-713</v>
      </c>
      <c r="E24" s="4">
        <v>-3154</v>
      </c>
      <c r="F24" s="4">
        <v>-5891</v>
      </c>
      <c r="G24" s="4">
        <v>-2277</v>
      </c>
    </row>
    <row r="25" spans="1:7" x14ac:dyDescent="0.3">
      <c r="A25" s="9" t="s">
        <v>20</v>
      </c>
      <c r="B25" s="7" t="str">
        <f t="shared" si="0"/>
        <v>DKKmn</v>
      </c>
      <c r="C25" s="4">
        <v>7522</v>
      </c>
      <c r="D25" s="4">
        <v>8616</v>
      </c>
      <c r="E25" s="4">
        <v>8680</v>
      </c>
      <c r="F25" s="4">
        <v>6156</v>
      </c>
      <c r="G25" s="4">
        <v>9962</v>
      </c>
    </row>
    <row r="26" spans="1:7" x14ac:dyDescent="0.3">
      <c r="A26" s="9" t="s">
        <v>21</v>
      </c>
      <c r="B26" s="7" t="str">
        <f t="shared" si="0"/>
        <v>DKKmn</v>
      </c>
      <c r="C26" s="11">
        <v>-4150</v>
      </c>
      <c r="D26" s="4">
        <v>-3840</v>
      </c>
      <c r="E26" s="4">
        <v>-4053</v>
      </c>
      <c r="F26" s="4">
        <v>-4027</v>
      </c>
      <c r="G26" s="11">
        <v>-4592</v>
      </c>
    </row>
    <row r="27" spans="1:7" x14ac:dyDescent="0.3">
      <c r="A27" s="9" t="s">
        <v>22</v>
      </c>
      <c r="B27" s="7" t="str">
        <f t="shared" si="0"/>
        <v>DKKmn</v>
      </c>
      <c r="C27" s="11">
        <v>-33</v>
      </c>
      <c r="D27" s="4">
        <v>1969</v>
      </c>
      <c r="E27" s="4">
        <v>268</v>
      </c>
      <c r="F27" s="4">
        <v>-974</v>
      </c>
      <c r="G27" s="4">
        <v>0</v>
      </c>
    </row>
    <row r="28" spans="1:7" x14ac:dyDescent="0.3">
      <c r="A28" s="9" t="s">
        <v>23</v>
      </c>
      <c r="B28" s="6" t="s">
        <v>44</v>
      </c>
      <c r="C28" s="11">
        <v>48.8</v>
      </c>
      <c r="D28" s="4">
        <v>50.2</v>
      </c>
      <c r="E28" s="4">
        <v>49.8</v>
      </c>
      <c r="F28" s="4">
        <v>50</v>
      </c>
      <c r="G28" s="11">
        <v>49.5</v>
      </c>
    </row>
    <row r="29" spans="1:7" x14ac:dyDescent="0.3">
      <c r="A29" s="9" t="s">
        <v>24</v>
      </c>
      <c r="B29" s="7" t="str">
        <f>$B$28</f>
        <v>%</v>
      </c>
      <c r="C29" s="11">
        <v>20.2</v>
      </c>
      <c r="D29" s="4">
        <v>20.8</v>
      </c>
      <c r="E29" s="4">
        <v>22.4</v>
      </c>
      <c r="F29" s="4">
        <v>21.5</v>
      </c>
      <c r="G29" s="11">
        <v>22.8</v>
      </c>
    </row>
    <row r="30" spans="1:7" x14ac:dyDescent="0.3">
      <c r="A30" s="9" t="s">
        <v>25</v>
      </c>
      <c r="B30" s="7" t="str">
        <f t="shared" ref="B30:B33" si="1">$B$28</f>
        <v>%</v>
      </c>
      <c r="C30" s="11">
        <v>12.9</v>
      </c>
      <c r="D30" s="4">
        <v>13.2</v>
      </c>
      <c r="E30" s="4">
        <v>14.6</v>
      </c>
      <c r="F30" s="4">
        <v>14.9</v>
      </c>
      <c r="G30" s="11">
        <v>15.9</v>
      </c>
    </row>
    <row r="31" spans="1:7" x14ac:dyDescent="0.3">
      <c r="A31" s="9" t="s">
        <v>26</v>
      </c>
      <c r="B31" s="7" t="str">
        <f t="shared" si="1"/>
        <v>%</v>
      </c>
      <c r="C31" s="11">
        <v>49</v>
      </c>
      <c r="D31" s="4">
        <v>33</v>
      </c>
      <c r="E31" s="4">
        <v>41.4</v>
      </c>
      <c r="F31" s="4">
        <v>28</v>
      </c>
      <c r="G31" s="11">
        <v>26.9</v>
      </c>
    </row>
    <row r="32" spans="1:7" x14ac:dyDescent="0.3">
      <c r="A32" s="9" t="s">
        <v>27</v>
      </c>
      <c r="B32" s="7" t="str">
        <f t="shared" si="1"/>
        <v>%</v>
      </c>
      <c r="C32" s="11">
        <v>5.6</v>
      </c>
      <c r="D32" s="4">
        <v>5.9</v>
      </c>
      <c r="E32" s="4">
        <v>6.9</v>
      </c>
      <c r="F32" s="4">
        <v>8.1</v>
      </c>
      <c r="G32" s="11">
        <v>8.8000000000000007</v>
      </c>
    </row>
    <row r="33" spans="1:7" x14ac:dyDescent="0.3">
      <c r="A33" s="9" t="s">
        <v>28</v>
      </c>
      <c r="B33" s="7" t="str">
        <f t="shared" si="1"/>
        <v>%</v>
      </c>
      <c r="C33" s="11">
        <v>11</v>
      </c>
      <c r="D33" s="4">
        <v>12.7</v>
      </c>
      <c r="E33" s="4">
        <v>15.7</v>
      </c>
      <c r="F33" s="4">
        <v>20.9</v>
      </c>
      <c r="G33" s="11">
        <v>22.2</v>
      </c>
    </row>
    <row r="34" spans="1:7" x14ac:dyDescent="0.3">
      <c r="A34" s="9" t="s">
        <v>29</v>
      </c>
      <c r="B34" s="6" t="s">
        <v>45</v>
      </c>
      <c r="C34" s="11">
        <v>34.799999999999997</v>
      </c>
      <c r="D34" s="4">
        <v>40</v>
      </c>
      <c r="E34" s="4">
        <v>41.1</v>
      </c>
      <c r="F34" s="4">
        <v>38.5</v>
      </c>
      <c r="G34" s="11">
        <v>35.299999999999997</v>
      </c>
    </row>
    <row r="35" spans="1:7" x14ac:dyDescent="0.3">
      <c r="A35" s="9" t="s">
        <v>30</v>
      </c>
      <c r="B35" s="7" t="str">
        <f t="shared" ref="B35:B37" si="2">B34</f>
        <v>x</v>
      </c>
      <c r="C35" s="11">
        <v>0.66</v>
      </c>
      <c r="D35" s="4">
        <v>0.48</v>
      </c>
      <c r="E35" s="4">
        <v>0.4</v>
      </c>
      <c r="F35" s="4">
        <v>0.36</v>
      </c>
      <c r="G35" s="11">
        <v>0.41</v>
      </c>
    </row>
    <row r="36" spans="1:7" x14ac:dyDescent="0.3">
      <c r="A36" s="9" t="s">
        <v>31</v>
      </c>
      <c r="B36" s="7" t="str">
        <f t="shared" si="2"/>
        <v>x</v>
      </c>
      <c r="C36" s="11">
        <v>2.34</v>
      </c>
      <c r="D36" s="4">
        <v>1.96</v>
      </c>
      <c r="E36" s="4">
        <v>1.45</v>
      </c>
      <c r="F36" s="4">
        <v>1.29</v>
      </c>
      <c r="G36" s="11">
        <v>1.25</v>
      </c>
    </row>
    <row r="37" spans="1:7" x14ac:dyDescent="0.3">
      <c r="A37" s="9" t="s">
        <v>32</v>
      </c>
      <c r="B37" s="7" t="str">
        <f t="shared" si="2"/>
        <v>x</v>
      </c>
      <c r="C37" s="11">
        <v>5.53</v>
      </c>
      <c r="D37" s="4">
        <v>6.61</v>
      </c>
      <c r="E37" s="4">
        <v>11.26</v>
      </c>
      <c r="F37" s="4">
        <v>12.92</v>
      </c>
      <c r="G37" s="11">
        <v>14.17</v>
      </c>
    </row>
    <row r="38" spans="1:7" x14ac:dyDescent="0.3">
      <c r="A38" s="9" t="s">
        <v>33</v>
      </c>
      <c r="B38" s="6" t="s">
        <v>46</v>
      </c>
      <c r="C38" s="11">
        <v>-19.2</v>
      </c>
      <c r="D38" s="4">
        <v>29.4</v>
      </c>
      <c r="E38" s="4">
        <v>8.3000000000000007</v>
      </c>
      <c r="F38" s="4">
        <v>34.799999999999997</v>
      </c>
      <c r="G38" s="11">
        <v>43.7</v>
      </c>
    </row>
    <row r="39" spans="1:7" x14ac:dyDescent="0.3">
      <c r="A39" s="9" t="s">
        <v>53</v>
      </c>
      <c r="B39" s="8" t="str">
        <f>$B$38</f>
        <v>DKK</v>
      </c>
      <c r="C39" s="11">
        <v>28.1</v>
      </c>
      <c r="D39" s="4">
        <v>25.4</v>
      </c>
      <c r="E39" s="4">
        <v>32.299999999999997</v>
      </c>
      <c r="F39" s="4">
        <v>35.200000000000003</v>
      </c>
      <c r="G39" s="11">
        <v>41</v>
      </c>
    </row>
    <row r="40" spans="1:7" x14ac:dyDescent="0.3">
      <c r="A40" s="9" t="s">
        <v>34</v>
      </c>
      <c r="B40" s="8" t="str">
        <f t="shared" ref="B40:B41" si="3">$B$38</f>
        <v>DKK</v>
      </c>
      <c r="C40" s="11">
        <v>49.2</v>
      </c>
      <c r="D40" s="4">
        <v>56.5</v>
      </c>
      <c r="E40" s="4">
        <v>56.9</v>
      </c>
      <c r="F40" s="4">
        <v>40.200000000000003</v>
      </c>
      <c r="G40" s="11">
        <v>65.900000000000006</v>
      </c>
    </row>
    <row r="41" spans="1:7" x14ac:dyDescent="0.3">
      <c r="A41" s="9" t="s">
        <v>35</v>
      </c>
      <c r="B41" s="8" t="str">
        <f t="shared" si="3"/>
        <v>DKK</v>
      </c>
      <c r="C41" s="11">
        <v>9</v>
      </c>
      <c r="D41" s="4">
        <v>10</v>
      </c>
      <c r="E41" s="4">
        <v>16</v>
      </c>
      <c r="F41" s="4">
        <v>18</v>
      </c>
      <c r="G41" s="11">
        <v>21</v>
      </c>
    </row>
    <row r="42" spans="1:7" x14ac:dyDescent="0.3">
      <c r="A42" s="9" t="s">
        <v>36</v>
      </c>
      <c r="B42" s="7" t="str">
        <f t="shared" ref="B42:B43" si="4">$B$28</f>
        <v>%</v>
      </c>
      <c r="C42" s="4">
        <v>0</v>
      </c>
      <c r="D42" s="4">
        <v>34</v>
      </c>
      <c r="E42" s="4">
        <v>194</v>
      </c>
      <c r="F42" s="4">
        <v>52</v>
      </c>
      <c r="G42" s="11">
        <v>49</v>
      </c>
    </row>
    <row r="43" spans="1:7" x14ac:dyDescent="0.3">
      <c r="A43" s="9" t="s">
        <v>54</v>
      </c>
      <c r="B43" s="7" t="str">
        <f t="shared" si="4"/>
        <v>%</v>
      </c>
      <c r="C43" s="11">
        <v>32</v>
      </c>
      <c r="D43" s="4">
        <v>39</v>
      </c>
      <c r="E43" s="4">
        <v>50</v>
      </c>
      <c r="F43" s="4">
        <v>51</v>
      </c>
      <c r="G43" s="11">
        <v>50</v>
      </c>
    </row>
    <row r="44" spans="1:7" x14ac:dyDescent="0.3">
      <c r="A44" s="9" t="s">
        <v>37</v>
      </c>
      <c r="B44" s="8" t="str">
        <f>$B$38</f>
        <v>DKK</v>
      </c>
      <c r="C44" s="11">
        <v>612.5</v>
      </c>
      <c r="D44" s="4">
        <v>609.5</v>
      </c>
      <c r="E44" s="4">
        <v>745</v>
      </c>
      <c r="F44" s="4">
        <v>692.6</v>
      </c>
      <c r="G44" s="11">
        <v>993.8</v>
      </c>
    </row>
    <row r="45" spans="1:7" x14ac:dyDescent="0.3">
      <c r="A45" s="9" t="s">
        <v>38</v>
      </c>
      <c r="B45" s="7" t="str">
        <f t="shared" ref="B45" si="5">$B$6</f>
        <v>DKKmn</v>
      </c>
      <c r="C45" s="11">
        <v>93977</v>
      </c>
      <c r="D45" s="4">
        <v>92896</v>
      </c>
      <c r="E45" s="4">
        <v>112116</v>
      </c>
      <c r="F45" s="4">
        <v>104830</v>
      </c>
      <c r="G45" s="11">
        <v>145805</v>
      </c>
    </row>
    <row r="46" spans="1:7" x14ac:dyDescent="0.3">
      <c r="A46" s="9" t="s">
        <v>39</v>
      </c>
      <c r="B46" s="12" t="s">
        <v>55</v>
      </c>
      <c r="C46" s="11">
        <v>152557</v>
      </c>
      <c r="D46" s="4">
        <v>152557</v>
      </c>
      <c r="E46" s="4">
        <v>152557</v>
      </c>
      <c r="F46" s="4">
        <v>152557</v>
      </c>
      <c r="G46" s="11">
        <v>152557</v>
      </c>
    </row>
    <row r="47" spans="1:7" x14ac:dyDescent="0.3">
      <c r="A47" s="9" t="s">
        <v>49</v>
      </c>
      <c r="B47" s="8" t="str">
        <f>$B$46</f>
        <v>'000</v>
      </c>
      <c r="C47" s="11">
        <v>152552</v>
      </c>
      <c r="D47" s="4">
        <v>152552</v>
      </c>
      <c r="E47" s="4">
        <v>152390</v>
      </c>
      <c r="F47" s="4">
        <v>152457</v>
      </c>
      <c r="G47" s="11">
        <v>147996</v>
      </c>
    </row>
    <row r="48" spans="1:7" x14ac:dyDescent="0.3">
      <c r="A48" s="9" t="s">
        <v>48</v>
      </c>
      <c r="B48" s="8" t="str">
        <f>$B$46</f>
        <v>'000</v>
      </c>
      <c r="C48" s="11">
        <v>152542</v>
      </c>
      <c r="D48" s="4">
        <v>152552</v>
      </c>
      <c r="E48" s="4">
        <v>152496</v>
      </c>
      <c r="F48" s="4">
        <v>152428</v>
      </c>
      <c r="G48" s="11">
        <v>150411</v>
      </c>
    </row>
    <row r="50" spans="1:7" x14ac:dyDescent="0.3">
      <c r="A50" s="13" t="s">
        <v>59</v>
      </c>
    </row>
    <row r="51" spans="1:7" x14ac:dyDescent="0.3">
      <c r="B51" s="7" t="str">
        <f>B3</f>
        <v>units</v>
      </c>
      <c r="C51" s="14">
        <f>C3</f>
        <v>2015</v>
      </c>
      <c r="D51" s="14">
        <f t="shared" ref="D51:G51" si="6">D3</f>
        <v>2016</v>
      </c>
      <c r="E51" s="14">
        <f t="shared" si="6"/>
        <v>2017</v>
      </c>
      <c r="F51" s="14">
        <f t="shared" si="6"/>
        <v>2018</v>
      </c>
      <c r="G51" s="14">
        <f t="shared" si="6"/>
        <v>2019</v>
      </c>
    </row>
    <row r="52" spans="1:7" x14ac:dyDescent="0.3">
      <c r="A52" s="9" t="s">
        <v>60</v>
      </c>
      <c r="B52" s="7" t="str">
        <f t="shared" ref="B52:B66" si="7">$B$6</f>
        <v>DKKmn</v>
      </c>
      <c r="C52" s="11">
        <v>13213</v>
      </c>
      <c r="D52" s="11">
        <v>13006</v>
      </c>
      <c r="E52" s="11">
        <v>13583</v>
      </c>
      <c r="F52" s="11">
        <v>13420</v>
      </c>
      <c r="G52" s="11">
        <v>15007</v>
      </c>
    </row>
    <row r="53" spans="1:7" x14ac:dyDescent="0.3">
      <c r="A53" s="32"/>
      <c r="B53" s="7"/>
      <c r="C53" s="11"/>
      <c r="D53" s="11"/>
      <c r="E53" s="11"/>
      <c r="F53" s="11"/>
      <c r="G53" s="11"/>
    </row>
    <row r="54" spans="1:7" x14ac:dyDescent="0.3">
      <c r="A54" t="s">
        <v>93</v>
      </c>
      <c r="B54" s="7" t="str">
        <f t="shared" si="7"/>
        <v>DKKmn</v>
      </c>
      <c r="C54" s="11"/>
      <c r="D54" s="11"/>
      <c r="E54" s="11"/>
      <c r="F54" s="11">
        <v>1623</v>
      </c>
      <c r="G54" s="11">
        <v>1938</v>
      </c>
    </row>
    <row r="55" spans="1:7" x14ac:dyDescent="0.3">
      <c r="A55" t="s">
        <v>94</v>
      </c>
      <c r="B55" s="7" t="str">
        <f t="shared" si="7"/>
        <v>DKKmn</v>
      </c>
      <c r="C55" s="11"/>
      <c r="D55" s="11"/>
      <c r="E55" s="11"/>
      <c r="F55" s="11">
        <v>4021</v>
      </c>
      <c r="G55" s="11">
        <v>4708</v>
      </c>
    </row>
    <row r="56" spans="1:7" x14ac:dyDescent="0.3">
      <c r="A56" t="s">
        <v>103</v>
      </c>
      <c r="B56" s="7" t="str">
        <f t="shared" si="7"/>
        <v>DKKmn</v>
      </c>
      <c r="C56" s="11"/>
      <c r="D56" s="11"/>
      <c r="E56" s="11"/>
      <c r="F56" s="11">
        <v>2908</v>
      </c>
      <c r="G56" s="11">
        <v>3299</v>
      </c>
    </row>
    <row r="57" spans="1:7" x14ac:dyDescent="0.3">
      <c r="A57" t="s">
        <v>104</v>
      </c>
      <c r="B57" s="7" t="str">
        <f t="shared" si="7"/>
        <v>DKKmn</v>
      </c>
      <c r="C57" s="11"/>
      <c r="D57" s="11"/>
      <c r="E57" s="11"/>
      <c r="F57" s="11">
        <v>2587</v>
      </c>
      <c r="G57" s="11">
        <v>2587</v>
      </c>
    </row>
    <row r="59" spans="1:7" x14ac:dyDescent="0.3">
      <c r="A59" t="s">
        <v>95</v>
      </c>
      <c r="B59" s="7" t="str">
        <f t="shared" ref="B59" si="8">$B$28</f>
        <v>%</v>
      </c>
      <c r="C59" s="11"/>
      <c r="D59" s="11"/>
      <c r="E59" s="11"/>
      <c r="F59" s="11">
        <v>20.3</v>
      </c>
      <c r="G59" s="11">
        <v>21.8</v>
      </c>
    </row>
    <row r="61" spans="1:7" x14ac:dyDescent="0.3">
      <c r="A61" s="28" t="s">
        <v>98</v>
      </c>
    </row>
    <row r="62" spans="1:7" x14ac:dyDescent="0.3">
      <c r="A62" t="s">
        <v>96</v>
      </c>
      <c r="B62" s="7" t="str">
        <f t="shared" si="7"/>
        <v>DKKmn</v>
      </c>
      <c r="F62" s="11">
        <v>2356</v>
      </c>
      <c r="G62" s="11">
        <v>2127</v>
      </c>
    </row>
    <row r="63" spans="1:7" x14ac:dyDescent="0.3">
      <c r="A63" t="s">
        <v>97</v>
      </c>
      <c r="B63" s="7" t="str">
        <f t="shared" si="7"/>
        <v>DKKmn</v>
      </c>
      <c r="F63" s="11">
        <v>13</v>
      </c>
      <c r="G63" s="11">
        <v>-87</v>
      </c>
    </row>
    <row r="64" spans="1:7" x14ac:dyDescent="0.3">
      <c r="A64" t="s">
        <v>99</v>
      </c>
      <c r="B64" s="7" t="str">
        <f t="shared" si="7"/>
        <v>DKKmn</v>
      </c>
      <c r="F64" s="11">
        <v>-579</v>
      </c>
      <c r="G64" s="11">
        <v>-519</v>
      </c>
    </row>
    <row r="65" spans="1:7" x14ac:dyDescent="0.3">
      <c r="A65" t="s">
        <v>100</v>
      </c>
      <c r="B65" s="7" t="str">
        <f t="shared" si="7"/>
        <v>DKKmn</v>
      </c>
      <c r="F65" s="29">
        <f>-F64*F59/100</f>
        <v>117.53700000000001</v>
      </c>
      <c r="G65" s="29">
        <f>-G64*G59/100</f>
        <v>113.14200000000001</v>
      </c>
    </row>
    <row r="66" spans="1:7" x14ac:dyDescent="0.3">
      <c r="A66" t="s">
        <v>101</v>
      </c>
      <c r="B66" s="7" t="str">
        <f t="shared" si="7"/>
        <v>DKKmn</v>
      </c>
      <c r="F66" s="29">
        <f>F62-F63+F65</f>
        <v>2460.5369999999998</v>
      </c>
      <c r="G66" s="29">
        <f>G62-G63+G65</f>
        <v>2327.1419999999998</v>
      </c>
    </row>
    <row r="68" spans="1:7" x14ac:dyDescent="0.3">
      <c r="A68" s="39" t="s">
        <v>159</v>
      </c>
    </row>
    <row r="69" spans="1:7" x14ac:dyDescent="0.3">
      <c r="A69" s="1"/>
      <c r="F69" s="1">
        <v>2018</v>
      </c>
      <c r="G69" s="1">
        <v>2019</v>
      </c>
    </row>
    <row r="70" spans="1:7" x14ac:dyDescent="0.3">
      <c r="A70" s="9" t="s">
        <v>106</v>
      </c>
      <c r="F70" s="37">
        <v>66868</v>
      </c>
      <c r="G70" s="37">
        <v>69805</v>
      </c>
    </row>
    <row r="71" spans="1:7" x14ac:dyDescent="0.3">
      <c r="A71" s="9" t="s">
        <v>107</v>
      </c>
      <c r="F71" s="37">
        <v>25394</v>
      </c>
      <c r="G71" s="37">
        <v>27886</v>
      </c>
    </row>
    <row r="72" spans="1:7" x14ac:dyDescent="0.3">
      <c r="A72" s="9" t="s">
        <v>108</v>
      </c>
      <c r="F72" s="37">
        <v>4562</v>
      </c>
      <c r="G72" s="37">
        <v>4364</v>
      </c>
    </row>
    <row r="73" spans="1:7" x14ac:dyDescent="0.3">
      <c r="A73" s="9" t="s">
        <v>109</v>
      </c>
      <c r="F73" s="37">
        <v>1097</v>
      </c>
      <c r="G73" s="37">
        <v>1179</v>
      </c>
    </row>
    <row r="74" spans="1:7" x14ac:dyDescent="0.3">
      <c r="A74" s="9" t="s">
        <v>110</v>
      </c>
      <c r="F74" s="37">
        <v>1693</v>
      </c>
      <c r="G74" s="37">
        <v>1938</v>
      </c>
    </row>
    <row r="75" spans="1:7" x14ac:dyDescent="0.3">
      <c r="A75" s="9" t="s">
        <v>111</v>
      </c>
      <c r="F75" s="37">
        <v>99614</v>
      </c>
      <c r="G75" s="37">
        <v>105172</v>
      </c>
    </row>
    <row r="76" spans="1:7" x14ac:dyDescent="0.3">
      <c r="A76" s="9" t="s">
        <v>112</v>
      </c>
      <c r="F76" s="37">
        <v>4435</v>
      </c>
      <c r="G76" s="37">
        <v>4751</v>
      </c>
    </row>
    <row r="77" spans="1:7" x14ac:dyDescent="0.3">
      <c r="A77" s="9" t="s">
        <v>113</v>
      </c>
      <c r="F77" s="37">
        <v>5084</v>
      </c>
      <c r="G77" s="37">
        <v>5339</v>
      </c>
    </row>
    <row r="78" spans="1:7" x14ac:dyDescent="0.3">
      <c r="A78" s="9" t="s">
        <v>114</v>
      </c>
      <c r="F78" s="37">
        <v>213</v>
      </c>
      <c r="G78" s="37">
        <v>199</v>
      </c>
    </row>
    <row r="79" spans="1:7" x14ac:dyDescent="0.3">
      <c r="A79" s="9" t="s">
        <v>115</v>
      </c>
      <c r="F79" s="37">
        <v>1925</v>
      </c>
      <c r="G79" s="37">
        <v>1661</v>
      </c>
    </row>
    <row r="80" spans="1:7" x14ac:dyDescent="0.3">
      <c r="A80" s="9" t="s">
        <v>116</v>
      </c>
      <c r="F80" s="37">
        <v>840</v>
      </c>
      <c r="G80" s="37">
        <v>776</v>
      </c>
    </row>
    <row r="81" spans="1:7" x14ac:dyDescent="0.3">
      <c r="A81" s="9" t="s">
        <v>117</v>
      </c>
      <c r="F81" s="37">
        <v>5589</v>
      </c>
      <c r="G81" s="37">
        <v>5222</v>
      </c>
    </row>
    <row r="82" spans="1:7" x14ac:dyDescent="0.3">
      <c r="A82" s="9" t="s">
        <v>118</v>
      </c>
      <c r="F82" s="37">
        <v>18086</v>
      </c>
      <c r="G82" s="37">
        <v>17948</v>
      </c>
    </row>
    <row r="83" spans="1:7" x14ac:dyDescent="0.3">
      <c r="A83" s="38" t="s">
        <v>13</v>
      </c>
      <c r="B83" s="2"/>
      <c r="C83" s="2"/>
      <c r="D83" s="2"/>
      <c r="E83" s="2"/>
      <c r="F83" s="20">
        <v>117700</v>
      </c>
      <c r="G83" s="20">
        <v>123120</v>
      </c>
    </row>
    <row r="84" spans="1:7" x14ac:dyDescent="0.3">
      <c r="A84" s="9" t="s">
        <v>119</v>
      </c>
      <c r="F84" s="37">
        <v>3051</v>
      </c>
      <c r="G84" s="37">
        <v>3051</v>
      </c>
    </row>
    <row r="85" spans="1:7" x14ac:dyDescent="0.3">
      <c r="A85" s="9" t="s">
        <v>120</v>
      </c>
      <c r="F85" s="37">
        <v>-36837</v>
      </c>
      <c r="G85" s="37">
        <v>-33652</v>
      </c>
    </row>
    <row r="86" spans="1:7" x14ac:dyDescent="0.3">
      <c r="A86" s="9" t="s">
        <v>121</v>
      </c>
      <c r="F86" s="37">
        <v>79088</v>
      </c>
      <c r="G86" s="37">
        <v>74049</v>
      </c>
    </row>
    <row r="87" spans="1:7" x14ac:dyDescent="0.3">
      <c r="A87" s="9" t="s">
        <v>17</v>
      </c>
      <c r="F87" s="37">
        <v>45302</v>
      </c>
      <c r="G87" s="37">
        <v>43448</v>
      </c>
    </row>
    <row r="88" spans="1:7" x14ac:dyDescent="0.3">
      <c r="A88" s="9" t="s">
        <v>11</v>
      </c>
      <c r="F88" s="37">
        <v>2587</v>
      </c>
      <c r="G88" s="37">
        <v>2587</v>
      </c>
    </row>
    <row r="89" spans="1:7" x14ac:dyDescent="0.3">
      <c r="A89" s="38" t="s">
        <v>122</v>
      </c>
      <c r="F89" s="20">
        <v>47889</v>
      </c>
      <c r="G89" s="20">
        <v>46035</v>
      </c>
    </row>
    <row r="90" spans="1:7" x14ac:dyDescent="0.3">
      <c r="A90" s="9" t="s">
        <v>123</v>
      </c>
      <c r="F90" s="37">
        <v>16750</v>
      </c>
      <c r="G90" s="37">
        <v>20879</v>
      </c>
    </row>
    <row r="91" spans="1:7" x14ac:dyDescent="0.3">
      <c r="A91" s="9" t="s">
        <v>124</v>
      </c>
      <c r="F91" s="37">
        <v>2908</v>
      </c>
      <c r="G91" s="37">
        <v>3299</v>
      </c>
    </row>
    <row r="92" spans="1:7" x14ac:dyDescent="0.3">
      <c r="A92" s="9" t="s">
        <v>125</v>
      </c>
      <c r="F92" s="37">
        <v>5659</v>
      </c>
      <c r="G92" s="37">
        <v>6503</v>
      </c>
    </row>
    <row r="93" spans="1:7" x14ac:dyDescent="0.3">
      <c r="A93" s="9" t="s">
        <v>126</v>
      </c>
      <c r="F93" s="37">
        <v>3827</v>
      </c>
      <c r="G93" s="37">
        <v>4037</v>
      </c>
    </row>
    <row r="94" spans="1:7" x14ac:dyDescent="0.3">
      <c r="A94" s="9" t="s">
        <v>127</v>
      </c>
      <c r="F94" s="37">
        <v>6186</v>
      </c>
      <c r="G94" s="37">
        <v>9056</v>
      </c>
    </row>
    <row r="95" spans="1:7" x14ac:dyDescent="0.3">
      <c r="A95" s="9" t="s">
        <v>128</v>
      </c>
      <c r="F95" s="37">
        <v>35330</v>
      </c>
      <c r="G95" s="37">
        <v>43774</v>
      </c>
    </row>
    <row r="96" spans="1:7" x14ac:dyDescent="0.3">
      <c r="A96" s="9" t="s">
        <v>123</v>
      </c>
      <c r="F96" s="37">
        <v>7233</v>
      </c>
      <c r="G96" s="37">
        <v>4112</v>
      </c>
    </row>
    <row r="97" spans="1:7" x14ac:dyDescent="0.3">
      <c r="A97" s="9" t="s">
        <v>129</v>
      </c>
      <c r="F97" s="37">
        <v>16199</v>
      </c>
      <c r="G97" s="37">
        <v>17149</v>
      </c>
    </row>
    <row r="98" spans="1:7" x14ac:dyDescent="0.3">
      <c r="A98" s="9" t="s">
        <v>130</v>
      </c>
      <c r="F98" s="37">
        <v>1583</v>
      </c>
      <c r="G98" s="37">
        <v>1545</v>
      </c>
    </row>
    <row r="99" spans="1:7" x14ac:dyDescent="0.3">
      <c r="A99" s="9" t="s">
        <v>126</v>
      </c>
      <c r="F99" s="37">
        <v>1100</v>
      </c>
      <c r="G99" s="37">
        <v>1663</v>
      </c>
    </row>
    <row r="100" spans="1:7" x14ac:dyDescent="0.3">
      <c r="A100" s="9" t="s">
        <v>131</v>
      </c>
      <c r="F100" s="37">
        <v>878</v>
      </c>
      <c r="G100" s="37">
        <v>999</v>
      </c>
    </row>
    <row r="101" spans="1:7" x14ac:dyDescent="0.3">
      <c r="A101" s="9" t="s">
        <v>127</v>
      </c>
      <c r="F101" s="37">
        <v>7488</v>
      </c>
      <c r="G101" s="37">
        <v>7843</v>
      </c>
    </row>
    <row r="102" spans="1:7" x14ac:dyDescent="0.3">
      <c r="A102" s="9" t="s">
        <v>132</v>
      </c>
      <c r="F102" s="37">
        <v>34481</v>
      </c>
      <c r="G102" s="37">
        <v>33311</v>
      </c>
    </row>
    <row r="103" spans="1:7" x14ac:dyDescent="0.3">
      <c r="A103" s="38" t="s">
        <v>133</v>
      </c>
      <c r="B103" s="2"/>
      <c r="C103" s="2"/>
      <c r="D103" s="2"/>
      <c r="E103" s="2"/>
      <c r="F103" s="20">
        <v>69811</v>
      </c>
      <c r="G103" s="20">
        <v>77085</v>
      </c>
    </row>
    <row r="104" spans="1:7" x14ac:dyDescent="0.3">
      <c r="A104" s="9" t="s">
        <v>134</v>
      </c>
      <c r="F104" s="37">
        <v>117700</v>
      </c>
      <c r="G104" s="37">
        <v>123120</v>
      </c>
    </row>
    <row r="107" spans="1:7" x14ac:dyDescent="0.3">
      <c r="A107" s="39" t="s">
        <v>135</v>
      </c>
    </row>
    <row r="108" spans="1:7" x14ac:dyDescent="0.3">
      <c r="A108" s="1"/>
      <c r="F108" s="1">
        <v>2018</v>
      </c>
      <c r="G108" s="1">
        <v>2019</v>
      </c>
    </row>
    <row r="109" spans="1:7" x14ac:dyDescent="0.3">
      <c r="A109" s="9" t="s">
        <v>5</v>
      </c>
      <c r="F109" s="37">
        <v>9329</v>
      </c>
      <c r="G109" s="37">
        <v>10465</v>
      </c>
    </row>
    <row r="110" spans="1:7" x14ac:dyDescent="0.3">
      <c r="A110" s="9" t="s">
        <v>171</v>
      </c>
      <c r="F110" s="37">
        <v>4091</v>
      </c>
      <c r="G110" s="37">
        <v>4542</v>
      </c>
    </row>
    <row r="111" spans="1:7" x14ac:dyDescent="0.3">
      <c r="A111" s="9" t="s">
        <v>170</v>
      </c>
      <c r="F111" s="37">
        <v>13420</v>
      </c>
      <c r="G111" s="37">
        <v>15007</v>
      </c>
    </row>
    <row r="112" spans="1:7" x14ac:dyDescent="0.3">
      <c r="A112" s="9" t="s">
        <v>136</v>
      </c>
      <c r="F112" s="37">
        <v>143</v>
      </c>
      <c r="G112" s="37">
        <v>-320</v>
      </c>
    </row>
    <row r="113" spans="1:7" x14ac:dyDescent="0.3">
      <c r="A113" s="9" t="s">
        <v>137</v>
      </c>
      <c r="F113" s="37">
        <v>1908</v>
      </c>
      <c r="G113" s="37">
        <v>491</v>
      </c>
    </row>
    <row r="114" spans="1:7" x14ac:dyDescent="0.3">
      <c r="A114" s="9" t="s">
        <v>138</v>
      </c>
      <c r="F114" s="37">
        <v>52</v>
      </c>
      <c r="G114" s="37">
        <v>634</v>
      </c>
    </row>
    <row r="115" spans="1:7" x14ac:dyDescent="0.3">
      <c r="A115" s="9" t="s">
        <v>139</v>
      </c>
      <c r="F115" s="37">
        <v>-238</v>
      </c>
      <c r="G115" s="37">
        <v>-445</v>
      </c>
    </row>
    <row r="116" spans="1:7" x14ac:dyDescent="0.3">
      <c r="A116" s="9" t="s">
        <v>140</v>
      </c>
      <c r="F116" s="37">
        <v>153</v>
      </c>
      <c r="G116" s="37">
        <v>139</v>
      </c>
    </row>
    <row r="117" spans="1:7" x14ac:dyDescent="0.3">
      <c r="A117" s="9" t="s">
        <v>141</v>
      </c>
      <c r="F117" s="37">
        <v>-1016</v>
      </c>
      <c r="G117" s="37">
        <v>-1033</v>
      </c>
    </row>
    <row r="118" spans="1:7" x14ac:dyDescent="0.3">
      <c r="A118" s="9" t="s">
        <v>142</v>
      </c>
      <c r="F118" s="37">
        <v>-2375</v>
      </c>
      <c r="G118" s="37">
        <v>-2234</v>
      </c>
    </row>
    <row r="119" spans="1:7" x14ac:dyDescent="0.3">
      <c r="A119" s="38" t="s">
        <v>18</v>
      </c>
      <c r="B119" s="2"/>
      <c r="C119" s="2"/>
      <c r="D119" s="2"/>
      <c r="E119" s="2"/>
      <c r="F119" s="20">
        <v>12047</v>
      </c>
      <c r="G119" s="20">
        <v>12239</v>
      </c>
    </row>
    <row r="120" spans="1:7" x14ac:dyDescent="0.3">
      <c r="A120" s="9" t="s">
        <v>21</v>
      </c>
      <c r="F120" s="37">
        <v>-4017</v>
      </c>
      <c r="G120" s="37">
        <v>-4588</v>
      </c>
    </row>
    <row r="121" spans="1:7" x14ac:dyDescent="0.3">
      <c r="A121" s="9" t="s">
        <v>143</v>
      </c>
      <c r="F121" s="37">
        <v>254</v>
      </c>
      <c r="G121" s="37">
        <v>1714</v>
      </c>
    </row>
    <row r="122" spans="1:7" x14ac:dyDescent="0.3">
      <c r="A122" s="9" t="s">
        <v>144</v>
      </c>
      <c r="F122" s="37">
        <v>-192</v>
      </c>
      <c r="G122" s="37">
        <v>50</v>
      </c>
    </row>
    <row r="123" spans="1:7" x14ac:dyDescent="0.3">
      <c r="A123" s="9" t="s">
        <v>145</v>
      </c>
      <c r="F123" s="37">
        <v>-3955</v>
      </c>
      <c r="G123" s="37">
        <v>-2824</v>
      </c>
    </row>
    <row r="124" spans="1:7" x14ac:dyDescent="0.3">
      <c r="A124" s="9" t="s">
        <v>146</v>
      </c>
      <c r="F124" s="37">
        <v>8092</v>
      </c>
      <c r="G124" s="37">
        <v>9415</v>
      </c>
    </row>
    <row r="125" spans="1:7" x14ac:dyDescent="0.3">
      <c r="A125" s="9" t="s">
        <v>22</v>
      </c>
      <c r="F125" s="37">
        <v>-974</v>
      </c>
      <c r="G125" s="37">
        <v>0</v>
      </c>
    </row>
    <row r="126" spans="1:7" x14ac:dyDescent="0.3">
      <c r="A126" s="9" t="s">
        <v>147</v>
      </c>
      <c r="F126" s="37">
        <v>-1491</v>
      </c>
      <c r="G126" s="37">
        <v>-41</v>
      </c>
    </row>
    <row r="127" spans="1:7" x14ac:dyDescent="0.3">
      <c r="A127" s="9" t="s">
        <v>148</v>
      </c>
      <c r="F127" s="37">
        <v>3</v>
      </c>
      <c r="G127" s="37">
        <v>25</v>
      </c>
    </row>
    <row r="128" spans="1:7" x14ac:dyDescent="0.3">
      <c r="A128" s="9" t="s">
        <v>149</v>
      </c>
      <c r="F128" s="37">
        <v>-36</v>
      </c>
      <c r="G128" s="37">
        <v>-59</v>
      </c>
    </row>
    <row r="129" spans="1:7" x14ac:dyDescent="0.3">
      <c r="A129" s="9" t="s">
        <v>150</v>
      </c>
      <c r="F129" s="37">
        <v>572</v>
      </c>
      <c r="G129" s="37">
        <v>626</v>
      </c>
    </row>
    <row r="130" spans="1:7" x14ac:dyDescent="0.3">
      <c r="A130" s="9" t="s">
        <v>151</v>
      </c>
      <c r="F130" s="37">
        <v>-1926</v>
      </c>
      <c r="G130" s="37">
        <v>551</v>
      </c>
    </row>
    <row r="131" spans="1:7" x14ac:dyDescent="0.3">
      <c r="A131" s="9" t="s">
        <v>152</v>
      </c>
      <c r="F131" s="37">
        <v>-10</v>
      </c>
      <c r="G131" s="37">
        <v>-4</v>
      </c>
    </row>
    <row r="132" spans="1:7" x14ac:dyDescent="0.3">
      <c r="A132" s="9" t="s">
        <v>174</v>
      </c>
      <c r="F132" s="37">
        <v>-10</v>
      </c>
      <c r="G132" s="37">
        <v>-4</v>
      </c>
    </row>
    <row r="133" spans="1:7" x14ac:dyDescent="0.3">
      <c r="A133" s="38" t="s">
        <v>19</v>
      </c>
      <c r="B133" s="2"/>
      <c r="C133" s="2"/>
      <c r="D133" s="2"/>
      <c r="E133" s="2"/>
      <c r="F133" s="20">
        <v>-5891</v>
      </c>
      <c r="G133" s="20">
        <v>-2277</v>
      </c>
    </row>
    <row r="134" spans="1:7" x14ac:dyDescent="0.3">
      <c r="A134" s="9" t="s">
        <v>20</v>
      </c>
      <c r="F134" s="37">
        <v>6156</v>
      </c>
      <c r="G134" s="37">
        <v>9962</v>
      </c>
    </row>
    <row r="135" spans="1:7" x14ac:dyDescent="0.3">
      <c r="A135" s="9" t="s">
        <v>153</v>
      </c>
      <c r="F135" s="37">
        <v>-2489</v>
      </c>
      <c r="G135" s="37">
        <v>-2738</v>
      </c>
    </row>
    <row r="136" spans="1:7" x14ac:dyDescent="0.3">
      <c r="A136" s="9" t="s">
        <v>154</v>
      </c>
      <c r="F136" s="37">
        <v>0</v>
      </c>
      <c r="G136" s="37">
        <v>-4100</v>
      </c>
    </row>
    <row r="137" spans="1:7" x14ac:dyDescent="0.3">
      <c r="A137" s="9" t="s">
        <v>11</v>
      </c>
      <c r="F137" s="37">
        <v>-1186</v>
      </c>
      <c r="G137" s="37">
        <v>-2520</v>
      </c>
    </row>
    <row r="138" spans="1:7" x14ac:dyDescent="0.3">
      <c r="A138" s="9" t="s">
        <v>155</v>
      </c>
      <c r="F138" s="37">
        <v>-123</v>
      </c>
      <c r="G138" s="37">
        <v>-935</v>
      </c>
    </row>
    <row r="139" spans="1:7" x14ac:dyDescent="0.3">
      <c r="A139" s="38" t="s">
        <v>156</v>
      </c>
      <c r="B139" s="2"/>
      <c r="C139" s="2"/>
      <c r="D139" s="2"/>
      <c r="E139" s="2"/>
      <c r="F139" s="20">
        <v>-3798</v>
      </c>
      <c r="G139" s="20">
        <v>-10293</v>
      </c>
    </row>
    <row r="140" spans="1:7" x14ac:dyDescent="0.3">
      <c r="A140" s="9" t="s">
        <v>157</v>
      </c>
      <c r="F140" s="37">
        <v>2358</v>
      </c>
      <c r="G140" s="37">
        <v>-331</v>
      </c>
    </row>
    <row r="141" spans="1:7" x14ac:dyDescent="0.3">
      <c r="A141" s="9" t="s">
        <v>172</v>
      </c>
      <c r="F141" s="37">
        <v>3120</v>
      </c>
      <c r="G141" s="37">
        <v>5434</v>
      </c>
    </row>
    <row r="142" spans="1:7" x14ac:dyDescent="0.3">
      <c r="A142" s="9" t="s">
        <v>158</v>
      </c>
      <c r="F142" s="37">
        <v>-44</v>
      </c>
      <c r="G142" s="37">
        <v>46</v>
      </c>
    </row>
    <row r="143" spans="1:7" x14ac:dyDescent="0.3">
      <c r="A143" s="38" t="s">
        <v>173</v>
      </c>
      <c r="B143" s="2"/>
      <c r="C143" s="2"/>
      <c r="D143" s="2"/>
      <c r="E143" s="2"/>
      <c r="F143" s="20">
        <v>5434</v>
      </c>
      <c r="G143" s="20">
        <v>5149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Disclaimer</vt:lpstr>
      <vt:lpstr>Income Statement</vt:lpstr>
      <vt:lpstr>Balance Sheet</vt:lpstr>
      <vt:lpstr>Cash Flow Statement</vt:lpstr>
      <vt:lpstr>DCF Valution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Dexx 646464</cp:lastModifiedBy>
  <dcterms:created xsi:type="dcterms:W3CDTF">2020-09-16T15:36:13Z</dcterms:created>
  <dcterms:modified xsi:type="dcterms:W3CDTF">2020-10-01T07:17:29Z</dcterms:modified>
</cp:coreProperties>
</file>