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fanhuang/Downloads/"/>
    </mc:Choice>
  </mc:AlternateContent>
  <xr:revisionPtr revIDLastSave="0" documentId="13_ncr:1_{C91E807D-CF7F-1640-8AC4-312516B8FD9E}" xr6:coauthVersionLast="47" xr6:coauthVersionMax="47" xr10:uidLastSave="{00000000-0000-0000-0000-000000000000}"/>
  <bookViews>
    <workbookView xWindow="1280" yWindow="500" windowWidth="23680" windowHeight="13540" activeTab="5" xr2:uid="{00000000-000D-0000-FFFF-FFFF00000000}"/>
  </bookViews>
  <sheets>
    <sheet name="CN_EXtoAfr" sheetId="4" r:id="rId1"/>
    <sheet name="CN_IMfromAfr" sheetId="5" r:id="rId2"/>
    <sheet name="US_EXtoAfr" sheetId="8" r:id="rId3"/>
    <sheet name="US_IMfromAfr" sheetId="7" r:id="rId4"/>
    <sheet name="Graphs 1" sheetId="9" r:id="rId5"/>
    <sheet name="Graphs 2" sheetId="10" r:id="rId6"/>
  </sheets>
  <definedNames>
    <definedName name="同比上限值">#REF!</definedName>
    <definedName name="同比下限值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0" l="1"/>
  <c r="D22" i="10"/>
  <c r="E22" i="10" s="1"/>
  <c r="F22" i="10"/>
  <c r="G22" i="10"/>
  <c r="H22" i="10"/>
  <c r="BE31" i="7"/>
  <c r="BD31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8"/>
  <c r="BD31" i="8"/>
  <c r="B30" i="8"/>
  <c r="C30" i="8"/>
  <c r="D30" i="8"/>
  <c r="E30" i="8"/>
  <c r="F30" i="8"/>
  <c r="G30" i="8"/>
  <c r="H30" i="8"/>
  <c r="BD30" i="8" s="1"/>
  <c r="BE30" i="8" s="1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E31" i="5"/>
  <c r="BF31" i="5" s="1"/>
  <c r="BF29" i="5"/>
  <c r="BF30" i="5"/>
  <c r="U31" i="4"/>
  <c r="AT30" i="5" l="1"/>
  <c r="BB30" i="7" l="1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K30" i="7"/>
  <c r="AL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C30" i="5"/>
  <c r="BB30" i="5"/>
  <c r="BA30" i="5"/>
  <c r="AZ30" i="5"/>
  <c r="AY30" i="5"/>
  <c r="AX30" i="5"/>
  <c r="AW30" i="5"/>
  <c r="AV30" i="5"/>
  <c r="AU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BE30" i="5" l="1"/>
  <c r="D21" i="10" s="1"/>
  <c r="BD30" i="7"/>
  <c r="G21" i="10" s="1"/>
  <c r="F21" i="10"/>
  <c r="G30" i="4"/>
  <c r="F30" i="4"/>
  <c r="E30" i="4"/>
  <c r="D30" i="4"/>
  <c r="C30" i="4"/>
  <c r="B30" i="4"/>
  <c r="B29" i="4"/>
  <c r="H21" i="10" l="1"/>
  <c r="BE30" i="4"/>
  <c r="BF30" i="4" s="1"/>
  <c r="C21" i="10" s="1"/>
  <c r="E21" i="10" s="1"/>
  <c r="BB29" i="5" l="1"/>
  <c r="BC29" i="5"/>
  <c r="BA29" i="5"/>
  <c r="AZ29" i="5"/>
  <c r="AY29" i="5"/>
  <c r="AX29" i="5"/>
  <c r="AW29" i="5"/>
  <c r="AV29" i="5"/>
  <c r="AU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C29" i="5"/>
  <c r="AG29" i="5"/>
  <c r="AF29" i="5"/>
  <c r="AE29" i="5"/>
  <c r="AD29" i="5"/>
  <c r="AB29" i="5"/>
  <c r="Y29" i="5"/>
  <c r="X29" i="5"/>
  <c r="Z29" i="5"/>
  <c r="AA29" i="5"/>
  <c r="W29" i="5"/>
  <c r="Q29" i="5"/>
  <c r="V29" i="5"/>
  <c r="S29" i="5"/>
  <c r="T29" i="5"/>
  <c r="R29" i="5"/>
  <c r="P29" i="5"/>
  <c r="O29" i="5"/>
  <c r="N29" i="5"/>
  <c r="M29" i="5"/>
  <c r="L29" i="5"/>
  <c r="H29" i="5"/>
  <c r="K29" i="5"/>
  <c r="J29" i="5"/>
  <c r="I29" i="5"/>
  <c r="G29" i="5"/>
  <c r="F29" i="5"/>
  <c r="D29" i="5"/>
  <c r="E29" i="5"/>
  <c r="C29" i="5"/>
  <c r="B29" i="5"/>
  <c r="AT29" i="5"/>
  <c r="AT28" i="5"/>
  <c r="AT29" i="4"/>
  <c r="AT28" i="4"/>
  <c r="AT27" i="4"/>
  <c r="AT25" i="4"/>
  <c r="BB29" i="4"/>
  <c r="BA29" i="4"/>
  <c r="BC29" i="4"/>
  <c r="AZ29" i="4"/>
  <c r="AY29" i="4"/>
  <c r="AX29" i="4"/>
  <c r="AW29" i="4"/>
  <c r="AV29" i="4"/>
  <c r="AU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Q29" i="4"/>
  <c r="V29" i="4"/>
  <c r="S29" i="4"/>
  <c r="T29" i="4"/>
  <c r="R29" i="4"/>
  <c r="L29" i="4"/>
  <c r="M29" i="4"/>
  <c r="N29" i="4"/>
  <c r="O29" i="4"/>
  <c r="P29" i="4"/>
  <c r="K29" i="4"/>
  <c r="J29" i="4"/>
  <c r="I29" i="4"/>
  <c r="H29" i="4"/>
  <c r="G29" i="4"/>
  <c r="F29" i="4"/>
  <c r="D29" i="4"/>
  <c r="E29" i="4"/>
  <c r="C29" i="4"/>
  <c r="BA29" i="7" l="1"/>
  <c r="BB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T29" i="7"/>
  <c r="S29" i="7"/>
  <c r="Q29" i="7"/>
  <c r="R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D28" i="8"/>
  <c r="BA29" i="8"/>
  <c r="BB29" i="8"/>
  <c r="AZ29" i="8"/>
  <c r="AY29" i="8"/>
  <c r="AX29" i="8"/>
  <c r="AW29" i="8"/>
  <c r="AV29" i="8"/>
  <c r="AU29" i="8"/>
  <c r="AT29" i="8"/>
  <c r="AS29" i="8"/>
  <c r="AR29" i="8"/>
  <c r="AQ29" i="8"/>
  <c r="AP29" i="8"/>
  <c r="AN29" i="8"/>
  <c r="AO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S29" i="8"/>
  <c r="Q29" i="8"/>
  <c r="T29" i="8"/>
  <c r="R29" i="8"/>
  <c r="P29" i="8"/>
  <c r="O29" i="8"/>
  <c r="N29" i="8"/>
  <c r="M29" i="8"/>
  <c r="L29" i="8"/>
  <c r="K29" i="8"/>
  <c r="H29" i="8"/>
  <c r="I29" i="8"/>
  <c r="J29" i="8"/>
  <c r="G29" i="8"/>
  <c r="F29" i="8"/>
  <c r="D29" i="8"/>
  <c r="E29" i="8"/>
  <c r="C29" i="8"/>
  <c r="B29" i="8"/>
  <c r="BD29" i="7" l="1"/>
  <c r="G20" i="10" s="1"/>
  <c r="BD29" i="8"/>
  <c r="BE29" i="8" s="1"/>
  <c r="F20" i="10" s="1"/>
  <c r="H20" i="10" s="1"/>
  <c r="BE29" i="5"/>
  <c r="D20" i="10" s="1"/>
  <c r="BE29" i="4"/>
  <c r="BF29" i="4" s="1"/>
  <c r="C20" i="10" s="1"/>
  <c r="E20" i="10" l="1"/>
  <c r="BD28" i="7"/>
  <c r="G19" i="10" s="1"/>
  <c r="BE28" i="8"/>
  <c r="F19" i="10" s="1"/>
  <c r="H19" i="10" l="1"/>
  <c r="BE28" i="5"/>
  <c r="BF28" i="5" s="1"/>
  <c r="D19" i="10" s="1"/>
  <c r="BE28" i="4"/>
  <c r="BF28" i="4" s="1"/>
  <c r="C19" i="10" s="1"/>
  <c r="E19" i="10" l="1"/>
  <c r="BD26" i="8"/>
  <c r="BE26" i="8" s="1"/>
  <c r="F17" i="10" s="1"/>
  <c r="BD26" i="7"/>
  <c r="G17" i="10" s="1"/>
  <c r="BE26" i="4"/>
  <c r="BF26" i="4" s="1"/>
  <c r="C17" i="10" s="1"/>
  <c r="BE26" i="5"/>
  <c r="BF26" i="5" s="1"/>
  <c r="D17" i="10" s="1"/>
  <c r="BE27" i="5"/>
  <c r="BF27" i="5" s="1"/>
  <c r="D18" i="10" s="1"/>
  <c r="BD27" i="7"/>
  <c r="G18" i="10" s="1"/>
  <c r="BD27" i="8"/>
  <c r="BE27" i="8" s="1"/>
  <c r="F18" i="10" s="1"/>
  <c r="H18" i="10" s="1"/>
  <c r="BE27" i="4"/>
  <c r="BF27" i="4" s="1"/>
  <c r="C18" i="10" s="1"/>
  <c r="BD25" i="8"/>
  <c r="BE25" i="8" s="1"/>
  <c r="F16" i="10" s="1"/>
  <c r="BD24" i="8"/>
  <c r="BE24" i="8" s="1"/>
  <c r="F15" i="10" s="1"/>
  <c r="BD23" i="8"/>
  <c r="BE23" i="8" s="1"/>
  <c r="F14" i="10" s="1"/>
  <c r="H14" i="10" s="1"/>
  <c r="BD22" i="8"/>
  <c r="BE22" i="8" s="1"/>
  <c r="F13" i="10" s="1"/>
  <c r="H13" i="10" s="1"/>
  <c r="BD21" i="8"/>
  <c r="BE21" i="8" s="1"/>
  <c r="F12" i="10" s="1"/>
  <c r="BD20" i="8"/>
  <c r="BE20" i="8" s="1"/>
  <c r="F11" i="10" s="1"/>
  <c r="BD19" i="8"/>
  <c r="BE19" i="8" s="1"/>
  <c r="F10" i="10" s="1"/>
  <c r="BD18" i="8"/>
  <c r="BE18" i="8" s="1"/>
  <c r="F9" i="10" s="1"/>
  <c r="BD17" i="8"/>
  <c r="BE17" i="8" s="1"/>
  <c r="F8" i="10" s="1"/>
  <c r="BD16" i="8"/>
  <c r="BE16" i="8" s="1"/>
  <c r="F7" i="10" s="1"/>
  <c r="BD15" i="8"/>
  <c r="BD14" i="8"/>
  <c r="BE14" i="8" s="1"/>
  <c r="F5" i="10" s="1"/>
  <c r="H5" i="10" s="1"/>
  <c r="BD13" i="8"/>
  <c r="BE13" i="8" s="1"/>
  <c r="F4" i="10" s="1"/>
  <c r="H4" i="10" s="1"/>
  <c r="BD25" i="7"/>
  <c r="G16" i="10" s="1"/>
  <c r="BD24" i="7"/>
  <c r="G15" i="10" s="1"/>
  <c r="BD23" i="7"/>
  <c r="G14" i="10" s="1"/>
  <c r="BD22" i="7"/>
  <c r="G13" i="10" s="1"/>
  <c r="BD21" i="7"/>
  <c r="G12" i="10" s="1"/>
  <c r="BD20" i="7"/>
  <c r="G11" i="10" s="1"/>
  <c r="BD19" i="7"/>
  <c r="G10" i="10" s="1"/>
  <c r="BD18" i="7"/>
  <c r="G9" i="10" s="1"/>
  <c r="BD17" i="7"/>
  <c r="G8" i="10" s="1"/>
  <c r="BD16" i="7"/>
  <c r="G7" i="10" s="1"/>
  <c r="BD15" i="7"/>
  <c r="G6" i="10" s="1"/>
  <c r="BD14" i="7"/>
  <c r="G5" i="10" s="1"/>
  <c r="BD13" i="7"/>
  <c r="G4" i="10" s="1"/>
  <c r="BE3" i="8"/>
  <c r="BE4" i="8"/>
  <c r="BE5" i="8"/>
  <c r="BE6" i="8"/>
  <c r="BE7" i="8"/>
  <c r="BE8" i="8"/>
  <c r="BE9" i="8"/>
  <c r="BE10" i="8"/>
  <c r="BE11" i="8"/>
  <c r="BE12" i="8"/>
  <c r="BE15" i="8"/>
  <c r="F6" i="10" s="1"/>
  <c r="H6" i="10" s="1"/>
  <c r="BE25" i="4"/>
  <c r="BF25" i="4" s="1"/>
  <c r="C16" i="10" s="1"/>
  <c r="BE24" i="4"/>
  <c r="BF24" i="4" s="1"/>
  <c r="C15" i="10" s="1"/>
  <c r="BE23" i="4"/>
  <c r="BF23" i="4" s="1"/>
  <c r="C14" i="10" s="1"/>
  <c r="BE22" i="4"/>
  <c r="BF22" i="4" s="1"/>
  <c r="C13" i="10" s="1"/>
  <c r="BE21" i="4"/>
  <c r="BF21" i="4" s="1"/>
  <c r="C12" i="10" s="1"/>
  <c r="BE20" i="4"/>
  <c r="BF20" i="4" s="1"/>
  <c r="C11" i="10" s="1"/>
  <c r="BE19" i="4"/>
  <c r="BF19" i="4" s="1"/>
  <c r="C10" i="10" s="1"/>
  <c r="BE18" i="4"/>
  <c r="BF18" i="4" s="1"/>
  <c r="C9" i="10" s="1"/>
  <c r="BE17" i="4"/>
  <c r="BF17" i="4" s="1"/>
  <c r="C8" i="10" s="1"/>
  <c r="BE16" i="4"/>
  <c r="BF16" i="4" s="1"/>
  <c r="C7" i="10" s="1"/>
  <c r="BE15" i="4"/>
  <c r="BF15" i="4" s="1"/>
  <c r="C6" i="10" s="1"/>
  <c r="BE14" i="4"/>
  <c r="BF14" i="4" s="1"/>
  <c r="C5" i="10" s="1"/>
  <c r="BE13" i="4"/>
  <c r="BF13" i="4" s="1"/>
  <c r="C4" i="10" s="1"/>
  <c r="BE12" i="4"/>
  <c r="BF12" i="4" s="1"/>
  <c r="BE11" i="4"/>
  <c r="BF11" i="4" s="1"/>
  <c r="BE10" i="4"/>
  <c r="BF10" i="4" s="1"/>
  <c r="BE9" i="4"/>
  <c r="BF9" i="4" s="1"/>
  <c r="BE8" i="4"/>
  <c r="BF8" i="4" s="1"/>
  <c r="BE7" i="4"/>
  <c r="BF7" i="4" s="1"/>
  <c r="BE6" i="4"/>
  <c r="BF6" i="4" s="1"/>
  <c r="BE5" i="4"/>
  <c r="BF5" i="4" s="1"/>
  <c r="BE4" i="4"/>
  <c r="BF4" i="4" s="1"/>
  <c r="BE3" i="4"/>
  <c r="BF3" i="4" s="1"/>
  <c r="BE3" i="5"/>
  <c r="BF3" i="5" s="1"/>
  <c r="BE4" i="5"/>
  <c r="BF4" i="5" s="1"/>
  <c r="BE5" i="5"/>
  <c r="BF5" i="5" s="1"/>
  <c r="BE6" i="5"/>
  <c r="BF6" i="5" s="1"/>
  <c r="BE7" i="5"/>
  <c r="BF7" i="5" s="1"/>
  <c r="BE8" i="5"/>
  <c r="BF8" i="5" s="1"/>
  <c r="BE9" i="5"/>
  <c r="BF9" i="5" s="1"/>
  <c r="BE10" i="5"/>
  <c r="BF10" i="5" s="1"/>
  <c r="BE11" i="5"/>
  <c r="BF11" i="5" s="1"/>
  <c r="BE12" i="5"/>
  <c r="BF12" i="5" s="1"/>
  <c r="BE13" i="5"/>
  <c r="BF13" i="5" s="1"/>
  <c r="D4" i="10" s="1"/>
  <c r="BE14" i="5"/>
  <c r="BF14" i="5" s="1"/>
  <c r="D5" i="10" s="1"/>
  <c r="BE15" i="5"/>
  <c r="BF15" i="5" s="1"/>
  <c r="D6" i="10" s="1"/>
  <c r="BE16" i="5"/>
  <c r="BF16" i="5" s="1"/>
  <c r="D7" i="10" s="1"/>
  <c r="BE17" i="5"/>
  <c r="BF17" i="5" s="1"/>
  <c r="D8" i="10" s="1"/>
  <c r="BE18" i="5"/>
  <c r="BF18" i="5" s="1"/>
  <c r="D9" i="10" s="1"/>
  <c r="BE19" i="5"/>
  <c r="BF19" i="5" s="1"/>
  <c r="D10" i="10" s="1"/>
  <c r="BE20" i="5"/>
  <c r="BF20" i="5" s="1"/>
  <c r="D11" i="10" s="1"/>
  <c r="BE21" i="5"/>
  <c r="BF21" i="5" s="1"/>
  <c r="D12" i="10" s="1"/>
  <c r="BE22" i="5"/>
  <c r="BF22" i="5" s="1"/>
  <c r="D13" i="10" s="1"/>
  <c r="BE23" i="5"/>
  <c r="BF23" i="5" s="1"/>
  <c r="D14" i="10" s="1"/>
  <c r="BE24" i="5"/>
  <c r="BF24" i="5" s="1"/>
  <c r="D15" i="10" s="1"/>
  <c r="BE25" i="5"/>
  <c r="BF25" i="5" s="1"/>
  <c r="D16" i="10" s="1"/>
  <c r="H10" i="10" l="1"/>
  <c r="H11" i="10"/>
  <c r="H12" i="10"/>
  <c r="H7" i="10"/>
  <c r="H8" i="10"/>
  <c r="H16" i="10"/>
  <c r="H17" i="10"/>
  <c r="H15" i="10"/>
  <c r="H9" i="10"/>
  <c r="E11" i="10"/>
  <c r="E17" i="10"/>
  <c r="E5" i="10"/>
  <c r="E12" i="10"/>
  <c r="E18" i="10"/>
  <c r="E4" i="10"/>
  <c r="E10" i="10"/>
  <c r="E14" i="10"/>
  <c r="E6" i="10"/>
  <c r="E9" i="10"/>
  <c r="E8" i="10"/>
  <c r="E13" i="10"/>
  <c r="E16" i="10"/>
  <c r="E15" i="10"/>
  <c r="E7" i="10"/>
</calcChain>
</file>

<file path=xl/sharedStrings.xml><?xml version="1.0" encoding="utf-8"?>
<sst xmlns="http://schemas.openxmlformats.org/spreadsheetml/2006/main" count="256" uniqueCount="80">
  <si>
    <t>Algeria</t>
  </si>
  <si>
    <t>Angola</t>
  </si>
  <si>
    <t>Benin</t>
  </si>
  <si>
    <t>Botswana</t>
  </si>
  <si>
    <t>Burkina Faso</t>
  </si>
  <si>
    <t>Burundi</t>
  </si>
  <si>
    <t>Cameroon</t>
  </si>
  <si>
    <t>Chad</t>
  </si>
  <si>
    <t>Comoros</t>
  </si>
  <si>
    <t>Djibouti</t>
  </si>
  <si>
    <t>Egypt</t>
  </si>
  <si>
    <t>Equatorial Guinea</t>
  </si>
  <si>
    <t>Eritrea</t>
  </si>
  <si>
    <t>Ethiopia</t>
  </si>
  <si>
    <t>Gabon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</si>
  <si>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</si>
  <si>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</si>
  <si>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</si>
  <si>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</si>
  <si>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</si>
  <si>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</si>
  <si>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</si>
  <si>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</si>
  <si>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</si>
  <si>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</si>
  <si>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</si>
  <si>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</si>
  <si>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</si>
  <si>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</si>
  <si>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</si>
  <si>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</si>
  <si>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</si>
  <si>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</si>
  <si>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</si>
  <si>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</si>
  <si>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</si>
  <si>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</si>
  <si>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</si>
  <si>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</si>
  <si>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Togo</t>
  </si>
  <si>
    <t>Tunisia</t>
  </si>
  <si>
    <t>Uganda</t>
  </si>
  <si>
    <t>Zambia</t>
  </si>
  <si>
    <t>Zimbabwe</t>
  </si>
  <si>
    <t>Cabo Verde</t>
  </si>
  <si>
    <t>Central African Rep.</t>
  </si>
  <si>
    <t>Congo</t>
  </si>
  <si>
    <t>Dem. Rep. of the Congo</t>
  </si>
  <si>
    <t>Fmr Sudan</t>
  </si>
  <si>
    <t>Gambia</t>
  </si>
  <si>
    <t>United Rep. of Tanzania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</si>
  <si>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China-Africa Research Initiative</t>
    </r>
  </si>
  <si>
    <t>Total, US$ mn</t>
  </si>
  <si>
    <t>Total, US$ bn</t>
  </si>
  <si>
    <t>US$ mn unadjusted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</si>
  <si>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are as reported by China.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</si>
  <si>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are as reported by the US.</t>
    </r>
  </si>
  <si>
    <t>Ghana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</si>
  <si>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China-Africa Research Initiative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</si>
  <si>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are as reported by the US.</t>
    </r>
  </si>
  <si>
    <t>Cote d'Ivoire</t>
  </si>
  <si>
    <t>Eswatini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</si>
  <si>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are as reported by China, except for South Africa. </t>
    </r>
  </si>
  <si>
    <t>CN_ExtoAfr</t>
  </si>
  <si>
    <t>CN_IMfromAfr</t>
  </si>
  <si>
    <t>US_EXtoAfr</t>
  </si>
  <si>
    <t>US_IMfromAfr</t>
  </si>
  <si>
    <t>China</t>
  </si>
  <si>
    <t>U.S.</t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</si>
  <si>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US' imports from African Countries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</si>
  <si>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US' exports to African Countries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</si>
  <si>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China's imports from African Countries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</si>
  <si>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China's exports to African Countries</t>
    </r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</si>
  <si>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UNComtrade data from 1992-2020, http://comtrade.un.org/data/</t>
    </r>
  </si>
  <si>
    <t>China's Exports to Africa</t>
  </si>
  <si>
    <t>Eswatni</t>
  </si>
  <si>
    <t>China's Imports  from Africa</t>
  </si>
  <si>
    <t>US' Exports to Africa</t>
  </si>
  <si>
    <t>US' Imports from Africa</t>
  </si>
  <si>
    <r>
      <rPr>
        <b/>
        <sz val="11"/>
        <color rgb="FF000000"/>
        <rFont val="Calibri"/>
        <family val="2"/>
        <scheme val="minor"/>
      </rPr>
      <t>Updated:</t>
    </r>
    <r>
      <rPr>
        <sz val="11"/>
        <color rgb="FF000000"/>
        <rFont val="Calibri"/>
        <family val="2"/>
        <scheme val="minor"/>
      </rPr>
      <t xml:space="preserve"> 10 Jan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</si>
</sst>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43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" fontId="0" fillId="3" borderId="0" xfId="0" applyNumberFormat="1" applyFill="1"/>
    <xf numFmtId="43" fontId="0" fillId="0" borderId="0" xfId="0" applyNumberFormat="1"/>
    <xf numFmtId="0" fontId="2" fillId="0" borderId="0" xfId="0" applyFont="1" applyAlignment="1">
      <alignment horizontal="left" vertical="top"/>
    </xf>
    <xf numFmtId="1" fontId="0" fillId="0" borderId="0" xfId="0" applyNumberFormat="1"/>
    <xf numFmtId="2" fontId="0" fillId="0" borderId="0" xfId="0" applyNumberFormat="1" applyFill="1"/>
    <xf numFmtId="0" fontId="0" fillId="0" borderId="0" xfId="0" applyFont="1" applyAlignment="1">
      <alignment horizontal="center" wrapText="1"/>
    </xf>
    <xf numFmtId="2" fontId="0" fillId="2" borderId="0" xfId="0" applyNumberFormat="1" applyFill="1" applyAlignment="1"/>
    <xf numFmtId="0" fontId="0" fillId="2" borderId="0" xfId="0" applyFill="1" applyAlignment="1"/>
    <xf numFmtId="0" fontId="0" fillId="3" borderId="0" xfId="0" applyNumberFormat="1" applyFill="1"/>
    <xf numFmtId="1" fontId="0" fillId="0" borderId="0" xfId="1" applyNumberFormat="1" applyFont="1"/>
    <xf numFmtId="3" fontId="6" fillId="0" borderId="0" xfId="0" applyNumberFormat="1" applyFont="1"/>
    <xf numFmtId="0" fontId="0" fillId="0" borderId="0" xfId="0" applyFont="1"/>
    <xf numFmtId="2" fontId="0" fillId="2" borderId="0" xfId="0" applyNumberFormat="1" applyFont="1" applyFill="1"/>
    <xf numFmtId="0" fontId="0" fillId="2" borderId="0" xfId="0" applyFont="1" applyFill="1"/>
    <xf numFmtId="1" fontId="0" fillId="3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2" fontId="8" fillId="0" borderId="0" xfId="0" applyNumberFormat="1" applyFont="1" applyFill="1"/>
    <xf numFmtId="0" fontId="0" fillId="0" borderId="0" xfId="0" applyFill="1"/>
    <xf numFmtId="0" fontId="9" fillId="0" borderId="0" xfId="0" applyFont="1"/>
    <xf numFmtId="2" fontId="7" fillId="0" borderId="0" xfId="0" applyNumberFormat="1" applyFont="1"/>
    <xf numFmtId="2" fontId="0" fillId="0" borderId="0" xfId="1" applyNumberFormat="1" applyFont="1"/>
    <xf numFmtId="0" fontId="10" fillId="0" borderId="0" xfId="0" applyFont="1"/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China-Africa Trade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106717632922"/>
          <c:y val="0.14612720407338101"/>
          <c:w val="0.853231230999556"/>
          <c:h val="0.49432125161900498"/>
        </c:manualLayout>
      </c:layout>
      <c:barChart>
        <c:barDir val="col"/>
        <c:grouping val="stacked"/>
        <c:varyColors val="0"/>
        <c:ser>
          <c:idx val="0"/>
          <c:order val="0"/>
          <c:tx>
            <c:v>China's Exports to Africa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CN_EXtoAfr!$A$13:$A$31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 formatCode="General">
                  <c:v>2016</c:v>
                </c:pt>
                <c:pt idx="15" formatCode="General">
                  <c:v>2017</c:v>
                </c:pt>
                <c:pt idx="16" formatCode="General">
                  <c:v>2018</c:v>
                </c:pt>
                <c:pt idx="17" formatCode="General">
                  <c:v>2019</c:v>
                </c:pt>
                <c:pt idx="18" formatCode="General">
                  <c:v>2020</c:v>
                </c:pt>
              </c:numCache>
            </c:numRef>
          </c:cat>
          <c:val>
            <c:numRef>
              <c:f>CN_EXtoAfr!$BF$13:$BF$31</c:f>
              <c:numCache>
                <c:formatCode>0.00</c:formatCode>
                <c:ptCount val="19"/>
                <c:pt idx="0">
                  <c:v>6.9183668059999999</c:v>
                </c:pt>
                <c:pt idx="1">
                  <c:v>10.124757425999999</c:v>
                </c:pt>
                <c:pt idx="2">
                  <c:v>13.729951398000001</c:v>
                </c:pt>
                <c:pt idx="3">
                  <c:v>18.602937492000002</c:v>
                </c:pt>
                <c:pt idx="4">
                  <c:v>26.583923198000001</c:v>
                </c:pt>
                <c:pt idx="5">
                  <c:v>37.373321356999995</c:v>
                </c:pt>
                <c:pt idx="6">
                  <c:v>51.089012848999992</c:v>
                </c:pt>
                <c:pt idx="7">
                  <c:v>47.635111853000005</c:v>
                </c:pt>
                <c:pt idx="8">
                  <c:v>59.807449502000011</c:v>
                </c:pt>
                <c:pt idx="9">
                  <c:v>72.919404177999994</c:v>
                </c:pt>
                <c:pt idx="10">
                  <c:v>85.133662458000003</c:v>
                </c:pt>
                <c:pt idx="11">
                  <c:v>92.570973493000011</c:v>
                </c:pt>
                <c:pt idx="12">
                  <c:v>105.83283956700002</c:v>
                </c:pt>
                <c:pt idx="13">
                  <c:v>155.695568528</c:v>
                </c:pt>
                <c:pt idx="14">
                  <c:v>91.98460941099998</c:v>
                </c:pt>
                <c:pt idx="15">
                  <c:v>94.499205151000027</c:v>
                </c:pt>
                <c:pt idx="16">
                  <c:v>104.94932920999997</c:v>
                </c:pt>
                <c:pt idx="17">
                  <c:v>113.050926844</c:v>
                </c:pt>
                <c:pt idx="18">
                  <c:v>113.96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664E-BE1C-816FE7F6BAE5}"/>
            </c:ext>
          </c:extLst>
        </c:ser>
        <c:ser>
          <c:idx val="1"/>
          <c:order val="1"/>
          <c:tx>
            <c:v>China's Imports from Africa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CN_EXtoAfr!$A$13:$A$31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 formatCode="General">
                  <c:v>2016</c:v>
                </c:pt>
                <c:pt idx="15" formatCode="General">
                  <c:v>2017</c:v>
                </c:pt>
                <c:pt idx="16" formatCode="General">
                  <c:v>2018</c:v>
                </c:pt>
                <c:pt idx="17" formatCode="General">
                  <c:v>2019</c:v>
                </c:pt>
                <c:pt idx="18" formatCode="General">
                  <c:v>2020</c:v>
                </c:pt>
              </c:numCache>
            </c:numRef>
          </c:cat>
          <c:val>
            <c:numRef>
              <c:f>CN_IMfromAfr!$BF$13:$BF$31</c:f>
              <c:numCache>
                <c:formatCode>_(* #,##0.00_);_(* \(#,##0.00\);_(* "-"??_);_(@_)</c:formatCode>
                <c:ptCount val="19"/>
                <c:pt idx="0">
                  <c:v>4.6085722009999994</c:v>
                </c:pt>
                <c:pt idx="1">
                  <c:v>7.4090898060000008</c:v>
                </c:pt>
                <c:pt idx="2">
                  <c:v>13.740248387999998</c:v>
                </c:pt>
                <c:pt idx="3">
                  <c:v>18.987397887000004</c:v>
                </c:pt>
                <c:pt idx="4">
                  <c:v>26.794386185000004</c:v>
                </c:pt>
                <c:pt idx="5">
                  <c:v>33.911457941000009</c:v>
                </c:pt>
                <c:pt idx="6">
                  <c:v>51.041505591000004</c:v>
                </c:pt>
                <c:pt idx="7">
                  <c:v>40.306929375000003</c:v>
                </c:pt>
                <c:pt idx="8">
                  <c:v>60.265668944999987</c:v>
                </c:pt>
                <c:pt idx="9">
                  <c:v>73.634160812999994</c:v>
                </c:pt>
                <c:pt idx="10">
                  <c:v>78.911070711999983</c:v>
                </c:pt>
                <c:pt idx="11">
                  <c:v>81.113188070000007</c:v>
                </c:pt>
                <c:pt idx="12">
                  <c:v>79.85853041</c:v>
                </c:pt>
                <c:pt idx="13">
                  <c:v>47.526793441999992</c:v>
                </c:pt>
                <c:pt idx="14">
                  <c:v>41.273033181999999</c:v>
                </c:pt>
                <c:pt idx="15">
                  <c:v>60.210006954999997</c:v>
                </c:pt>
                <c:pt idx="16">
                  <c:v>80.336631790000013</c:v>
                </c:pt>
                <c:pt idx="17">
                  <c:v>78.683315053000001</c:v>
                </c:pt>
                <c:pt idx="18">
                  <c:v>61.948528267000015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2-664E-BE1C-816FE7F6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680008"/>
        <c:axId val="2094698712"/>
      </c:barChart>
      <c:catAx>
        <c:axId val="2094680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4698712"/>
        <c:crosses val="autoZero"/>
        <c:auto val="1"/>
        <c:lblAlgn val="ctr"/>
        <c:lblOffset val="100"/>
        <c:noMultiLvlLbl val="0"/>
      </c:catAx>
      <c:valAx>
        <c:axId val="209469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4680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65802329144289"/>
          <c:y val="0.72817088464464097"/>
          <c:w val="0.65453052116441202"/>
          <c:h val="6.295183076005840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US-Africa Trade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106717632922"/>
          <c:y val="0.14612720407338101"/>
          <c:w val="0.853231230999556"/>
          <c:h val="0.49432125161900498"/>
        </c:manualLayout>
      </c:layout>
      <c:barChart>
        <c:barDir val="col"/>
        <c:grouping val="stacked"/>
        <c:varyColors val="0"/>
        <c:ser>
          <c:idx val="0"/>
          <c:order val="0"/>
          <c:tx>
            <c:v>US' Exports to Africa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US_EXtoAfr!$A$13:$A$31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US_EXtoAfr!$BE$13:$BE$31</c:f>
              <c:numCache>
                <c:formatCode>0.00</c:formatCode>
                <c:ptCount val="19"/>
                <c:pt idx="0">
                  <c:v>10.457323900999999</c:v>
                </c:pt>
                <c:pt idx="1">
                  <c:v>10.456988415</c:v>
                </c:pt>
                <c:pt idx="2">
                  <c:v>13.152941265000003</c:v>
                </c:pt>
                <c:pt idx="3">
                  <c:v>15.169002661999997</c:v>
                </c:pt>
                <c:pt idx="4">
                  <c:v>18.702166251999991</c:v>
                </c:pt>
                <c:pt idx="5">
                  <c:v>23.229221194000001</c:v>
                </c:pt>
                <c:pt idx="6">
                  <c:v>28.010376952999991</c:v>
                </c:pt>
                <c:pt idx="7">
                  <c:v>23.630108908</c:v>
                </c:pt>
                <c:pt idx="8">
                  <c:v>27.330482426</c:v>
                </c:pt>
                <c:pt idx="9">
                  <c:v>31.512678058000002</c:v>
                </c:pt>
                <c:pt idx="10">
                  <c:v>31.374984649000009</c:v>
                </c:pt>
                <c:pt idx="11">
                  <c:v>34.237093526999999</c:v>
                </c:pt>
                <c:pt idx="12">
                  <c:v>36.853947120999997</c:v>
                </c:pt>
                <c:pt idx="13">
                  <c:v>25.892965935999992</c:v>
                </c:pt>
                <c:pt idx="14">
                  <c:v>20.979940000000003</c:v>
                </c:pt>
                <c:pt idx="15">
                  <c:v>21.149340895999995</c:v>
                </c:pt>
                <c:pt idx="16">
                  <c:v>25.260854671000001</c:v>
                </c:pt>
                <c:pt idx="17">
                  <c:v>25.728483368000003</c:v>
                </c:pt>
                <c:pt idx="18">
                  <c:v>21.290105936999996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5647-9788-62B5BBA4C334}"/>
            </c:ext>
          </c:extLst>
        </c:ser>
        <c:ser>
          <c:idx val="1"/>
          <c:order val="1"/>
          <c:tx>
            <c:v>US' Imports from Africa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US_EXtoAfr!$A$13:$A$31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US_IMfromAfr!$BE$13:$BE$31</c:f>
              <c:numCache>
                <c:formatCode>0.00</c:formatCode>
                <c:ptCount val="19"/>
                <c:pt idx="0">
                  <c:v>10.079456648999995</c:v>
                </c:pt>
                <c:pt idx="1">
                  <c:v>15.566008846000001</c:v>
                </c:pt>
                <c:pt idx="2">
                  <c:v>23.149427726000006</c:v>
                </c:pt>
                <c:pt idx="3">
                  <c:v>33.577293977999993</c:v>
                </c:pt>
                <c:pt idx="4">
                  <c:v>45.842833575</c:v>
                </c:pt>
                <c:pt idx="5">
                  <c:v>53.515591156000042</c:v>
                </c:pt>
                <c:pt idx="6">
                  <c:v>72.06819359699999</c:v>
                </c:pt>
                <c:pt idx="7">
                  <c:v>48.341724368999991</c:v>
                </c:pt>
                <c:pt idx="8">
                  <c:v>70.041227233000029</c:v>
                </c:pt>
                <c:pt idx="9">
                  <c:v>94.573093480000011</c:v>
                </c:pt>
                <c:pt idx="10">
                  <c:v>96.571633462999998</c:v>
                </c:pt>
                <c:pt idx="11">
                  <c:v>95.698216699999961</c:v>
                </c:pt>
                <c:pt idx="12">
                  <c:v>92.148198226000005</c:v>
                </c:pt>
                <c:pt idx="13">
                  <c:v>25.928285205000002</c:v>
                </c:pt>
                <c:pt idx="14">
                  <c:v>27.207155999999998</c:v>
                </c:pt>
                <c:pt idx="15">
                  <c:v>33.726066965000001</c:v>
                </c:pt>
                <c:pt idx="16">
                  <c:v>36.216944090000005</c:v>
                </c:pt>
                <c:pt idx="17">
                  <c:v>30.227512464000011</c:v>
                </c:pt>
                <c:pt idx="18">
                  <c:v>23.530297340000001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5647-9788-62B5BBA4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469224"/>
        <c:axId val="2122831656"/>
      </c:barChart>
      <c:catAx>
        <c:axId val="2122469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22831656"/>
        <c:crosses val="autoZero"/>
        <c:auto val="1"/>
        <c:lblAlgn val="ctr"/>
        <c:lblOffset val="100"/>
        <c:noMultiLvlLbl val="0"/>
      </c:catAx>
      <c:valAx>
        <c:axId val="2122831656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22469224"/>
        <c:crosses val="autoZero"/>
        <c:crossBetween val="between"/>
        <c:majorUnit val="50"/>
      </c:valAx>
    </c:plotArea>
    <c:legend>
      <c:legendPos val="b"/>
      <c:layout>
        <c:manualLayout>
          <c:xMode val="edge"/>
          <c:yMode val="edge"/>
          <c:x val="0.165802329144289"/>
          <c:y val="0.72817088464464197"/>
          <c:w val="0.65453052116441202"/>
          <c:h val="6.295183076005840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U.S.-Africa trade vs. China-Africa</a:t>
            </a:r>
            <a:r>
              <a:rPr lang="en-US" baseline="0"/>
              <a:t> Trade (USD bn)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65846036670738E-2"/>
          <c:y val="0.12611731843575419"/>
          <c:w val="0.81699893540093205"/>
          <c:h val="0.4619560712805636"/>
        </c:manualLayout>
      </c:layout>
      <c:lineChart>
        <c:grouping val="standard"/>
        <c:varyColors val="0"/>
        <c:ser>
          <c:idx val="2"/>
          <c:order val="2"/>
          <c:tx>
            <c:strRef>
              <c:f>'Graphs 2'!$E$3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'Graphs 2'!$B$4:$B$22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 formatCode="General">
                  <c:v>2016</c:v>
                </c:pt>
                <c:pt idx="15" formatCode="General">
                  <c:v>2017</c:v>
                </c:pt>
                <c:pt idx="16" formatCode="General">
                  <c:v>2018</c:v>
                </c:pt>
                <c:pt idx="17" formatCode="General">
                  <c:v>2019</c:v>
                </c:pt>
                <c:pt idx="18" formatCode="General">
                  <c:v>2020</c:v>
                </c:pt>
              </c:numCache>
            </c:numRef>
          </c:cat>
          <c:val>
            <c:numRef>
              <c:f>'Graphs 2'!$E$4:$E$22</c:f>
              <c:numCache>
                <c:formatCode>0</c:formatCode>
                <c:ptCount val="19"/>
                <c:pt idx="0">
                  <c:v>11.526939006999999</c:v>
                </c:pt>
                <c:pt idx="1">
                  <c:v>17.533847231999999</c:v>
                </c:pt>
                <c:pt idx="2">
                  <c:v>27.470199785999998</c:v>
                </c:pt>
                <c:pt idx="3">
                  <c:v>37.59033537900001</c:v>
                </c:pt>
                <c:pt idx="4">
                  <c:v>53.378309383000001</c:v>
                </c:pt>
                <c:pt idx="5">
                  <c:v>71.284779298000004</c:v>
                </c:pt>
                <c:pt idx="6">
                  <c:v>102.13051844</c:v>
                </c:pt>
                <c:pt idx="7">
                  <c:v>87.942041228000008</c:v>
                </c:pt>
                <c:pt idx="8">
                  <c:v>120.073118447</c:v>
                </c:pt>
                <c:pt idx="9">
                  <c:v>146.55356499099997</c:v>
                </c:pt>
                <c:pt idx="10">
                  <c:v>164.04473316999997</c:v>
                </c:pt>
                <c:pt idx="11">
                  <c:v>173.68416156300003</c:v>
                </c:pt>
                <c:pt idx="12">
                  <c:v>185.69136997700002</c:v>
                </c:pt>
                <c:pt idx="13">
                  <c:v>203.22236196999998</c:v>
                </c:pt>
                <c:pt idx="14">
                  <c:v>133.25764259299999</c:v>
                </c:pt>
                <c:pt idx="15">
                  <c:v>154.70921210600002</c:v>
                </c:pt>
                <c:pt idx="16">
                  <c:v>185.28596099999999</c:v>
                </c:pt>
                <c:pt idx="17">
                  <c:v>191.734241897</c:v>
                </c:pt>
                <c:pt idx="18">
                  <c:v>175.90852826700001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4-4939-83DB-C766FB31448C}"/>
            </c:ext>
          </c:extLst>
        </c:ser>
        <c:ser>
          <c:idx val="5"/>
          <c:order val="5"/>
          <c:tx>
            <c:strRef>
              <c:f>'Graphs 2'!$H$3</c:f>
              <c:strCache>
                <c:ptCount val="1"/>
                <c:pt idx="0">
                  <c:v>U.S.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'Graphs 2'!$B$4:$B$22</c:f>
              <c:numCache>
                <c:formatCode>0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 formatCode="General">
                  <c:v>2016</c:v>
                </c:pt>
                <c:pt idx="15" formatCode="General">
                  <c:v>2017</c:v>
                </c:pt>
                <c:pt idx="16" formatCode="General">
                  <c:v>2018</c:v>
                </c:pt>
                <c:pt idx="17" formatCode="General">
                  <c:v>2019</c:v>
                </c:pt>
                <c:pt idx="18" formatCode="General">
                  <c:v>2020</c:v>
                </c:pt>
              </c:numCache>
            </c:numRef>
          </c:cat>
          <c:val>
            <c:numRef>
              <c:f>'Graphs 2'!$H$4:$H$22</c:f>
              <c:numCache>
                <c:formatCode>0</c:formatCode>
                <c:ptCount val="19"/>
                <c:pt idx="0">
                  <c:v>20.536780549999996</c:v>
                </c:pt>
                <c:pt idx="1">
                  <c:v>26.022997261</c:v>
                </c:pt>
                <c:pt idx="2">
                  <c:v>36.302368991000009</c:v>
                </c:pt>
                <c:pt idx="3">
                  <c:v>48.74629663999999</c:v>
                </c:pt>
                <c:pt idx="4">
                  <c:v>64.544999826999998</c:v>
                </c:pt>
                <c:pt idx="5">
                  <c:v>76.744812350000046</c:v>
                </c:pt>
                <c:pt idx="6">
                  <c:v>100.07857054999998</c:v>
                </c:pt>
                <c:pt idx="7">
                  <c:v>71.971833276999988</c:v>
                </c:pt>
                <c:pt idx="8">
                  <c:v>97.371709659000032</c:v>
                </c:pt>
                <c:pt idx="9">
                  <c:v>126.08577153800002</c:v>
                </c:pt>
                <c:pt idx="10">
                  <c:v>127.94661811200001</c:v>
                </c:pt>
                <c:pt idx="11">
                  <c:v>129.93531022699995</c:v>
                </c:pt>
                <c:pt idx="12">
                  <c:v>129.00214534700001</c:v>
                </c:pt>
                <c:pt idx="13">
                  <c:v>51.821251140999991</c:v>
                </c:pt>
                <c:pt idx="14">
                  <c:v>48.187095999999997</c:v>
                </c:pt>
                <c:pt idx="15">
                  <c:v>54.875407860999999</c:v>
                </c:pt>
                <c:pt idx="16">
                  <c:v>61.477798761000003</c:v>
                </c:pt>
                <c:pt idx="17">
                  <c:v>55.955995832000013</c:v>
                </c:pt>
                <c:pt idx="18">
                  <c:v>44.820403276999997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4-4939-83DB-C766FB31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98528"/>
        <c:axId val="75620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'Graphs 2'!$C$3</c15:sqref>
                        </c15:formulaRef>
                      </c:ext>
                    </c:extLst>
                    <c:strCache>
                      <c:ptCount val="1"/>
                      <c:pt idx="0">
                        <c:v>CN_ExtoAfr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'Graphs 2'!$B$4:$B$22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 formatCode="General">
                        <c:v>2016</c:v>
                      </c:pt>
                      <c:pt idx="15" formatCode="General">
                        <c:v>2017</c:v>
                      </c:pt>
                      <c:pt idx="16" formatCode="General">
                        <c:v>2018</c:v>
                      </c:pt>
                      <c:pt idx="17" formatCode="General">
                        <c:v>2019</c:v>
                      </c:pt>
                      <c:pt idx="18" formatCode="General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'Graphs 2'!$C$4:$C$22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6.9183668059999999</c:v>
                      </c:pt>
                      <c:pt idx="1">
                        <c:v>10.124757425999999</c:v>
                      </c:pt>
                      <c:pt idx="2">
                        <c:v>13.729951398000001</c:v>
                      </c:pt>
                      <c:pt idx="3">
                        <c:v>18.602937492000002</c:v>
                      </c:pt>
                      <c:pt idx="4">
                        <c:v>26.583923198000001</c:v>
                      </c:pt>
                      <c:pt idx="5">
                        <c:v>37.373321356999995</c:v>
                      </c:pt>
                      <c:pt idx="6">
                        <c:v>51.089012848999992</c:v>
                      </c:pt>
                      <c:pt idx="7">
                        <c:v>47.635111853000005</c:v>
                      </c:pt>
                      <c:pt idx="8">
                        <c:v>59.807449502000011</c:v>
                      </c:pt>
                      <c:pt idx="9">
                        <c:v>72.919404177999994</c:v>
                      </c:pt>
                      <c:pt idx="10">
                        <c:v>85.133662458000003</c:v>
                      </c:pt>
                      <c:pt idx="11">
                        <c:v>92.570973493000011</c:v>
                      </c:pt>
                      <c:pt idx="12">
                        <c:v>105.83283956700002</c:v>
                      </c:pt>
                      <c:pt idx="13">
                        <c:v>155.695568528</c:v>
                      </c:pt>
                      <c:pt idx="14">
                        <c:v>91.98460941099998</c:v>
                      </c:pt>
                      <c:pt idx="15">
                        <c:v>94.499205151000027</c:v>
                      </c:pt>
                      <c:pt idx="16">
                        <c:v>104.94932920999997</c:v>
                      </c:pt>
                      <c:pt idx="17">
                        <c:v>113.050926844</c:v>
                      </c:pt>
                      <c:pt idx="18">
                        <c:v>113.96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04-4939-83DB-C766FB3144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2'!$D$3</c15:sqref>
                        </c15:formulaRef>
                      </c:ext>
                    </c:extLst>
                    <c:strCache>
                      <c:ptCount val="1"/>
                      <c:pt idx="0">
                        <c:v>CN_IMfromAfr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2'!$B$4:$B$22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 formatCode="General">
                        <c:v>2016</c:v>
                      </c:pt>
                      <c:pt idx="15" formatCode="General">
                        <c:v>2017</c:v>
                      </c:pt>
                      <c:pt idx="16" formatCode="General">
                        <c:v>2018</c:v>
                      </c:pt>
                      <c:pt idx="17" formatCode="General">
                        <c:v>2019</c:v>
                      </c:pt>
                      <c:pt idx="18" formatCode="General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2'!$D$4:$D$22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4.6085722009999994</c:v>
                      </c:pt>
                      <c:pt idx="1">
                        <c:v>7.4090898060000008</c:v>
                      </c:pt>
                      <c:pt idx="2">
                        <c:v>13.740248387999998</c:v>
                      </c:pt>
                      <c:pt idx="3">
                        <c:v>18.987397887000004</c:v>
                      </c:pt>
                      <c:pt idx="4">
                        <c:v>26.794386185000004</c:v>
                      </c:pt>
                      <c:pt idx="5">
                        <c:v>33.911457941000009</c:v>
                      </c:pt>
                      <c:pt idx="6">
                        <c:v>51.041505591000004</c:v>
                      </c:pt>
                      <c:pt idx="7">
                        <c:v>40.306929375000003</c:v>
                      </c:pt>
                      <c:pt idx="8">
                        <c:v>60.265668944999987</c:v>
                      </c:pt>
                      <c:pt idx="9">
                        <c:v>73.634160812999994</c:v>
                      </c:pt>
                      <c:pt idx="10">
                        <c:v>78.911070711999983</c:v>
                      </c:pt>
                      <c:pt idx="11">
                        <c:v>81.113188070000007</c:v>
                      </c:pt>
                      <c:pt idx="12">
                        <c:v>79.85853041</c:v>
                      </c:pt>
                      <c:pt idx="13">
                        <c:v>47.526793441999992</c:v>
                      </c:pt>
                      <c:pt idx="14">
                        <c:v>41.273033181999999</c:v>
                      </c:pt>
                      <c:pt idx="15">
                        <c:v>60.210006954999997</c:v>
                      </c:pt>
                      <c:pt idx="16">
                        <c:v>80.336631790000013</c:v>
                      </c:pt>
                      <c:pt idx="17">
                        <c:v>78.683315053000001</c:v>
                      </c:pt>
                      <c:pt idx="18">
                        <c:v>61.948528267000015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04-4939-83DB-C766FB3144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2'!$F$3</c15:sqref>
                        </c15:formulaRef>
                      </c:ext>
                    </c:extLst>
                    <c:strCache>
                      <c:ptCount val="1"/>
                      <c:pt idx="0">
                        <c:v>US_EXtoAfr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2'!$B$4:$B$22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 formatCode="General">
                        <c:v>2016</c:v>
                      </c:pt>
                      <c:pt idx="15" formatCode="General">
                        <c:v>2017</c:v>
                      </c:pt>
                      <c:pt idx="16" formatCode="General">
                        <c:v>2018</c:v>
                      </c:pt>
                      <c:pt idx="17" formatCode="General">
                        <c:v>2019</c:v>
                      </c:pt>
                      <c:pt idx="18" formatCode="General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2'!$F$4:$F$22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10.457323900999999</c:v>
                      </c:pt>
                      <c:pt idx="1">
                        <c:v>10.456988415</c:v>
                      </c:pt>
                      <c:pt idx="2">
                        <c:v>13.152941265000003</c:v>
                      </c:pt>
                      <c:pt idx="3">
                        <c:v>15.169002661999997</c:v>
                      </c:pt>
                      <c:pt idx="4">
                        <c:v>18.702166251999991</c:v>
                      </c:pt>
                      <c:pt idx="5">
                        <c:v>23.229221194000001</c:v>
                      </c:pt>
                      <c:pt idx="6">
                        <c:v>28.010376952999991</c:v>
                      </c:pt>
                      <c:pt idx="7">
                        <c:v>23.630108908</c:v>
                      </c:pt>
                      <c:pt idx="8">
                        <c:v>27.330482426</c:v>
                      </c:pt>
                      <c:pt idx="9">
                        <c:v>31.512678058000002</c:v>
                      </c:pt>
                      <c:pt idx="10">
                        <c:v>31.374984649000009</c:v>
                      </c:pt>
                      <c:pt idx="11">
                        <c:v>34.237093526999999</c:v>
                      </c:pt>
                      <c:pt idx="12">
                        <c:v>36.853947120999997</c:v>
                      </c:pt>
                      <c:pt idx="13">
                        <c:v>25.892965935999992</c:v>
                      </c:pt>
                      <c:pt idx="14">
                        <c:v>20.979940000000003</c:v>
                      </c:pt>
                      <c:pt idx="15">
                        <c:v>21.149340895999995</c:v>
                      </c:pt>
                      <c:pt idx="16">
                        <c:v>25.260854671000001</c:v>
                      </c:pt>
                      <c:pt idx="17">
                        <c:v>25.728483368000003</c:v>
                      </c:pt>
                      <c:pt idx="18">
                        <c:v>21.290105936999996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04-4939-83DB-C766FB3144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2'!$G$3</c15:sqref>
                        </c15:formulaRef>
                      </c:ext>
                    </c:extLst>
                    <c:strCache>
                      <c:ptCount val="1"/>
                      <c:pt idx="0">
                        <c:v>US_IMfromAfr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2'!$B$4:$B$22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 formatCode="General">
                        <c:v>2016</c:v>
                      </c:pt>
                      <c:pt idx="15" formatCode="General">
                        <c:v>2017</c:v>
                      </c:pt>
                      <c:pt idx="16" formatCode="General">
                        <c:v>2018</c:v>
                      </c:pt>
                      <c:pt idx="17" formatCode="General">
                        <c:v>2019</c:v>
                      </c:pt>
                      <c:pt idx="18" formatCode="General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'Graphs 2'!$G$4:$G$22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10.079456648999995</c:v>
                      </c:pt>
                      <c:pt idx="1">
                        <c:v>15.566008846000001</c:v>
                      </c:pt>
                      <c:pt idx="2">
                        <c:v>23.149427726000006</c:v>
                      </c:pt>
                      <c:pt idx="3">
                        <c:v>33.577293977999993</c:v>
                      </c:pt>
                      <c:pt idx="4">
                        <c:v>45.842833575</c:v>
                      </c:pt>
                      <c:pt idx="5">
                        <c:v>53.515591156000042</c:v>
                      </c:pt>
                      <c:pt idx="6">
                        <c:v>72.06819359699999</c:v>
                      </c:pt>
                      <c:pt idx="7">
                        <c:v>48.341724368999991</c:v>
                      </c:pt>
                      <c:pt idx="8">
                        <c:v>70.041227233000029</c:v>
                      </c:pt>
                      <c:pt idx="9">
                        <c:v>94.573093480000011</c:v>
                      </c:pt>
                      <c:pt idx="10">
                        <c:v>96.571633462999998</c:v>
                      </c:pt>
                      <c:pt idx="11">
                        <c:v>95.698216699999961</c:v>
                      </c:pt>
                      <c:pt idx="12">
                        <c:v>92.148198226000005</c:v>
                      </c:pt>
                      <c:pt idx="13">
                        <c:v>25.928285205000002</c:v>
                      </c:pt>
                      <c:pt idx="14">
                        <c:v>27.207155999999998</c:v>
                      </c:pt>
                      <c:pt idx="15">
                        <c:v>33.726066965000001</c:v>
                      </c:pt>
                      <c:pt idx="16">
                        <c:v>36.216944090000005</c:v>
                      </c:pt>
                      <c:pt idx="17">
                        <c:v>30.227512464000011</c:v>
                      </c:pt>
                      <c:pt idx="18">
                        <c:v>23.530297340000001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04-4939-83DB-C766FB31448C}"/>
                  </c:ext>
                </c:extLst>
              </c15:ser>
            </c15:filteredLineSeries>
          </c:ext>
        </c:extLst>
      </c:lineChart>
      <c:catAx>
        <c:axId val="7561985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0824"/>
        <c:crosses val="autoZero"/>
        <c:auto val="1"/>
        <c:lblAlgn val="ctr"/>
        <c:lblOffset val="100"/>
        <c:noMultiLvlLbl val="0"/>
      </c:catAx>
      <c:valAx>
        <c:axId val="7562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79982859285441"/>
          <c:y val="0.66570935212045868"/>
          <c:w val="0.23637298716038874"/>
          <c:h val="7.8562002375401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255271</xdr:colOff>
      <xdr:row>2</xdr:row>
      <xdr:rowOff>68580</xdr:rowOff>
    </xdr:from>
    <xdr:to>
      <xdr:col>9</xdr:col>
      <xdr:colOff>264795</xdr:colOff>
      <xdr:row>21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2</xdr:row>
      <xdr:rowOff>50800</xdr:rowOff>
    </xdr:from>
    <xdr:to>
      <xdr:col>18</xdr:col>
      <xdr:colOff>606424</xdr:colOff>
      <xdr:row>21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0.48008</cdr:x>
      <cdr:y>0.81379</cdr:y>
    </cdr:from>
    <cdr:to>
      <cdr:x>0.9792</cdr:x>
      <cdr:y>0.98172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2AD92F31-63BC-4444-AFF1-4952FDB0AD52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38457" y="2968775"/>
          <a:ext cx="2743167" cy="6126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0.48008</cdr:x>
      <cdr:y>0.81379</cdr:y>
    </cdr:from>
    <cdr:to>
      <cdr:x>0.9792</cdr:x>
      <cdr:y>0.98172</cdr:y>
    </cdr:to>
    <cdr:pic>
      <cdr:nvPicPr>
        <cdr:cNvPr id="4" name="Picture 1">
          <a:extLst xmlns:a="http://schemas.openxmlformats.org/drawingml/2006/main">
            <a:ext uri="{FF2B5EF4-FFF2-40B4-BE49-F238E27FC236}">
              <a16:creationId xmlns:a16="http://schemas.microsoft.com/office/drawing/2014/main" id="{6790459B-2427-6A48-AE0D-AB860CA9815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38457" y="2968775"/>
          <a:ext cx="2743167" cy="6126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0.05233</cdr:x>
      <cdr:y>0.83877</cdr:y>
    </cdr:from>
    <cdr:to>
      <cdr:x>0.31547</cdr:x>
      <cdr:y>0.96708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11527" y="3059896"/>
          <a:ext cx="1566519" cy="468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1" baseline="0"/>
            <a:t>Jan 2022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Source: UN Comtrade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0.48008</cdr:x>
      <cdr:y>0.81379</cdr:y>
    </cdr:from>
    <cdr:to>
      <cdr:x>0.9792</cdr:x>
      <cdr:y>0.98172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AD88656-BC93-F644-A772-83F3AADF8B8F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38457" y="2968775"/>
          <a:ext cx="2743167" cy="6126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0.09243</cdr:x>
      <cdr:y>0.84682</cdr:y>
    </cdr:from>
    <cdr:to>
      <cdr:x>0.35557</cdr:x>
      <cdr:y>0.97513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50247" y="3089263"/>
          <a:ext cx="1566519" cy="468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Jan 2022</a:t>
          </a:r>
        </a:p>
        <a:p xmlns:a="http://schemas.openxmlformats.org/drawingml/2006/main">
          <a:r>
            <a:rPr lang="en-US" sz="1200" b="1" baseline="0"/>
            <a:t>Source: UN Comtrade</a:t>
          </a:r>
        </a:p>
      </cdr:txBody>
    </cdr:sp>
  </cdr:relSizeAnchor>
  <cdr:relSizeAnchor xmlns:cdr="http://schemas.openxmlformats.org/drawingml/2006/chartDrawing">
    <cdr:from>
      <cdr:x>0.48008</cdr:x>
      <cdr:y>0.81379</cdr:y>
    </cdr:from>
    <cdr:to>
      <cdr:x>0.9792</cdr:x>
      <cdr:y>0.98172</cdr:y>
    </cdr:to>
    <cdr:pic>
      <cdr:nvPicPr>
        <cdr:cNvPr id="4" name="Picture 1">
          <a:extLst xmlns:a="http://schemas.openxmlformats.org/drawingml/2006/main">
            <a:ext uri="{FF2B5EF4-FFF2-40B4-BE49-F238E27FC236}">
              <a16:creationId xmlns:a16="http://schemas.microsoft.com/office/drawing/2014/main" id="{2CC2C96F-BC2E-0347-A6A7-5F24479A872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38457" y="2968775"/>
          <a:ext cx="2743167" cy="61262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60960</xdr:rowOff>
    </xdr:from>
    <xdr:to>
      <xdr:col>19</xdr:col>
      <xdr:colOff>137160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DF033-E46A-4D2E-8724-3D8ABF4C4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0.47009</cdr:x>
      <cdr:y>0.75944</cdr:y>
    </cdr:from>
    <cdr:to>
      <cdr:x>0.96939</cdr:x>
      <cdr:y>0.9751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D0D4899-4F67-451E-986C-DECD584B4C3A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08357" y="2748802"/>
          <a:ext cx="2982843" cy="7805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0.04464</cdr:x>
      <cdr:y>0.73263</cdr:y>
    </cdr:from>
    <cdr:to>
      <cdr:x>0.34439</cdr:x>
      <cdr:y>0.95368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FAFB0C-C98D-473B-BB64-D1C6C5B39972}"/>
            </a:ext>
          </a:extLst>
        </cdr:cNvPr>
        <cdr:cNvSpPr txBox="1"/>
      </cdr:nvSpPr>
      <cdr:spPr>
        <a:xfrm xmlns:a="http://schemas.openxmlformats.org/drawingml/2006/main">
          <a:off x="266700" y="2651760"/>
          <a:ext cx="17907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Jan 2022</a:t>
          </a:r>
        </a:p>
        <a:p xmlns:a="http://schemas.openxmlformats.org/drawingml/2006/main">
          <a:r>
            <a:rPr lang="en-US" sz="1200" b="1"/>
            <a:t>Source: UN C</a:t>
          </a:r>
          <a:r>
            <a:rPr lang="en-US" altLang="zh-CN" sz="1200" b="1"/>
            <a:t>omtrade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"/>
  <sheetViews>
    <sheetView zoomScale="93" zoomScaleNormal="90" zoomScalePageLayoutView="80" workbookViewId="0">
      <pane xSplit="1" ySplit="2" topLeftCell="B11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8.6640625" defaultRowHeight="15"/>
  <cols>
    <col min="1" max="1" width="12.5" style="2" customWidth="1"/>
    <col min="2" max="55" width="10.6640625" style="2" customWidth="1"/>
    <col min="56" max="56" width="8.6640625" style="2"/>
    <col min="57" max="57" width="14.1640625" style="2" customWidth="1"/>
    <col min="58" max="16384" width="8.6640625" style="2"/>
  </cols>
  <sheetData>
    <row r="1" spans="1:58">
      <c r="A1" s="9" t="s">
        <v>74</v>
      </c>
    </row>
    <row r="2" spans="1:58" ht="32">
      <c r="A2" s="12" t="s">
        <v>54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60</v>
      </c>
      <c r="I2" s="6" t="s">
        <v>44</v>
      </c>
      <c r="J2" s="6" t="s">
        <v>6</v>
      </c>
      <c r="K2" s="6" t="s">
        <v>45</v>
      </c>
      <c r="L2" s="6" t="s">
        <v>7</v>
      </c>
      <c r="M2" s="6" t="s">
        <v>8</v>
      </c>
      <c r="N2" s="6" t="s">
        <v>46</v>
      </c>
      <c r="O2" s="6" t="s">
        <v>47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48</v>
      </c>
      <c r="V2" s="6" t="s">
        <v>14</v>
      </c>
      <c r="W2" s="6" t="s">
        <v>49</v>
      </c>
      <c r="X2" s="6" t="s">
        <v>57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26</v>
      </c>
      <c r="AK2" s="6" t="s">
        <v>27</v>
      </c>
      <c r="AL2" s="6" t="s">
        <v>28</v>
      </c>
      <c r="AM2" s="6" t="s">
        <v>29</v>
      </c>
      <c r="AN2" s="6" t="s">
        <v>30</v>
      </c>
      <c r="AO2" s="6" t="s">
        <v>31</v>
      </c>
      <c r="AP2" s="6" t="s">
        <v>32</v>
      </c>
      <c r="AQ2" s="6" t="s">
        <v>33</v>
      </c>
      <c r="AR2" s="6" t="s">
        <v>34</v>
      </c>
      <c r="AS2" s="6" t="s">
        <v>35</v>
      </c>
      <c r="AT2" s="6" t="s">
        <v>36</v>
      </c>
      <c r="AU2" s="6" t="s">
        <v>37</v>
      </c>
      <c r="AV2" s="6" t="s">
        <v>38</v>
      </c>
      <c r="AW2" s="6" t="s">
        <v>61</v>
      </c>
      <c r="AX2" s="6" t="s">
        <v>39</v>
      </c>
      <c r="AY2" s="6" t="s">
        <v>40</v>
      </c>
      <c r="AZ2" s="6" t="s">
        <v>41</v>
      </c>
      <c r="BA2" s="6" t="s">
        <v>50</v>
      </c>
      <c r="BB2" s="6" t="s">
        <v>42</v>
      </c>
      <c r="BC2" s="6" t="s">
        <v>43</v>
      </c>
      <c r="BE2" s="5" t="s">
        <v>52</v>
      </c>
      <c r="BF2" s="5" t="s">
        <v>53</v>
      </c>
    </row>
    <row r="3" spans="1:58">
      <c r="A3" s="7">
        <v>1992</v>
      </c>
      <c r="B3" s="2">
        <v>27.338317</v>
      </c>
      <c r="C3" s="2">
        <v>8.4728499999999993</v>
      </c>
      <c r="D3" s="2">
        <v>22.190301000000002</v>
      </c>
      <c r="E3" s="2">
        <v>0</v>
      </c>
      <c r="F3" s="2">
        <v>2.4997530000000001</v>
      </c>
      <c r="G3" s="2">
        <v>3.600889</v>
      </c>
      <c r="H3" s="2">
        <v>28.047720000000002</v>
      </c>
      <c r="I3" s="2">
        <v>0.16148499999999999</v>
      </c>
      <c r="J3" s="2">
        <v>9.5914959999999994</v>
      </c>
      <c r="K3" s="2">
        <v>0.16129399999999999</v>
      </c>
      <c r="L3" s="2">
        <v>0.62401099999999998</v>
      </c>
      <c r="M3" s="2">
        <v>3.1434540000000002</v>
      </c>
      <c r="N3" s="2">
        <v>5.8798690000000002</v>
      </c>
      <c r="O3" s="2">
        <v>7.7703449999999998</v>
      </c>
      <c r="P3" s="2">
        <v>15.901251999999999</v>
      </c>
      <c r="Q3" s="2">
        <v>174.559719</v>
      </c>
      <c r="R3" s="2">
        <v>0.18082500000000001</v>
      </c>
      <c r="S3" s="2">
        <v>0</v>
      </c>
      <c r="T3" s="2">
        <v>0</v>
      </c>
      <c r="U3" s="2">
        <v>43.674323999999999</v>
      </c>
      <c r="V3" s="2">
        <v>1.5258080000000001</v>
      </c>
      <c r="W3" s="2">
        <v>51.93018</v>
      </c>
      <c r="X3" s="2">
        <v>23.958687000000001</v>
      </c>
      <c r="Y3" s="2">
        <v>30.725249999999999</v>
      </c>
      <c r="Z3" s="2">
        <v>2.401586</v>
      </c>
      <c r="AA3" s="2">
        <v>29.182601999999999</v>
      </c>
      <c r="AB3" s="2">
        <v>0</v>
      </c>
      <c r="AC3" s="2">
        <v>115.698334</v>
      </c>
      <c r="AD3" s="2">
        <v>86.626716999999999</v>
      </c>
      <c r="AE3" s="2">
        <v>4.4204549999999996</v>
      </c>
      <c r="AF3" s="2">
        <v>0.31596600000000002</v>
      </c>
      <c r="AG3" s="2">
        <v>5.4294010000000004</v>
      </c>
      <c r="AH3" s="2">
        <v>14.700360999999999</v>
      </c>
      <c r="AI3" s="2">
        <v>23.437849</v>
      </c>
      <c r="AJ3" s="2">
        <v>104.103026</v>
      </c>
      <c r="AK3" s="2">
        <v>20.729009000000001</v>
      </c>
      <c r="AL3" s="2">
        <v>0</v>
      </c>
      <c r="AM3" s="2">
        <v>2.7525849999999998</v>
      </c>
      <c r="AN3" s="2">
        <v>90.991983000000005</v>
      </c>
      <c r="AO3" s="2">
        <v>4.0561309999999997</v>
      </c>
      <c r="AP3" s="2">
        <v>26.217013999999999</v>
      </c>
      <c r="AQ3" s="2">
        <v>0.83204599999999995</v>
      </c>
      <c r="AR3" s="2">
        <v>6.8446689999999997</v>
      </c>
      <c r="AS3" s="2">
        <v>5.2384300000000001</v>
      </c>
      <c r="AT3" s="2">
        <v>0</v>
      </c>
      <c r="AU3" s="2">
        <v>0</v>
      </c>
      <c r="AV3" s="2">
        <v>0</v>
      </c>
      <c r="AW3" s="2">
        <v>0</v>
      </c>
      <c r="AX3" s="2">
        <v>75.323049999999995</v>
      </c>
      <c r="AY3" s="2">
        <v>28.495412999999999</v>
      </c>
      <c r="AZ3" s="2">
        <v>7.0966740000000001</v>
      </c>
      <c r="BA3" s="2">
        <v>107.98110800000001</v>
      </c>
      <c r="BB3" s="2">
        <v>5.3722580000000004</v>
      </c>
      <c r="BC3" s="2">
        <v>27.429592</v>
      </c>
      <c r="BE3" s="2">
        <f t="shared" ref="BE3:BE29" si="0">SUM(B3:BC3)</f>
        <v>1257.614088</v>
      </c>
      <c r="BF3" s="2">
        <f>BE3/1000</f>
        <v>1.257614088</v>
      </c>
    </row>
    <row r="4" spans="1:58">
      <c r="A4" s="7">
        <v>1993</v>
      </c>
      <c r="B4" s="2">
        <v>33.538297999999998</v>
      </c>
      <c r="C4" s="2">
        <v>11.206948000000001</v>
      </c>
      <c r="D4" s="2">
        <v>53.612684000000002</v>
      </c>
      <c r="E4" s="2">
        <v>0</v>
      </c>
      <c r="F4" s="2">
        <v>9.3822810000000008</v>
      </c>
      <c r="G4" s="2">
        <v>3.7106460000000001</v>
      </c>
      <c r="H4" s="2">
        <v>52.190435999999998</v>
      </c>
      <c r="I4" s="2">
        <v>0.75493500000000002</v>
      </c>
      <c r="J4" s="2">
        <v>6.4147509999999999</v>
      </c>
      <c r="K4" s="2">
        <v>3.2168169999999998</v>
      </c>
      <c r="L4" s="2">
        <v>0.185694</v>
      </c>
      <c r="M4" s="2">
        <v>0.28395999999999999</v>
      </c>
      <c r="N4" s="2">
        <v>7.7070730000000003</v>
      </c>
      <c r="O4" s="2">
        <v>21.765295999999999</v>
      </c>
      <c r="P4" s="2">
        <v>11.192447</v>
      </c>
      <c r="Q4" s="2">
        <v>199.59583799999999</v>
      </c>
      <c r="R4" s="2">
        <v>0.63539400000000001</v>
      </c>
      <c r="S4" s="2">
        <v>0</v>
      </c>
      <c r="T4" s="2">
        <v>22.235485000000001</v>
      </c>
      <c r="U4" s="2">
        <v>30.105727000000002</v>
      </c>
      <c r="V4" s="2">
        <v>1.8990720000000001</v>
      </c>
      <c r="W4" s="2">
        <v>69.980850000000004</v>
      </c>
      <c r="X4" s="2">
        <v>38.579787000000003</v>
      </c>
      <c r="Y4" s="2">
        <v>31.597707</v>
      </c>
      <c r="Z4" s="2">
        <v>2.7163409999999999</v>
      </c>
      <c r="AA4" s="2">
        <v>47.276524999999999</v>
      </c>
      <c r="AB4" s="2">
        <v>0</v>
      </c>
      <c r="AC4" s="2">
        <v>4.7006399999999999</v>
      </c>
      <c r="AD4" s="2">
        <v>45.242688999999999</v>
      </c>
      <c r="AE4" s="2">
        <v>6.1467049999999999</v>
      </c>
      <c r="AF4" s="2">
        <v>1.900692</v>
      </c>
      <c r="AG4" s="2">
        <v>11.546723</v>
      </c>
      <c r="AH4" s="2">
        <v>4.7452909999999999</v>
      </c>
      <c r="AI4" s="2">
        <v>25.960225999999999</v>
      </c>
      <c r="AJ4" s="2">
        <v>94.439071999999996</v>
      </c>
      <c r="AK4" s="2">
        <v>16.548203999999998</v>
      </c>
      <c r="AL4" s="2">
        <v>0</v>
      </c>
      <c r="AM4" s="2">
        <v>14.915749999999999</v>
      </c>
      <c r="AN4" s="2">
        <v>120.75972400000001</v>
      </c>
      <c r="AO4" s="2">
        <v>3.081674</v>
      </c>
      <c r="AP4" s="2">
        <v>26.198225000000001</v>
      </c>
      <c r="AQ4" s="2">
        <v>1.3327260000000001</v>
      </c>
      <c r="AR4" s="2">
        <v>12.904541</v>
      </c>
      <c r="AS4" s="2">
        <v>0.670261</v>
      </c>
      <c r="AT4" s="2">
        <v>0</v>
      </c>
      <c r="AU4" s="2">
        <v>0</v>
      </c>
      <c r="AV4" s="2">
        <v>0</v>
      </c>
      <c r="AW4" s="2">
        <v>0</v>
      </c>
      <c r="AX4" s="2">
        <v>108.965397</v>
      </c>
      <c r="AY4" s="2">
        <v>28.400918000000001</v>
      </c>
      <c r="AZ4" s="2">
        <v>6.2345540000000002</v>
      </c>
      <c r="BA4" s="2">
        <v>39.507967999999998</v>
      </c>
      <c r="BB4" s="2">
        <v>7.2099880000000001</v>
      </c>
      <c r="BC4" s="2">
        <v>8.7462759999999999</v>
      </c>
      <c r="BE4" s="2">
        <f t="shared" si="0"/>
        <v>1249.9432360000003</v>
      </c>
      <c r="BF4" s="2">
        <f t="shared" ref="BF4:BF30" si="1">BE4/1000</f>
        <v>1.2499432360000002</v>
      </c>
    </row>
    <row r="5" spans="1:58">
      <c r="A5" s="7">
        <v>1994</v>
      </c>
      <c r="B5" s="2">
        <v>59.800432999999998</v>
      </c>
      <c r="C5" s="2">
        <v>12.482004999999999</v>
      </c>
      <c r="D5" s="2">
        <v>30.440338000000001</v>
      </c>
      <c r="E5" s="2">
        <v>0</v>
      </c>
      <c r="F5" s="2">
        <v>0.98351699999999997</v>
      </c>
      <c r="G5" s="2">
        <v>2.6434169999999999</v>
      </c>
      <c r="H5" s="2">
        <v>20.111039000000002</v>
      </c>
      <c r="I5" s="2">
        <v>0.42439399999999999</v>
      </c>
      <c r="J5" s="2">
        <v>5.4245679999999998</v>
      </c>
      <c r="K5" s="2">
        <v>0.199182</v>
      </c>
      <c r="L5" s="2">
        <v>1.414804</v>
      </c>
      <c r="M5" s="2">
        <v>0.24859999999999999</v>
      </c>
      <c r="N5" s="2">
        <v>7.9203289999999997</v>
      </c>
      <c r="O5" s="2">
        <v>23.540704999999999</v>
      </c>
      <c r="P5" s="2">
        <v>10.096683000000001</v>
      </c>
      <c r="Q5" s="2">
        <v>279.60303299999998</v>
      </c>
      <c r="R5" s="2">
        <v>0.58482900000000004</v>
      </c>
      <c r="S5" s="2">
        <v>0.86803699999999995</v>
      </c>
      <c r="T5" s="2">
        <v>17.495813999999999</v>
      </c>
      <c r="U5" s="2">
        <v>38.638249000000002</v>
      </c>
      <c r="V5" s="2">
        <v>1.57805</v>
      </c>
      <c r="W5" s="2">
        <v>69.468129000000005</v>
      </c>
      <c r="X5" s="2">
        <v>36.543100000000003</v>
      </c>
      <c r="Y5" s="2">
        <v>26.420376000000001</v>
      </c>
      <c r="Z5" s="2">
        <v>4.0029640000000004</v>
      </c>
      <c r="AA5" s="2">
        <v>64.495085000000003</v>
      </c>
      <c r="AB5" s="2">
        <v>0</v>
      </c>
      <c r="AC5" s="2">
        <v>31.773349</v>
      </c>
      <c r="AD5" s="2">
        <v>29.511071000000001</v>
      </c>
      <c r="AE5" s="2">
        <v>9.0250599999999999</v>
      </c>
      <c r="AF5" s="2">
        <v>0.548323</v>
      </c>
      <c r="AG5" s="2">
        <v>10.808339999999999</v>
      </c>
      <c r="AH5" s="2">
        <v>31.571964000000001</v>
      </c>
      <c r="AI5" s="2">
        <v>27.020969999999998</v>
      </c>
      <c r="AJ5" s="2">
        <v>89.606724</v>
      </c>
      <c r="AK5" s="2">
        <v>6.5182200000000003</v>
      </c>
      <c r="AL5" s="2">
        <v>0</v>
      </c>
      <c r="AM5" s="2">
        <v>18.067250999999999</v>
      </c>
      <c r="AN5" s="2">
        <v>90.231960999999998</v>
      </c>
      <c r="AO5" s="2">
        <v>2.4063089999999998</v>
      </c>
      <c r="AP5" s="2">
        <v>21.736255</v>
      </c>
      <c r="AQ5" s="2">
        <v>0.38602999999999998</v>
      </c>
      <c r="AR5" s="2">
        <v>8.5001149999999992</v>
      </c>
      <c r="AS5" s="2">
        <v>1.778532</v>
      </c>
      <c r="AT5" s="2">
        <v>0</v>
      </c>
      <c r="AU5" s="2">
        <v>0</v>
      </c>
      <c r="AV5" s="2">
        <v>0</v>
      </c>
      <c r="AW5" s="2">
        <v>0</v>
      </c>
      <c r="AX5" s="2">
        <v>97.345912999999996</v>
      </c>
      <c r="AY5" s="2">
        <v>50.498379999999997</v>
      </c>
      <c r="AZ5" s="2">
        <v>8.7248750000000008</v>
      </c>
      <c r="BA5" s="2">
        <v>65.597862000000006</v>
      </c>
      <c r="BB5" s="2">
        <v>9.698461</v>
      </c>
      <c r="BC5" s="2">
        <v>21.635196000000001</v>
      </c>
      <c r="BE5" s="2">
        <f t="shared" si="0"/>
        <v>1348.4188410000002</v>
      </c>
      <c r="BF5" s="2">
        <f t="shared" si="1"/>
        <v>1.3484188410000002</v>
      </c>
    </row>
    <row r="6" spans="1:58">
      <c r="A6" s="7">
        <v>1995</v>
      </c>
      <c r="B6" s="2">
        <v>57.494371000000001</v>
      </c>
      <c r="C6" s="2">
        <v>21.159336</v>
      </c>
      <c r="D6" s="2">
        <v>66.515894000000003</v>
      </c>
      <c r="E6" s="2">
        <v>0</v>
      </c>
      <c r="F6" s="2">
        <v>1.578927</v>
      </c>
      <c r="G6" s="2">
        <v>2.1219769999999998</v>
      </c>
      <c r="H6" s="2">
        <v>50.935290999999999</v>
      </c>
      <c r="I6" s="2">
        <v>0.38034200000000001</v>
      </c>
      <c r="J6" s="2">
        <v>10.118302</v>
      </c>
      <c r="K6" s="2">
        <v>0.98355700000000001</v>
      </c>
      <c r="L6" s="2">
        <v>2.376779</v>
      </c>
      <c r="M6" s="2">
        <v>1.3662209999999999</v>
      </c>
      <c r="N6" s="2">
        <v>5.9305919999999999</v>
      </c>
      <c r="O6" s="2">
        <v>41.030763999999998</v>
      </c>
      <c r="P6" s="2">
        <v>9.8658909999999995</v>
      </c>
      <c r="Q6" s="2">
        <v>439.64541600000001</v>
      </c>
      <c r="R6" s="2">
        <v>2.3303699999999998</v>
      </c>
      <c r="S6" s="2">
        <v>2.1550159999999998</v>
      </c>
      <c r="T6" s="2">
        <v>31.275946999999999</v>
      </c>
      <c r="U6" s="2">
        <v>41.615068999999998</v>
      </c>
      <c r="V6" s="2">
        <v>2.8315600000000001</v>
      </c>
      <c r="W6" s="2">
        <v>57.894796999999997</v>
      </c>
      <c r="X6" s="2">
        <v>71.417181999999997</v>
      </c>
      <c r="Y6" s="2">
        <v>27.493506</v>
      </c>
      <c r="Z6" s="2">
        <v>1.090892</v>
      </c>
      <c r="AA6" s="2">
        <v>104.092427</v>
      </c>
      <c r="AB6" s="2">
        <v>0</v>
      </c>
      <c r="AC6" s="2">
        <v>35.525423000000004</v>
      </c>
      <c r="AD6" s="2">
        <v>33.314475999999999</v>
      </c>
      <c r="AE6" s="2">
        <v>11.900473</v>
      </c>
      <c r="AF6" s="2">
        <v>0.74384799999999995</v>
      </c>
      <c r="AG6" s="2">
        <v>25.088636000000001</v>
      </c>
      <c r="AH6" s="2">
        <v>32.072234000000002</v>
      </c>
      <c r="AI6" s="2">
        <v>23.126594999999998</v>
      </c>
      <c r="AJ6" s="2">
        <v>112.391814</v>
      </c>
      <c r="AK6" s="2">
        <v>11.523078999999999</v>
      </c>
      <c r="AL6" s="2">
        <v>0</v>
      </c>
      <c r="AM6" s="2">
        <v>8.0540649999999996</v>
      </c>
      <c r="AN6" s="2">
        <v>152.731897</v>
      </c>
      <c r="AO6" s="2">
        <v>1.1455059999999999</v>
      </c>
      <c r="AP6" s="2">
        <v>36.439162000000003</v>
      </c>
      <c r="AQ6" s="2">
        <v>0.63244800000000001</v>
      </c>
      <c r="AR6" s="2">
        <v>4.2691699999999999</v>
      </c>
      <c r="AS6" s="2">
        <v>0.31242999999999999</v>
      </c>
      <c r="AT6" s="2">
        <v>0</v>
      </c>
      <c r="AU6" s="2">
        <v>0</v>
      </c>
      <c r="AV6" s="2">
        <v>0</v>
      </c>
      <c r="AW6" s="2">
        <v>0</v>
      </c>
      <c r="AX6" s="2">
        <v>119.79747500000001</v>
      </c>
      <c r="AY6" s="2">
        <v>36.270172000000002</v>
      </c>
      <c r="AZ6" s="2">
        <v>12.837662999999999</v>
      </c>
      <c r="BA6" s="2">
        <v>74.110646000000003</v>
      </c>
      <c r="BB6" s="2">
        <v>19.647379000000001</v>
      </c>
      <c r="BC6" s="2">
        <v>15.284720999999999</v>
      </c>
      <c r="BE6" s="2">
        <f t="shared" si="0"/>
        <v>1820.9197380000003</v>
      </c>
      <c r="BF6" s="2">
        <f t="shared" si="1"/>
        <v>1.8209197380000002</v>
      </c>
    </row>
    <row r="7" spans="1:58">
      <c r="A7" s="7">
        <v>1996</v>
      </c>
      <c r="B7" s="2">
        <v>54.497402999999998</v>
      </c>
      <c r="C7" s="2">
        <v>28.533705000000001</v>
      </c>
      <c r="D7" s="2">
        <v>69.882469999999998</v>
      </c>
      <c r="E7" s="2">
        <v>0</v>
      </c>
      <c r="F7" s="2">
        <v>0.77078199999999997</v>
      </c>
      <c r="G7" s="2">
        <v>0.91269199999999995</v>
      </c>
      <c r="H7" s="2">
        <v>52.198185000000002</v>
      </c>
      <c r="I7" s="2">
        <v>0.27492699999999998</v>
      </c>
      <c r="J7" s="2">
        <v>10.902115</v>
      </c>
      <c r="K7" s="2">
        <v>2.2766169999999999</v>
      </c>
      <c r="L7" s="2">
        <v>1.166501</v>
      </c>
      <c r="M7" s="2">
        <v>0.25747199999999998</v>
      </c>
      <c r="N7" s="2">
        <v>8.1148670000000003</v>
      </c>
      <c r="O7" s="2">
        <v>42.702458</v>
      </c>
      <c r="P7" s="2">
        <v>9.8133169999999996</v>
      </c>
      <c r="Q7" s="2">
        <v>404.44283200000001</v>
      </c>
      <c r="R7" s="2">
        <v>5.9706630000000001</v>
      </c>
      <c r="S7" s="2">
        <v>0.61065400000000003</v>
      </c>
      <c r="T7" s="2">
        <v>41.192284999999998</v>
      </c>
      <c r="U7" s="2">
        <v>48.249412</v>
      </c>
      <c r="V7" s="2">
        <v>4.264329</v>
      </c>
      <c r="W7" s="2">
        <v>46.261710000000001</v>
      </c>
      <c r="X7" s="2">
        <v>83.261971000000003</v>
      </c>
      <c r="Y7" s="2">
        <v>29.699555</v>
      </c>
      <c r="Z7" s="2">
        <v>0.46259899999999998</v>
      </c>
      <c r="AA7" s="2">
        <v>92.220275999999998</v>
      </c>
      <c r="AB7" s="2">
        <v>0</v>
      </c>
      <c r="AC7" s="2">
        <v>113.60247200000001</v>
      </c>
      <c r="AD7" s="2">
        <v>56.973520000000001</v>
      </c>
      <c r="AE7" s="2">
        <v>14.166086999999999</v>
      </c>
      <c r="AF7" s="2">
        <v>1.050872</v>
      </c>
      <c r="AG7" s="2">
        <v>15.221572</v>
      </c>
      <c r="AH7" s="2">
        <v>13.215664</v>
      </c>
      <c r="AI7" s="2">
        <v>43.561985999999997</v>
      </c>
      <c r="AJ7" s="2">
        <v>74.595793</v>
      </c>
      <c r="AK7" s="2">
        <v>11.235225</v>
      </c>
      <c r="AL7" s="2">
        <v>0</v>
      </c>
      <c r="AM7" s="2">
        <v>1.4554480000000001</v>
      </c>
      <c r="AN7" s="2">
        <v>170.84896800000001</v>
      </c>
      <c r="AO7" s="2">
        <v>3.7852440000000001</v>
      </c>
      <c r="AP7" s="2">
        <v>37.344090000000001</v>
      </c>
      <c r="AQ7" s="2">
        <v>0.42886600000000002</v>
      </c>
      <c r="AR7" s="2">
        <v>6.3973240000000002</v>
      </c>
      <c r="AS7" s="2">
        <v>0.45868999999999999</v>
      </c>
      <c r="AT7" s="2">
        <v>0</v>
      </c>
      <c r="AU7" s="2">
        <v>0</v>
      </c>
      <c r="AV7" s="2">
        <v>0</v>
      </c>
      <c r="AW7" s="2">
        <v>0</v>
      </c>
      <c r="AX7" s="2">
        <v>78.570965000000001</v>
      </c>
      <c r="AY7" s="2">
        <v>60.644776</v>
      </c>
      <c r="AZ7" s="2">
        <v>7.9531650000000003</v>
      </c>
      <c r="BA7" s="2">
        <v>64.153803999999994</v>
      </c>
      <c r="BB7" s="2">
        <v>9.7101919999999993</v>
      </c>
      <c r="BC7" s="2">
        <v>18.845245999999999</v>
      </c>
      <c r="BE7" s="2">
        <f t="shared" si="0"/>
        <v>1843.1597659999995</v>
      </c>
      <c r="BF7" s="2">
        <f t="shared" si="1"/>
        <v>1.8431597659999996</v>
      </c>
    </row>
    <row r="8" spans="1:58">
      <c r="A8" s="7">
        <v>1997</v>
      </c>
      <c r="B8" s="2">
        <v>112.96068200000001</v>
      </c>
      <c r="C8" s="2">
        <v>29.128511</v>
      </c>
      <c r="D8" s="2">
        <v>109.72519200000001</v>
      </c>
      <c r="E8" s="2">
        <v>0</v>
      </c>
      <c r="F8" s="2">
        <v>1.570354</v>
      </c>
      <c r="G8" s="2">
        <v>0.38652500000000001</v>
      </c>
      <c r="H8" s="2">
        <v>92.409497999999999</v>
      </c>
      <c r="I8" s="2">
        <v>0.40539399999999998</v>
      </c>
      <c r="J8" s="2">
        <v>12.545366</v>
      </c>
      <c r="K8" s="2">
        <v>0.83527099999999999</v>
      </c>
      <c r="L8" s="2">
        <v>1.0300309999999999</v>
      </c>
      <c r="M8" s="2">
        <v>0.217749</v>
      </c>
      <c r="N8" s="2">
        <v>12.315275</v>
      </c>
      <c r="O8" s="2">
        <v>29.48743</v>
      </c>
      <c r="P8" s="2">
        <v>13.439987</v>
      </c>
      <c r="Q8" s="2">
        <v>464.945874</v>
      </c>
      <c r="R8" s="2">
        <v>3.3351130000000002</v>
      </c>
      <c r="S8" s="2">
        <v>3.1304910000000001</v>
      </c>
      <c r="T8" s="2">
        <v>54.974832999999997</v>
      </c>
      <c r="U8" s="2">
        <v>110.828765</v>
      </c>
      <c r="V8" s="2">
        <v>5.9207380000000001</v>
      </c>
      <c r="W8" s="2">
        <v>41.812372000000003</v>
      </c>
      <c r="X8" s="2">
        <v>86.247134000000003</v>
      </c>
      <c r="Y8" s="2">
        <v>34.753449000000003</v>
      </c>
      <c r="Z8" s="2">
        <v>0.72225499999999998</v>
      </c>
      <c r="AA8" s="2">
        <v>132.47568000000001</v>
      </c>
      <c r="AB8" s="2">
        <v>0</v>
      </c>
      <c r="AC8" s="2">
        <v>73.494439</v>
      </c>
      <c r="AD8" s="2">
        <v>79.704182000000003</v>
      </c>
      <c r="AE8" s="2">
        <v>26.714037000000001</v>
      </c>
      <c r="AF8" s="2">
        <v>2.250667</v>
      </c>
      <c r="AG8" s="2">
        <v>13.887497</v>
      </c>
      <c r="AH8" s="2">
        <v>11.369051000000001</v>
      </c>
      <c r="AI8" s="2">
        <v>48.000076</v>
      </c>
      <c r="AJ8" s="2">
        <v>118.820806</v>
      </c>
      <c r="AK8" s="2">
        <v>15.941226</v>
      </c>
      <c r="AL8" s="2">
        <v>0</v>
      </c>
      <c r="AM8" s="2">
        <v>1.8483480000000001</v>
      </c>
      <c r="AN8" s="2">
        <v>316.40979599999997</v>
      </c>
      <c r="AO8" s="2">
        <v>2.324551</v>
      </c>
      <c r="AP8" s="2">
        <v>33.700124000000002</v>
      </c>
      <c r="AQ8" s="2">
        <v>1.042853</v>
      </c>
      <c r="AR8" s="2">
        <v>4.0887909999999996</v>
      </c>
      <c r="AS8" s="2">
        <v>0.477408</v>
      </c>
      <c r="AT8" s="2">
        <v>0</v>
      </c>
      <c r="AU8" s="2">
        <v>0</v>
      </c>
      <c r="AV8" s="2">
        <v>0</v>
      </c>
      <c r="AW8" s="2">
        <v>0</v>
      </c>
      <c r="AX8" s="2">
        <v>69.248048999999995</v>
      </c>
      <c r="AY8" s="2">
        <v>74.649424999999994</v>
      </c>
      <c r="AZ8" s="2">
        <v>9.9276079999999993</v>
      </c>
      <c r="BA8" s="2">
        <v>84.881872000000001</v>
      </c>
      <c r="BB8" s="2">
        <v>10.682874999999999</v>
      </c>
      <c r="BC8" s="2">
        <v>28.173857000000002</v>
      </c>
      <c r="BE8" s="2">
        <f t="shared" si="0"/>
        <v>2383.2415070000002</v>
      </c>
      <c r="BF8" s="2">
        <f t="shared" si="1"/>
        <v>2.3832415070000001</v>
      </c>
    </row>
    <row r="9" spans="1:58">
      <c r="A9" s="7">
        <v>1998</v>
      </c>
      <c r="B9" s="2">
        <v>116.785836</v>
      </c>
      <c r="C9" s="2">
        <v>36.653027999999999</v>
      </c>
      <c r="D9" s="2">
        <v>153.53943100000001</v>
      </c>
      <c r="E9" s="2">
        <v>0</v>
      </c>
      <c r="F9" s="2">
        <v>5.1351000000000004</v>
      </c>
      <c r="G9" s="2">
        <v>2.0862449999999999</v>
      </c>
      <c r="H9" s="2">
        <v>151.99544599999999</v>
      </c>
      <c r="I9" s="2">
        <v>1.9608449999999999</v>
      </c>
      <c r="J9" s="2">
        <v>18.904876000000002</v>
      </c>
      <c r="K9" s="2">
        <v>1.059302</v>
      </c>
      <c r="L9" s="2">
        <v>0.15241399999999999</v>
      </c>
      <c r="M9" s="2">
        <v>0.11967999999999999</v>
      </c>
      <c r="N9" s="2">
        <v>46.765537000000002</v>
      </c>
      <c r="O9" s="2">
        <v>61.001376999999998</v>
      </c>
      <c r="P9" s="2">
        <v>30.914977</v>
      </c>
      <c r="Q9" s="2">
        <v>574.74111400000004</v>
      </c>
      <c r="R9" s="2">
        <v>2.9371849999999999</v>
      </c>
      <c r="S9" s="2">
        <v>2.596975</v>
      </c>
      <c r="T9" s="2">
        <v>68.269993999999997</v>
      </c>
      <c r="U9" s="2">
        <v>349.675207</v>
      </c>
      <c r="V9" s="2">
        <v>10.144590000000001</v>
      </c>
      <c r="W9" s="2">
        <v>50.637729</v>
      </c>
      <c r="X9" s="2">
        <v>111.53744</v>
      </c>
      <c r="Y9" s="2">
        <v>37.177652000000002</v>
      </c>
      <c r="Z9" s="2">
        <v>1.4526810000000001</v>
      </c>
      <c r="AA9" s="2">
        <v>118.15761999999999</v>
      </c>
      <c r="AB9" s="2">
        <v>0</v>
      </c>
      <c r="AC9" s="2">
        <v>27.777940000000001</v>
      </c>
      <c r="AD9" s="2">
        <v>68.184899999999999</v>
      </c>
      <c r="AE9" s="2">
        <v>32.701034999999997</v>
      </c>
      <c r="AF9" s="2">
        <v>2.5064109999999999</v>
      </c>
      <c r="AG9" s="2">
        <v>24.384050999999999</v>
      </c>
      <c r="AH9" s="2">
        <v>9.5438360000000007</v>
      </c>
      <c r="AI9" s="2">
        <v>65.858169000000004</v>
      </c>
      <c r="AJ9" s="2">
        <v>165.484126</v>
      </c>
      <c r="AK9" s="2">
        <v>13.333985</v>
      </c>
      <c r="AL9" s="2">
        <v>0</v>
      </c>
      <c r="AM9" s="2">
        <v>7.3969709999999997</v>
      </c>
      <c r="AN9" s="2">
        <v>357.537643</v>
      </c>
      <c r="AO9" s="2">
        <v>2.1147990000000001</v>
      </c>
      <c r="AP9" s="2">
        <v>43.264488</v>
      </c>
      <c r="AQ9" s="2">
        <v>1.3029869999999999</v>
      </c>
      <c r="AR9" s="2">
        <v>4.4027419999999999</v>
      </c>
      <c r="AS9" s="2">
        <v>0.177701</v>
      </c>
      <c r="AT9" s="2">
        <v>0</v>
      </c>
      <c r="AU9" s="2">
        <v>0</v>
      </c>
      <c r="AV9" s="2">
        <v>0</v>
      </c>
      <c r="AW9" s="2">
        <v>0</v>
      </c>
      <c r="AX9" s="2">
        <v>59.081122999999998</v>
      </c>
      <c r="AY9" s="2">
        <v>83.977193</v>
      </c>
      <c r="AZ9" s="2">
        <v>10.778506999999999</v>
      </c>
      <c r="BA9" s="2">
        <v>69.973042000000007</v>
      </c>
      <c r="BB9" s="2">
        <v>22.116378999999998</v>
      </c>
      <c r="BC9" s="2">
        <v>104.776494</v>
      </c>
      <c r="BE9" s="2">
        <f t="shared" si="0"/>
        <v>3131.0768030000008</v>
      </c>
      <c r="BF9" s="2">
        <f t="shared" si="1"/>
        <v>3.1310768030000009</v>
      </c>
    </row>
    <row r="10" spans="1:58">
      <c r="A10" s="7">
        <v>1999</v>
      </c>
      <c r="B10" s="2">
        <v>159.95271299999999</v>
      </c>
      <c r="C10" s="2">
        <v>16.363696999999998</v>
      </c>
      <c r="D10" s="2">
        <v>162.83279400000001</v>
      </c>
      <c r="E10" s="2">
        <v>0</v>
      </c>
      <c r="F10" s="2">
        <v>1.375864</v>
      </c>
      <c r="G10" s="2">
        <v>1.4599219999999999</v>
      </c>
      <c r="H10" s="2">
        <v>198.15139500000001</v>
      </c>
      <c r="I10" s="2">
        <v>3.1410870000000002</v>
      </c>
      <c r="J10" s="2">
        <v>20.135541</v>
      </c>
      <c r="K10" s="2">
        <v>1.007528</v>
      </c>
      <c r="L10" s="2">
        <v>0.238706</v>
      </c>
      <c r="M10" s="2">
        <v>0.64155499999999999</v>
      </c>
      <c r="N10" s="2">
        <v>10.794574000000001</v>
      </c>
      <c r="O10" s="2">
        <v>18.741474</v>
      </c>
      <c r="P10" s="2">
        <v>38.338697000000003</v>
      </c>
      <c r="Q10" s="2">
        <v>715.85538799999995</v>
      </c>
      <c r="R10" s="2">
        <v>2.4979619999999998</v>
      </c>
      <c r="S10" s="2">
        <v>0.74163599999999996</v>
      </c>
      <c r="T10" s="2">
        <v>53.442441000000002</v>
      </c>
      <c r="U10" s="2">
        <v>229.34068099999999</v>
      </c>
      <c r="V10" s="2">
        <v>6.5139560000000003</v>
      </c>
      <c r="W10" s="2">
        <v>57.187635</v>
      </c>
      <c r="X10" s="2">
        <v>110.26724900000001</v>
      </c>
      <c r="Y10" s="2">
        <v>46.303849</v>
      </c>
      <c r="Z10" s="2">
        <v>3.1811370000000001</v>
      </c>
      <c r="AA10" s="2">
        <v>100.76509799999999</v>
      </c>
      <c r="AB10" s="2">
        <v>0</v>
      </c>
      <c r="AC10" s="2">
        <v>12.362785000000001</v>
      </c>
      <c r="AD10" s="2">
        <v>64.741595000000004</v>
      </c>
      <c r="AE10" s="2">
        <v>40.566657999999997</v>
      </c>
      <c r="AF10" s="2">
        <v>5.082802</v>
      </c>
      <c r="AG10" s="2">
        <v>18.491198000000001</v>
      </c>
      <c r="AH10" s="2">
        <v>17.778592</v>
      </c>
      <c r="AI10" s="2">
        <v>71.123427000000007</v>
      </c>
      <c r="AJ10" s="2">
        <v>253.800771</v>
      </c>
      <c r="AK10" s="2">
        <v>18.931038000000001</v>
      </c>
      <c r="AL10" s="2">
        <v>0</v>
      </c>
      <c r="AM10" s="2">
        <v>15.085838000000001</v>
      </c>
      <c r="AN10" s="2">
        <v>396.448352</v>
      </c>
      <c r="AO10" s="2">
        <v>1.7490270000000001</v>
      </c>
      <c r="AP10" s="2">
        <v>39.306949000000003</v>
      </c>
      <c r="AQ10" s="2">
        <v>2.0009779999999999</v>
      </c>
      <c r="AR10" s="2">
        <v>4.3455310000000003</v>
      </c>
      <c r="AS10" s="2">
        <v>0.48723100000000003</v>
      </c>
      <c r="AT10" s="2">
        <v>0</v>
      </c>
      <c r="AU10" s="2">
        <v>0</v>
      </c>
      <c r="AV10" s="2">
        <v>0</v>
      </c>
      <c r="AW10" s="2">
        <v>0</v>
      </c>
      <c r="AX10" s="2">
        <v>70.268638999999993</v>
      </c>
      <c r="AY10" s="2">
        <v>97.358557000000005</v>
      </c>
      <c r="AZ10" s="2">
        <v>10.631500000000001</v>
      </c>
      <c r="BA10" s="2">
        <v>63.928041999999998</v>
      </c>
      <c r="BB10" s="2">
        <v>8.3816819999999996</v>
      </c>
      <c r="BC10" s="2">
        <v>27.243566999999999</v>
      </c>
      <c r="BE10" s="2">
        <f t="shared" si="0"/>
        <v>3199.387338</v>
      </c>
      <c r="BF10" s="2">
        <f t="shared" si="1"/>
        <v>3.1993873380000002</v>
      </c>
    </row>
    <row r="11" spans="1:58">
      <c r="A11" s="7">
        <v>2000</v>
      </c>
      <c r="B11" s="2">
        <v>172.91675599999999</v>
      </c>
      <c r="C11" s="2">
        <v>33.735509</v>
      </c>
      <c r="D11" s="2">
        <v>370.41197</v>
      </c>
      <c r="E11" s="2">
        <v>11.474088999999999</v>
      </c>
      <c r="F11" s="2">
        <v>2.9580199999999999</v>
      </c>
      <c r="G11" s="2">
        <v>3.6267450000000001</v>
      </c>
      <c r="H11" s="2">
        <v>222.75732199999999</v>
      </c>
      <c r="I11" s="2">
        <v>5.1782110000000001</v>
      </c>
      <c r="J11" s="2">
        <v>22.632650000000002</v>
      </c>
      <c r="K11" s="2">
        <v>0.34281899999999998</v>
      </c>
      <c r="L11" s="2">
        <v>0.62169099999999999</v>
      </c>
      <c r="M11" s="2">
        <v>0.29044599999999998</v>
      </c>
      <c r="N11" s="2">
        <v>18.340097</v>
      </c>
      <c r="O11" s="2">
        <v>18.432037000000001</v>
      </c>
      <c r="P11" s="2">
        <v>54.107731000000001</v>
      </c>
      <c r="Q11" s="2">
        <v>805.30121099999997</v>
      </c>
      <c r="R11" s="2">
        <v>3.549061</v>
      </c>
      <c r="S11" s="2">
        <v>1.278999</v>
      </c>
      <c r="T11" s="2">
        <v>55.70373</v>
      </c>
      <c r="U11" s="2">
        <v>158.379773</v>
      </c>
      <c r="V11" s="2">
        <v>4.426787</v>
      </c>
      <c r="W11" s="2">
        <v>61.624980000000001</v>
      </c>
      <c r="X11" s="2">
        <v>105.93167800000001</v>
      </c>
      <c r="Y11" s="2">
        <v>34.024281000000002</v>
      </c>
      <c r="Z11" s="2">
        <v>4.6214009999999996</v>
      </c>
      <c r="AA11" s="2">
        <v>133.08324400000001</v>
      </c>
      <c r="AB11" s="2">
        <v>10.423544</v>
      </c>
      <c r="AC11" s="2">
        <v>126.00059</v>
      </c>
      <c r="AD11" s="2">
        <v>52.308669999999999</v>
      </c>
      <c r="AE11" s="2">
        <v>71.233755000000002</v>
      </c>
      <c r="AF11" s="2">
        <v>6.9128150000000002</v>
      </c>
      <c r="AG11" s="2">
        <v>34.845415000000003</v>
      </c>
      <c r="AH11" s="2">
        <v>24.676946999999998</v>
      </c>
      <c r="AI11" s="2">
        <v>83.799468000000005</v>
      </c>
      <c r="AJ11" s="2">
        <v>277.82217700000001</v>
      </c>
      <c r="AK11" s="2">
        <v>24.706053000000001</v>
      </c>
      <c r="AL11" s="2">
        <v>8.2842880000000001</v>
      </c>
      <c r="AM11" s="2">
        <v>7.0204700000000004</v>
      </c>
      <c r="AN11" s="2">
        <v>548.77900599999998</v>
      </c>
      <c r="AO11" s="2">
        <v>3.4240050000000002</v>
      </c>
      <c r="AP11" s="2">
        <v>51.276812999999997</v>
      </c>
      <c r="AQ11" s="2">
        <v>1.570999</v>
      </c>
      <c r="AR11" s="2">
        <v>8.6567190000000007</v>
      </c>
      <c r="AS11" s="2">
        <v>0.99742900000000001</v>
      </c>
      <c r="AT11" s="2">
        <v>1013.645537</v>
      </c>
      <c r="AU11" s="2">
        <v>0</v>
      </c>
      <c r="AV11" s="2">
        <v>0</v>
      </c>
      <c r="AW11" s="2">
        <v>2.945192</v>
      </c>
      <c r="AX11" s="2">
        <v>80.370026999999993</v>
      </c>
      <c r="AY11" s="2">
        <v>96.721924000000001</v>
      </c>
      <c r="AZ11" s="2">
        <v>14.403852000000001</v>
      </c>
      <c r="BA11" s="2">
        <v>85.762932000000006</v>
      </c>
      <c r="BB11" s="2">
        <v>32.861862000000002</v>
      </c>
      <c r="BC11" s="2">
        <v>31.915928000000001</v>
      </c>
      <c r="BE11" s="2">
        <f t="shared" si="0"/>
        <v>5007.1176550000009</v>
      </c>
      <c r="BF11" s="2">
        <f t="shared" si="1"/>
        <v>5.0071176550000009</v>
      </c>
    </row>
    <row r="12" spans="1:58">
      <c r="A12" s="7">
        <v>2001</v>
      </c>
      <c r="B12" s="2">
        <v>222.22640999999999</v>
      </c>
      <c r="C12" s="2">
        <v>45.721834000000001</v>
      </c>
      <c r="D12" s="2">
        <v>520.45656499999996</v>
      </c>
      <c r="E12" s="2">
        <v>14.231541999999999</v>
      </c>
      <c r="F12" s="2">
        <v>4.0601830000000003</v>
      </c>
      <c r="G12" s="2">
        <v>1.1554489999999999</v>
      </c>
      <c r="H12" s="2">
        <v>257.65068000000002</v>
      </c>
      <c r="I12" s="2">
        <v>2.2129319999999999</v>
      </c>
      <c r="J12" s="2">
        <v>29.310772</v>
      </c>
      <c r="K12" s="2">
        <v>0.56734099999999998</v>
      </c>
      <c r="L12" s="2">
        <v>0.28318100000000002</v>
      </c>
      <c r="M12" s="2">
        <v>0.45650499999999999</v>
      </c>
      <c r="N12" s="2">
        <v>38.164270999999999</v>
      </c>
      <c r="O12" s="2">
        <v>13.126988000000001</v>
      </c>
      <c r="P12" s="2">
        <v>47.318798000000001</v>
      </c>
      <c r="Q12" s="2">
        <v>873.20787399999995</v>
      </c>
      <c r="R12" s="2">
        <v>3.354587</v>
      </c>
      <c r="S12" s="2">
        <v>2.8348279999999999</v>
      </c>
      <c r="T12" s="2">
        <v>78.797584999999998</v>
      </c>
      <c r="U12" s="2">
        <v>219.947746</v>
      </c>
      <c r="V12" s="2">
        <v>5.8894900000000003</v>
      </c>
      <c r="W12" s="2">
        <v>72.507347999999993</v>
      </c>
      <c r="X12" s="2">
        <v>145.88468399999999</v>
      </c>
      <c r="Y12" s="2">
        <v>44.060108</v>
      </c>
      <c r="Z12" s="2">
        <v>8.2993799999999993</v>
      </c>
      <c r="AA12" s="2">
        <v>138.806929</v>
      </c>
      <c r="AB12" s="2">
        <v>16.765245</v>
      </c>
      <c r="AC12" s="2">
        <v>112.723107</v>
      </c>
      <c r="AD12" s="2">
        <v>40.981223999999997</v>
      </c>
      <c r="AE12" s="2">
        <v>72.864322000000001</v>
      </c>
      <c r="AF12" s="2">
        <v>4.4931279999999996</v>
      </c>
      <c r="AG12" s="2">
        <v>22.927813</v>
      </c>
      <c r="AH12" s="2">
        <v>29.868694999999999</v>
      </c>
      <c r="AI12" s="2">
        <v>87.184162999999998</v>
      </c>
      <c r="AJ12" s="2">
        <v>299.87982399999999</v>
      </c>
      <c r="AK12" s="2">
        <v>22.041053999999999</v>
      </c>
      <c r="AL12" s="2">
        <v>21.216536000000001</v>
      </c>
      <c r="AM12" s="2">
        <v>6.4828979999999996</v>
      </c>
      <c r="AN12" s="2">
        <v>917.18313999999998</v>
      </c>
      <c r="AO12" s="2">
        <v>2.8908689999999999</v>
      </c>
      <c r="AP12" s="2">
        <v>52.556485000000002</v>
      </c>
      <c r="AQ12" s="2">
        <v>1.1145370000000001</v>
      </c>
      <c r="AR12" s="2">
        <v>11.993149000000001</v>
      </c>
      <c r="AS12" s="2">
        <v>1.1154900000000001</v>
      </c>
      <c r="AT12" s="2">
        <v>1048.574038</v>
      </c>
      <c r="AU12" s="2">
        <v>0</v>
      </c>
      <c r="AV12" s="2">
        <v>0</v>
      </c>
      <c r="AW12" s="2">
        <v>2.992489</v>
      </c>
      <c r="AX12" s="2">
        <v>108.75214800000001</v>
      </c>
      <c r="AY12" s="2">
        <v>106.154706</v>
      </c>
      <c r="AZ12" s="2">
        <v>16.240307000000001</v>
      </c>
      <c r="BA12" s="2">
        <v>90.146794</v>
      </c>
      <c r="BB12" s="2">
        <v>38.835925000000003</v>
      </c>
      <c r="BC12" s="2">
        <v>33.264696999999998</v>
      </c>
      <c r="BE12" s="2">
        <f t="shared" si="0"/>
        <v>5959.7767929999991</v>
      </c>
      <c r="BF12" s="2">
        <f t="shared" si="1"/>
        <v>5.9597767929999987</v>
      </c>
    </row>
    <row r="13" spans="1:58">
      <c r="A13" s="7">
        <v>2002</v>
      </c>
      <c r="B13" s="2">
        <v>351.90480300000002</v>
      </c>
      <c r="C13" s="2">
        <v>61.310901000000001</v>
      </c>
      <c r="D13" s="2">
        <v>420.85452099999998</v>
      </c>
      <c r="E13" s="2">
        <v>18.977533999999999</v>
      </c>
      <c r="F13" s="2">
        <v>5.8179889999999999</v>
      </c>
      <c r="G13" s="2">
        <v>2.2270599999999998</v>
      </c>
      <c r="H13" s="2">
        <v>219.71985799999999</v>
      </c>
      <c r="I13" s="2">
        <v>1.839369</v>
      </c>
      <c r="J13" s="2">
        <v>43.971021</v>
      </c>
      <c r="K13" s="2">
        <v>0.68746799999999997</v>
      </c>
      <c r="L13" s="2">
        <v>1.711992</v>
      </c>
      <c r="M13" s="2">
        <v>0.76357699999999995</v>
      </c>
      <c r="N13" s="2">
        <v>39.60859</v>
      </c>
      <c r="O13" s="2">
        <v>18.987898000000001</v>
      </c>
      <c r="P13" s="2">
        <v>49.810338999999999</v>
      </c>
      <c r="Q13" s="2">
        <v>852.92337499999996</v>
      </c>
      <c r="R13" s="2">
        <v>3.2876810000000001</v>
      </c>
      <c r="S13" s="2">
        <v>6.0246240000000002</v>
      </c>
      <c r="T13" s="2">
        <v>96.426038000000005</v>
      </c>
      <c r="U13" s="2">
        <v>392.38699100000002</v>
      </c>
      <c r="V13" s="2">
        <v>4.7043330000000001</v>
      </c>
      <c r="W13" s="2">
        <v>81.899100000000004</v>
      </c>
      <c r="X13" s="2">
        <v>182.305094</v>
      </c>
      <c r="Y13" s="2">
        <v>43.376727000000002</v>
      </c>
      <c r="Z13" s="2">
        <v>4.5039790000000002</v>
      </c>
      <c r="AA13" s="2">
        <v>180.56152299999999</v>
      </c>
      <c r="AB13" s="2">
        <v>24.507669</v>
      </c>
      <c r="AC13" s="2">
        <v>30.105907999999999</v>
      </c>
      <c r="AD13" s="2">
        <v>111.531459</v>
      </c>
      <c r="AE13" s="2">
        <v>40.203994000000002</v>
      </c>
      <c r="AF13" s="2">
        <v>6.5179200000000002</v>
      </c>
      <c r="AG13" s="2">
        <v>21.620799000000002</v>
      </c>
      <c r="AH13" s="2">
        <v>51.997199999999999</v>
      </c>
      <c r="AI13" s="2">
        <v>90.001553000000001</v>
      </c>
      <c r="AJ13" s="2">
        <v>451.26140600000002</v>
      </c>
      <c r="AK13" s="2">
        <v>25.931947000000001</v>
      </c>
      <c r="AL13" s="2">
        <v>20.182178</v>
      </c>
      <c r="AM13" s="2">
        <v>14.742546000000001</v>
      </c>
      <c r="AN13" s="2">
        <v>1047.1465310000001</v>
      </c>
      <c r="AO13" s="2">
        <v>3.861577</v>
      </c>
      <c r="AP13" s="2">
        <v>57.679780000000001</v>
      </c>
      <c r="AQ13" s="2">
        <v>1.4627490000000001</v>
      </c>
      <c r="AR13" s="2">
        <v>14.409758999999999</v>
      </c>
      <c r="AS13" s="2">
        <v>1.832705</v>
      </c>
      <c r="AT13" s="2">
        <v>1310.6345409999999</v>
      </c>
      <c r="AU13" s="2">
        <v>0</v>
      </c>
      <c r="AV13" s="2">
        <v>0</v>
      </c>
      <c r="AW13" s="2">
        <v>4.7262300000000002</v>
      </c>
      <c r="AX13" s="2">
        <v>138.47218599999999</v>
      </c>
      <c r="AY13" s="2">
        <v>144.11341300000001</v>
      </c>
      <c r="AZ13" s="2">
        <v>28.059393</v>
      </c>
      <c r="BA13" s="2">
        <v>121.419167</v>
      </c>
      <c r="BB13" s="2">
        <v>37.190958000000002</v>
      </c>
      <c r="BC13" s="2">
        <v>32.160853000000003</v>
      </c>
      <c r="BE13" s="2">
        <f t="shared" si="0"/>
        <v>6918.366806</v>
      </c>
      <c r="BF13" s="2">
        <f t="shared" si="1"/>
        <v>6.9183668059999999</v>
      </c>
    </row>
    <row r="14" spans="1:58">
      <c r="A14" s="7">
        <v>2003</v>
      </c>
      <c r="B14" s="2">
        <v>645.93743300000006</v>
      </c>
      <c r="C14" s="2">
        <v>145.79121499999999</v>
      </c>
      <c r="D14" s="2">
        <v>471.061511</v>
      </c>
      <c r="E14" s="2">
        <v>22.769682</v>
      </c>
      <c r="F14" s="11">
        <v>11.71017</v>
      </c>
      <c r="G14" s="2">
        <v>3.4447559999999999</v>
      </c>
      <c r="H14" s="2">
        <v>228.22048899999999</v>
      </c>
      <c r="I14" s="2">
        <v>2.5960969999999999</v>
      </c>
      <c r="J14" s="2">
        <v>64.934989000000002</v>
      </c>
      <c r="K14" s="2">
        <v>2.1273080000000002</v>
      </c>
      <c r="L14" s="2">
        <v>1.6796089999999999</v>
      </c>
      <c r="M14" s="2">
        <v>0.69392500000000001</v>
      </c>
      <c r="N14" s="2">
        <v>59.892628999999999</v>
      </c>
      <c r="O14" s="2">
        <v>25.417209</v>
      </c>
      <c r="P14" s="2">
        <v>65.857919999999993</v>
      </c>
      <c r="Q14" s="2">
        <v>936.75839699999995</v>
      </c>
      <c r="R14" s="2">
        <v>5.0480219999999996</v>
      </c>
      <c r="S14" s="2">
        <v>5.4665210000000002</v>
      </c>
      <c r="T14" s="2">
        <v>152.74725799999999</v>
      </c>
      <c r="U14" s="2">
        <v>478.41810400000003</v>
      </c>
      <c r="V14" s="2">
        <v>8.8899699999999999</v>
      </c>
      <c r="W14" s="2">
        <v>115.967838</v>
      </c>
      <c r="X14" s="2">
        <v>321.78645799999998</v>
      </c>
      <c r="Y14" s="2">
        <v>73.285629999999998</v>
      </c>
      <c r="Z14" s="2">
        <v>12.350232</v>
      </c>
      <c r="AA14" s="2">
        <v>241.71230600000001</v>
      </c>
      <c r="AB14" s="2">
        <v>24.882871999999999</v>
      </c>
      <c r="AC14" s="2">
        <v>26.188856000000001</v>
      </c>
      <c r="AD14" s="2">
        <v>174.735322</v>
      </c>
      <c r="AE14" s="2">
        <v>111.69478100000001</v>
      </c>
      <c r="AF14" s="2">
        <v>10.774716</v>
      </c>
      <c r="AG14" s="2">
        <v>35.203986999999998</v>
      </c>
      <c r="AH14" s="2">
        <v>56.485773999999999</v>
      </c>
      <c r="AI14" s="2">
        <v>107.36592400000001</v>
      </c>
      <c r="AJ14" s="2">
        <v>695.78596400000004</v>
      </c>
      <c r="AK14" s="2">
        <v>45.028314000000002</v>
      </c>
      <c r="AL14" s="2">
        <v>37.624411000000002</v>
      </c>
      <c r="AM14" s="2">
        <v>19.335750000000001</v>
      </c>
      <c r="AN14" s="2">
        <v>1785.9727130000001</v>
      </c>
      <c r="AO14" s="2">
        <v>3.5326740000000001</v>
      </c>
      <c r="AP14" s="2">
        <v>72.850864000000001</v>
      </c>
      <c r="AQ14" s="2">
        <v>1.7865260000000001</v>
      </c>
      <c r="AR14" s="2">
        <v>16.606449000000001</v>
      </c>
      <c r="AS14" s="2">
        <v>3.9031030000000002</v>
      </c>
      <c r="AT14" s="2">
        <v>2029.363726</v>
      </c>
      <c r="AU14" s="2">
        <v>0</v>
      </c>
      <c r="AV14" s="2">
        <v>0</v>
      </c>
      <c r="AW14" s="2">
        <v>6.6833819999999999</v>
      </c>
      <c r="AX14" s="2">
        <v>262.54028799999998</v>
      </c>
      <c r="AY14" s="2">
        <v>183.84434999999999</v>
      </c>
      <c r="AZ14" s="2">
        <v>51.388916999999999</v>
      </c>
      <c r="BA14" s="2">
        <v>191.47133099999999</v>
      </c>
      <c r="BB14" s="2">
        <v>34.875031999999997</v>
      </c>
      <c r="BC14" s="2">
        <v>30.265722</v>
      </c>
      <c r="BE14" s="2">
        <f t="shared" si="0"/>
        <v>10124.757425999998</v>
      </c>
      <c r="BF14" s="2">
        <f t="shared" si="1"/>
        <v>10.124757425999999</v>
      </c>
    </row>
    <row r="15" spans="1:58">
      <c r="A15" s="7">
        <v>2004</v>
      </c>
      <c r="B15" s="2">
        <v>980.51934500000004</v>
      </c>
      <c r="C15" s="2">
        <v>193.51790500000001</v>
      </c>
      <c r="D15" s="2">
        <v>577.26233999999999</v>
      </c>
      <c r="E15" s="2">
        <v>49.541361000000002</v>
      </c>
      <c r="F15" s="2">
        <v>12.335119000000001</v>
      </c>
      <c r="G15" s="2">
        <v>4.814095</v>
      </c>
      <c r="H15" s="2">
        <v>123.013857</v>
      </c>
      <c r="I15" s="2">
        <v>2.7462110000000002</v>
      </c>
      <c r="J15" s="2">
        <v>100.016605</v>
      </c>
      <c r="K15" s="2">
        <v>3.3237130000000001</v>
      </c>
      <c r="L15" s="2">
        <v>5.9391249999999998</v>
      </c>
      <c r="M15" s="2">
        <v>1.295299</v>
      </c>
      <c r="N15" s="2">
        <v>93.031845000000004</v>
      </c>
      <c r="O15" s="2">
        <v>36.985968</v>
      </c>
      <c r="P15" s="2">
        <v>72.219817000000006</v>
      </c>
      <c r="Q15" s="2">
        <v>1388.434677</v>
      </c>
      <c r="R15" s="2">
        <v>10.124623</v>
      </c>
      <c r="S15" s="2">
        <v>7.5415520000000003</v>
      </c>
      <c r="T15" s="2">
        <v>194.054868</v>
      </c>
      <c r="U15" s="2">
        <v>815.88702000000001</v>
      </c>
      <c r="V15" s="2">
        <v>14.158359000000001</v>
      </c>
      <c r="W15" s="2">
        <v>124.229778</v>
      </c>
      <c r="X15" s="2">
        <v>510.39965799999999</v>
      </c>
      <c r="Y15" s="2">
        <v>93.017009999999999</v>
      </c>
      <c r="Z15" s="2">
        <v>5.9943039999999996</v>
      </c>
      <c r="AA15" s="2">
        <v>348.79389600000002</v>
      </c>
      <c r="AB15" s="2">
        <v>47.453619000000003</v>
      </c>
      <c r="AC15" s="2">
        <v>181.807571</v>
      </c>
      <c r="AD15" s="2">
        <v>254.98476199999999</v>
      </c>
      <c r="AE15" s="2">
        <v>152.07926800000001</v>
      </c>
      <c r="AF15" s="2">
        <v>18.764543</v>
      </c>
      <c r="AG15" s="2">
        <v>58.767657999999997</v>
      </c>
      <c r="AH15" s="2">
        <v>64.332937999999999</v>
      </c>
      <c r="AI15" s="2">
        <v>151.19000800000001</v>
      </c>
      <c r="AJ15" s="2">
        <v>943.47995300000002</v>
      </c>
      <c r="AK15" s="2">
        <v>75.154315999999994</v>
      </c>
      <c r="AL15" s="2">
        <v>52.539174000000003</v>
      </c>
      <c r="AM15" s="2">
        <v>24.995412000000002</v>
      </c>
      <c r="AN15" s="2">
        <v>1718.5591489999999</v>
      </c>
      <c r="AO15" s="2">
        <v>5.1303520000000002</v>
      </c>
      <c r="AP15" s="2">
        <v>108.308415</v>
      </c>
      <c r="AQ15" s="2">
        <v>1.782397</v>
      </c>
      <c r="AR15" s="2">
        <v>28.257158</v>
      </c>
      <c r="AS15" s="2">
        <v>9.5223790000000008</v>
      </c>
      <c r="AT15" s="11">
        <v>2951.9039349999998</v>
      </c>
      <c r="AU15" s="2">
        <v>0</v>
      </c>
      <c r="AV15" s="2">
        <v>0</v>
      </c>
      <c r="AW15" s="2">
        <v>11.490917</v>
      </c>
      <c r="AX15" s="2">
        <v>398.65410100000003</v>
      </c>
      <c r="AY15" s="2">
        <v>245.090012</v>
      </c>
      <c r="AZ15" s="2">
        <v>76.427059999999997</v>
      </c>
      <c r="BA15" s="2">
        <v>215.97226000000001</v>
      </c>
      <c r="BB15" s="2">
        <v>51.042489000000003</v>
      </c>
      <c r="BC15" s="2">
        <v>113.063202</v>
      </c>
      <c r="BE15" s="2">
        <f t="shared" si="0"/>
        <v>13729.951398000001</v>
      </c>
      <c r="BF15" s="2">
        <f t="shared" si="1"/>
        <v>13.729951398000001</v>
      </c>
    </row>
    <row r="16" spans="1:58">
      <c r="A16" s="7">
        <v>2005</v>
      </c>
      <c r="B16" s="2">
        <v>1404.420063</v>
      </c>
      <c r="C16" s="2">
        <v>372.79394600000001</v>
      </c>
      <c r="D16" s="2">
        <v>952.951911</v>
      </c>
      <c r="E16" s="2">
        <v>58.513171</v>
      </c>
      <c r="F16" s="2">
        <v>16.135432999999999</v>
      </c>
      <c r="G16" s="2">
        <v>11.889091000000001</v>
      </c>
      <c r="H16" s="2">
        <v>137.02460400000001</v>
      </c>
      <c r="I16" s="2">
        <v>5.1877880000000003</v>
      </c>
      <c r="J16" s="2">
        <v>129.87252100000001</v>
      </c>
      <c r="K16" s="2">
        <v>7.0879329999999996</v>
      </c>
      <c r="L16" s="2">
        <v>14.932194000000001</v>
      </c>
      <c r="M16" s="2">
        <v>1.826635</v>
      </c>
      <c r="N16" s="2">
        <v>144.70741200000001</v>
      </c>
      <c r="O16" s="2">
        <v>49.708841999999997</v>
      </c>
      <c r="P16" s="2">
        <v>111.458674</v>
      </c>
      <c r="Q16" s="2">
        <v>1934.0359249999999</v>
      </c>
      <c r="R16" s="2">
        <v>18.801431000000001</v>
      </c>
      <c r="S16" s="2">
        <v>7.8286429999999996</v>
      </c>
      <c r="T16" s="2">
        <v>284.00120900000002</v>
      </c>
      <c r="U16" s="2">
        <v>1293.5922190000001</v>
      </c>
      <c r="V16" s="2">
        <v>41.277137000000003</v>
      </c>
      <c r="W16" s="2">
        <v>124.35007</v>
      </c>
      <c r="X16" s="2">
        <v>672.42350299999998</v>
      </c>
      <c r="Y16" s="2">
        <v>144.31333900000001</v>
      </c>
      <c r="Z16" s="2">
        <v>5.7938890000000001</v>
      </c>
      <c r="AA16" s="2">
        <v>456.91499599999997</v>
      </c>
      <c r="AB16" s="2">
        <v>55.819730999999997</v>
      </c>
      <c r="AC16" s="2">
        <v>149.63444000000001</v>
      </c>
      <c r="AD16" s="2">
        <v>360.49907899999999</v>
      </c>
      <c r="AE16" s="2">
        <v>182.639521</v>
      </c>
      <c r="AF16" s="2">
        <v>16.350954000000002</v>
      </c>
      <c r="AG16" s="2">
        <v>65.937472</v>
      </c>
      <c r="AH16" s="2">
        <v>74.295916000000005</v>
      </c>
      <c r="AI16" s="2">
        <v>177.34171000000001</v>
      </c>
      <c r="AJ16" s="2">
        <v>1206.4263450000001</v>
      </c>
      <c r="AK16" s="2">
        <v>91.477874</v>
      </c>
      <c r="AL16" s="2">
        <v>60.354112999999998</v>
      </c>
      <c r="AM16" s="2">
        <v>33.900395000000003</v>
      </c>
      <c r="AN16" s="2">
        <v>2303.1618100000001</v>
      </c>
      <c r="AO16" s="2">
        <v>12.009031999999999</v>
      </c>
      <c r="AP16" s="2">
        <v>133.079668</v>
      </c>
      <c r="AQ16" s="2">
        <v>3.4026260000000002</v>
      </c>
      <c r="AR16" s="2">
        <v>30.756367000000001</v>
      </c>
      <c r="AS16" s="2">
        <v>16.566621000000001</v>
      </c>
      <c r="AT16" s="11">
        <v>3825.9650790000001</v>
      </c>
      <c r="AU16" s="2">
        <v>0</v>
      </c>
      <c r="AV16" s="2">
        <v>0</v>
      </c>
      <c r="AW16" s="2">
        <v>11.031499</v>
      </c>
      <c r="AX16" s="2">
        <v>538.09470999999996</v>
      </c>
      <c r="AY16" s="2">
        <v>295.537058</v>
      </c>
      <c r="AZ16" s="2">
        <v>79.366339999999994</v>
      </c>
      <c r="BA16" s="2">
        <v>303.58171800000002</v>
      </c>
      <c r="BB16" s="2">
        <v>48.495054000000003</v>
      </c>
      <c r="BC16" s="2">
        <v>125.369781</v>
      </c>
      <c r="BE16" s="2">
        <f t="shared" si="0"/>
        <v>18602.937492000001</v>
      </c>
      <c r="BF16" s="2">
        <f t="shared" si="1"/>
        <v>18.602937492000002</v>
      </c>
    </row>
    <row r="17" spans="1:58">
      <c r="A17" s="7">
        <v>2006</v>
      </c>
      <c r="B17" s="2">
        <v>1947.5144869999999</v>
      </c>
      <c r="C17" s="2">
        <v>894.18563300000005</v>
      </c>
      <c r="D17" s="2">
        <v>1452.096313</v>
      </c>
      <c r="E17" s="2">
        <v>61.781657000000003</v>
      </c>
      <c r="F17" s="2">
        <v>19.346381999999998</v>
      </c>
      <c r="G17" s="2">
        <v>10.178765</v>
      </c>
      <c r="H17" s="2">
        <v>227.47805</v>
      </c>
      <c r="I17" s="2">
        <v>10.09409</v>
      </c>
      <c r="J17" s="2">
        <v>191.14675</v>
      </c>
      <c r="K17" s="2">
        <v>1.6926920000000001</v>
      </c>
      <c r="L17" s="2">
        <v>14.142811</v>
      </c>
      <c r="M17" s="2">
        <v>6.1952800000000003</v>
      </c>
      <c r="N17" s="2">
        <v>241.473522</v>
      </c>
      <c r="O17" s="2">
        <v>68.765349999999998</v>
      </c>
      <c r="P17" s="2">
        <v>154.950084</v>
      </c>
      <c r="Q17" s="2">
        <v>2975.5013140000001</v>
      </c>
      <c r="R17" s="2">
        <v>41.107987999999999</v>
      </c>
      <c r="S17" s="2">
        <v>37.946081</v>
      </c>
      <c r="T17" s="2">
        <v>430.77015799999998</v>
      </c>
      <c r="U17" s="2">
        <v>1410.328737</v>
      </c>
      <c r="V17" s="2">
        <v>63.877429999999997</v>
      </c>
      <c r="W17" s="2">
        <v>162.43814499999999</v>
      </c>
      <c r="X17" s="2">
        <v>803.09191999999996</v>
      </c>
      <c r="Y17" s="2">
        <v>175.49104600000001</v>
      </c>
      <c r="Z17" s="2">
        <v>5.6770560000000003</v>
      </c>
      <c r="AA17" s="2">
        <v>621.04020600000001</v>
      </c>
      <c r="AB17" s="2">
        <v>64.422155000000004</v>
      </c>
      <c r="AC17" s="2">
        <v>529.84374000000003</v>
      </c>
      <c r="AD17" s="2">
        <v>704.105006</v>
      </c>
      <c r="AE17" s="2">
        <v>222.56288000000001</v>
      </c>
      <c r="AF17" s="2">
        <v>30.741468999999999</v>
      </c>
      <c r="AG17" s="2">
        <v>74.987757999999999</v>
      </c>
      <c r="AH17" s="2">
        <v>109.240061</v>
      </c>
      <c r="AI17" s="2">
        <v>197.75389999999999</v>
      </c>
      <c r="AJ17" s="2">
        <v>1569.526374</v>
      </c>
      <c r="AK17" s="2">
        <v>127.940363</v>
      </c>
      <c r="AL17" s="2">
        <v>133.15786399999999</v>
      </c>
      <c r="AM17" s="2">
        <v>71.761551999999995</v>
      </c>
      <c r="AN17" s="2">
        <v>2852.1519389999999</v>
      </c>
      <c r="AO17" s="2">
        <v>12.406055</v>
      </c>
      <c r="AP17" s="2">
        <v>187.26678000000001</v>
      </c>
      <c r="AQ17" s="2">
        <v>5.3026080000000002</v>
      </c>
      <c r="AR17" s="2">
        <v>38.978594999999999</v>
      </c>
      <c r="AS17" s="2">
        <v>27.577798999999999</v>
      </c>
      <c r="AT17" s="11">
        <v>5767.7091019999998</v>
      </c>
      <c r="AU17" s="2">
        <v>0</v>
      </c>
      <c r="AV17" s="2">
        <v>0</v>
      </c>
      <c r="AW17" s="2">
        <v>7.2225099999999998</v>
      </c>
      <c r="AX17" s="2">
        <v>704.01468199999999</v>
      </c>
      <c r="AY17" s="2">
        <v>357.54530999999997</v>
      </c>
      <c r="AZ17" s="2">
        <v>137.801795</v>
      </c>
      <c r="BA17" s="2">
        <v>382.77307999999999</v>
      </c>
      <c r="BB17" s="2">
        <v>102.525357</v>
      </c>
      <c r="BC17" s="2">
        <v>136.292517</v>
      </c>
      <c r="BE17" s="2">
        <f t="shared" si="0"/>
        <v>26583.923198</v>
      </c>
      <c r="BF17" s="2">
        <f t="shared" si="1"/>
        <v>26.583923198000001</v>
      </c>
    </row>
    <row r="18" spans="1:58">
      <c r="A18" s="7">
        <v>2007</v>
      </c>
      <c r="B18" s="2">
        <v>2741.975093</v>
      </c>
      <c r="C18" s="2">
        <v>1234.5186510000001</v>
      </c>
      <c r="D18" s="2">
        <v>1975.914634</v>
      </c>
      <c r="E18" s="2">
        <v>119.879176</v>
      </c>
      <c r="F18" s="2">
        <v>43.690930999999999</v>
      </c>
      <c r="G18" s="2">
        <v>13.034352999999999</v>
      </c>
      <c r="H18" s="2">
        <v>414.675453</v>
      </c>
      <c r="I18" s="2">
        <v>16.826488000000001</v>
      </c>
      <c r="J18" s="2">
        <v>299.05597699999998</v>
      </c>
      <c r="K18" s="2">
        <v>8.8654489999999999</v>
      </c>
      <c r="L18" s="2">
        <v>69.660381999999998</v>
      </c>
      <c r="M18" s="2">
        <v>7.6987410000000001</v>
      </c>
      <c r="N18" s="2">
        <v>435.894136</v>
      </c>
      <c r="O18" s="2">
        <v>94.011281999999994</v>
      </c>
      <c r="P18" s="2">
        <v>166.85880900000001</v>
      </c>
      <c r="Q18" s="2">
        <v>4468.0992299999998</v>
      </c>
      <c r="R18" s="2">
        <v>92.790801999999999</v>
      </c>
      <c r="S18" s="2">
        <v>26.934494999999998</v>
      </c>
      <c r="T18" s="2">
        <v>778.35952399999996</v>
      </c>
      <c r="U18" s="2">
        <v>1554.4612709999999</v>
      </c>
      <c r="V18" s="2">
        <v>103.84598</v>
      </c>
      <c r="W18" s="2">
        <v>185.55712800000001</v>
      </c>
      <c r="X18" s="2">
        <v>1228.0156469999999</v>
      </c>
      <c r="Y18" s="2">
        <v>264.63374199999998</v>
      </c>
      <c r="Z18" s="2">
        <v>7.3088230000000003</v>
      </c>
      <c r="AA18" s="2">
        <v>948.14885100000004</v>
      </c>
      <c r="AB18" s="2">
        <v>56.661693999999997</v>
      </c>
      <c r="AC18" s="2">
        <v>803.06767000000002</v>
      </c>
      <c r="AD18" s="2">
        <v>870.99226899999996</v>
      </c>
      <c r="AE18" s="2">
        <v>329.77987999999999</v>
      </c>
      <c r="AF18" s="2">
        <v>42.387748000000002</v>
      </c>
      <c r="AG18" s="2">
        <v>125.374337</v>
      </c>
      <c r="AH18" s="2">
        <v>138.59974299999999</v>
      </c>
      <c r="AI18" s="2">
        <v>286.14704699999999</v>
      </c>
      <c r="AJ18" s="2">
        <v>2182.695252</v>
      </c>
      <c r="AK18" s="2">
        <v>163.55294000000001</v>
      </c>
      <c r="AL18" s="2">
        <v>246.52275700000001</v>
      </c>
      <c r="AM18" s="2">
        <v>30.735399999999998</v>
      </c>
      <c r="AN18" s="2">
        <v>3799.461765</v>
      </c>
      <c r="AO18" s="2">
        <v>34.865729999999999</v>
      </c>
      <c r="AP18" s="2">
        <v>335.02715000000001</v>
      </c>
      <c r="AQ18" s="2">
        <v>7.5288769999999996</v>
      </c>
      <c r="AR18" s="2">
        <v>58.590994999999999</v>
      </c>
      <c r="AS18" s="2">
        <v>26.658317</v>
      </c>
      <c r="AT18" s="11">
        <v>7444.900447</v>
      </c>
      <c r="AU18" s="2">
        <v>0</v>
      </c>
      <c r="AV18" s="2">
        <v>0</v>
      </c>
      <c r="AW18" s="2">
        <v>13.228593999999999</v>
      </c>
      <c r="AX18" s="2">
        <v>1376.5043439999999</v>
      </c>
      <c r="AY18" s="2">
        <v>491.79751099999999</v>
      </c>
      <c r="AZ18" s="2">
        <v>202.945426</v>
      </c>
      <c r="BA18" s="2">
        <v>602.96861200000001</v>
      </c>
      <c r="BB18" s="2">
        <v>198.26513600000001</v>
      </c>
      <c r="BC18" s="2">
        <v>203.34666799999999</v>
      </c>
      <c r="BE18" s="2">
        <f t="shared" si="0"/>
        <v>37373.321356999993</v>
      </c>
      <c r="BF18" s="2">
        <f t="shared" si="1"/>
        <v>37.373321356999995</v>
      </c>
    </row>
    <row r="19" spans="1:58">
      <c r="A19" s="7">
        <v>2008</v>
      </c>
      <c r="B19" s="2">
        <v>3751.909956</v>
      </c>
      <c r="C19" s="2">
        <v>2942.469756</v>
      </c>
      <c r="D19" s="2">
        <v>2314.1149260000002</v>
      </c>
      <c r="E19" s="2">
        <v>169.151779</v>
      </c>
      <c r="F19" s="2">
        <v>46.193300000000001</v>
      </c>
      <c r="G19" s="2">
        <v>17.682013999999999</v>
      </c>
      <c r="H19" s="2">
        <v>531.50075100000004</v>
      </c>
      <c r="I19" s="2">
        <v>14.953954</v>
      </c>
      <c r="J19" s="2">
        <v>379.28350399999999</v>
      </c>
      <c r="K19" s="2">
        <v>11.295054</v>
      </c>
      <c r="L19" s="2">
        <v>79.929857999999996</v>
      </c>
      <c r="M19" s="2">
        <v>25.444110999999999</v>
      </c>
      <c r="N19" s="2">
        <v>614.28096100000005</v>
      </c>
      <c r="O19" s="2">
        <v>234.58078399999999</v>
      </c>
      <c r="P19" s="2">
        <v>252.26759699999999</v>
      </c>
      <c r="Q19" s="2">
        <v>5874.260276</v>
      </c>
      <c r="R19" s="2">
        <v>277.39090399999998</v>
      </c>
      <c r="S19" s="2">
        <v>28.978356000000002</v>
      </c>
      <c r="T19" s="2">
        <v>1230.7193090000001</v>
      </c>
      <c r="U19" s="2">
        <v>1874.3336409999999</v>
      </c>
      <c r="V19" s="2">
        <v>139.60227699999999</v>
      </c>
      <c r="W19" s="2">
        <v>175.72481999999999</v>
      </c>
      <c r="X19" s="2">
        <v>1747.886207</v>
      </c>
      <c r="Y19" s="2">
        <v>334.45592499999998</v>
      </c>
      <c r="Z19" s="2">
        <v>6.146998</v>
      </c>
      <c r="AA19" s="2">
        <v>1249.332629</v>
      </c>
      <c r="AB19" s="2">
        <v>79.639137000000005</v>
      </c>
      <c r="AC19" s="2">
        <v>1137.053412</v>
      </c>
      <c r="AD19" s="2">
        <v>1640.447152</v>
      </c>
      <c r="AE19" s="2">
        <v>602.59325899999999</v>
      </c>
      <c r="AF19" s="2">
        <v>81.050453000000005</v>
      </c>
      <c r="AG19" s="2">
        <v>167.73249100000001</v>
      </c>
      <c r="AH19" s="2">
        <v>189.09320700000001</v>
      </c>
      <c r="AI19" s="2">
        <v>320.08768800000001</v>
      </c>
      <c r="AJ19" s="2">
        <v>2348.9260140000001</v>
      </c>
      <c r="AK19" s="2">
        <v>295.99494900000002</v>
      </c>
      <c r="AL19" s="2">
        <v>243.16546600000001</v>
      </c>
      <c r="AM19" s="2">
        <v>166.81298899999999</v>
      </c>
      <c r="AN19" s="2">
        <v>6767.0524379999997</v>
      </c>
      <c r="AO19" s="2">
        <v>59.374419000000003</v>
      </c>
      <c r="AP19" s="2">
        <v>401.55109299999998</v>
      </c>
      <c r="AQ19" s="2">
        <v>14.129921</v>
      </c>
      <c r="AR19" s="2">
        <v>78.770652999999996</v>
      </c>
      <c r="AS19" s="2">
        <v>40.338653000000001</v>
      </c>
      <c r="AT19" s="11">
        <v>8617.6216249999998</v>
      </c>
      <c r="AU19" s="2">
        <v>0</v>
      </c>
      <c r="AV19" s="2">
        <v>0</v>
      </c>
      <c r="AW19" s="2">
        <v>20.603929000000001</v>
      </c>
      <c r="AX19" s="2">
        <v>1218.236519</v>
      </c>
      <c r="AY19" s="2">
        <v>696.86067800000001</v>
      </c>
      <c r="AZ19" s="2">
        <v>230.10040599999999</v>
      </c>
      <c r="BA19" s="2">
        <v>950.43890699999997</v>
      </c>
      <c r="BB19" s="2">
        <v>264.34774499999997</v>
      </c>
      <c r="BC19" s="2">
        <v>133.099999</v>
      </c>
      <c r="BE19" s="2">
        <f t="shared" si="0"/>
        <v>51089.012848999992</v>
      </c>
      <c r="BF19" s="2">
        <f t="shared" si="1"/>
        <v>51.089012848999992</v>
      </c>
    </row>
    <row r="20" spans="1:58">
      <c r="A20" s="7">
        <v>2009</v>
      </c>
      <c r="B20" s="2">
        <v>4180.2390320000004</v>
      </c>
      <c r="C20" s="2">
        <v>2385.960008</v>
      </c>
      <c r="D20" s="2">
        <v>1952.662272</v>
      </c>
      <c r="E20" s="2">
        <v>165.398425</v>
      </c>
      <c r="F20" s="2">
        <v>42.682161000000001</v>
      </c>
      <c r="G20" s="2">
        <v>33.987912999999999</v>
      </c>
      <c r="H20" s="2">
        <v>504.86251600000003</v>
      </c>
      <c r="I20" s="2">
        <v>35.405031999999999</v>
      </c>
      <c r="J20" s="2">
        <v>415.875564</v>
      </c>
      <c r="K20" s="2">
        <v>12.731811</v>
      </c>
      <c r="L20" s="2">
        <v>148.898472</v>
      </c>
      <c r="M20" s="2">
        <v>11.169017</v>
      </c>
      <c r="N20" s="2">
        <v>366.637047</v>
      </c>
      <c r="O20" s="2">
        <v>321.20916099999999</v>
      </c>
      <c r="P20" s="2">
        <v>294.60183000000001</v>
      </c>
      <c r="Q20" s="2">
        <v>5107.3594560000001</v>
      </c>
      <c r="R20" s="2">
        <v>358.42381999999998</v>
      </c>
      <c r="S20" s="2">
        <v>39.478195999999997</v>
      </c>
      <c r="T20" s="2">
        <v>1252.4604879999999</v>
      </c>
      <c r="U20" s="2">
        <v>1705.3920450000001</v>
      </c>
      <c r="V20" s="2">
        <v>154.710196</v>
      </c>
      <c r="W20" s="2">
        <v>167.548551</v>
      </c>
      <c r="X20" s="2">
        <v>1533.7012279999999</v>
      </c>
      <c r="Y20" s="2">
        <v>281.38427200000001</v>
      </c>
      <c r="Z20" s="2">
        <v>23.193643999999999</v>
      </c>
      <c r="AA20" s="2">
        <v>1277.439292</v>
      </c>
      <c r="AB20" s="2">
        <v>50.392195000000001</v>
      </c>
      <c r="AC20" s="2">
        <v>1881.496609</v>
      </c>
      <c r="AD20" s="2">
        <v>2002.911519</v>
      </c>
      <c r="AE20" s="2">
        <v>395.38309299999997</v>
      </c>
      <c r="AF20" s="2">
        <v>65.134182999999993</v>
      </c>
      <c r="AG20" s="2">
        <v>167.59706299999999</v>
      </c>
      <c r="AH20" s="2">
        <v>241.780764</v>
      </c>
      <c r="AI20" s="2">
        <v>292.12894899999998</v>
      </c>
      <c r="AJ20" s="2">
        <v>2129.257748</v>
      </c>
      <c r="AK20" s="2">
        <v>339.13380999999998</v>
      </c>
      <c r="AL20" s="2">
        <v>264.49717099999998</v>
      </c>
      <c r="AM20" s="2">
        <v>283.71698199999997</v>
      </c>
      <c r="AN20" s="2">
        <v>5475.5940579999997</v>
      </c>
      <c r="AO20" s="2">
        <v>57.986547000000002</v>
      </c>
      <c r="AP20" s="2">
        <v>399.309146</v>
      </c>
      <c r="AQ20" s="2">
        <v>15.248278000000001</v>
      </c>
      <c r="AR20" s="2">
        <v>54.661535999999998</v>
      </c>
      <c r="AS20" s="2">
        <v>67.308549999999997</v>
      </c>
      <c r="AT20" s="11">
        <v>7365.5884910000004</v>
      </c>
      <c r="AU20" s="2">
        <v>0</v>
      </c>
      <c r="AV20" s="2">
        <v>0</v>
      </c>
      <c r="AW20" s="2">
        <v>18.052675000000001</v>
      </c>
      <c r="AX20" s="2">
        <v>1129.8011670000001</v>
      </c>
      <c r="AY20" s="2">
        <v>711.18093199999998</v>
      </c>
      <c r="AZ20" s="2">
        <v>231.17213599999999</v>
      </c>
      <c r="BA20" s="2">
        <v>914.05248300000005</v>
      </c>
      <c r="BB20" s="2">
        <v>152.029661</v>
      </c>
      <c r="BC20" s="2">
        <v>156.28465800000001</v>
      </c>
      <c r="BE20" s="2">
        <f t="shared" si="0"/>
        <v>47635.111853000002</v>
      </c>
      <c r="BF20" s="2">
        <f t="shared" si="1"/>
        <v>47.635111853000005</v>
      </c>
    </row>
    <row r="21" spans="1:58">
      <c r="A21" s="7">
        <v>2010</v>
      </c>
      <c r="B21" s="2">
        <v>3999.9988750000002</v>
      </c>
      <c r="C21" s="2">
        <v>2003.872576</v>
      </c>
      <c r="D21" s="2">
        <v>2273.6775259999999</v>
      </c>
      <c r="E21" s="2">
        <v>369.50301999999999</v>
      </c>
      <c r="F21" s="2">
        <v>47.955571999999997</v>
      </c>
      <c r="G21" s="2">
        <v>33.360723</v>
      </c>
      <c r="H21" s="2">
        <v>548.51980700000001</v>
      </c>
      <c r="I21" s="2">
        <v>34.335093000000001</v>
      </c>
      <c r="J21" s="2">
        <v>540.79311399999995</v>
      </c>
      <c r="K21" s="2">
        <v>22.857137999999999</v>
      </c>
      <c r="L21" s="2">
        <v>308.491015</v>
      </c>
      <c r="M21" s="2">
        <v>13.347275</v>
      </c>
      <c r="N21" s="2">
        <v>353.70929599999999</v>
      </c>
      <c r="O21" s="2">
        <v>473.40539999999999</v>
      </c>
      <c r="P21" s="2">
        <v>444.06112999999999</v>
      </c>
      <c r="Q21" s="2">
        <v>6040.9842680000002</v>
      </c>
      <c r="R21" s="2">
        <v>456.241241</v>
      </c>
      <c r="S21" s="2">
        <v>38.799686999999999</v>
      </c>
      <c r="T21" s="2">
        <v>1209.615368</v>
      </c>
      <c r="U21" s="2">
        <v>1950.7727339999999</v>
      </c>
      <c r="V21" s="2">
        <v>205.80742699999999</v>
      </c>
      <c r="W21" s="2">
        <v>186.78398300000001</v>
      </c>
      <c r="X21" s="2">
        <v>1932.8717280000001</v>
      </c>
      <c r="Y21" s="2">
        <v>421.34966100000003</v>
      </c>
      <c r="Z21" s="2">
        <v>9.4337</v>
      </c>
      <c r="AA21" s="2">
        <v>1786.303416</v>
      </c>
      <c r="AB21" s="2">
        <v>59.362558</v>
      </c>
      <c r="AC21" s="2">
        <v>4396.8827510000001</v>
      </c>
      <c r="AD21" s="2">
        <v>2061.3581049999998</v>
      </c>
      <c r="AE21" s="2">
        <v>396.79070400000001</v>
      </c>
      <c r="AF21" s="2">
        <v>80.077072999999999</v>
      </c>
      <c r="AG21" s="2">
        <v>229.69320200000001</v>
      </c>
      <c r="AH21" s="2">
        <v>284.96781700000003</v>
      </c>
      <c r="AI21" s="2">
        <v>393.28666900000002</v>
      </c>
      <c r="AJ21" s="2">
        <v>2484.4717369999998</v>
      </c>
      <c r="AK21" s="2">
        <v>496.39103599999999</v>
      </c>
      <c r="AL21" s="2">
        <v>229.54208399999999</v>
      </c>
      <c r="AM21" s="2">
        <v>272.147942</v>
      </c>
      <c r="AN21" s="2">
        <v>6696.8435520000003</v>
      </c>
      <c r="AO21" s="2">
        <v>49.992756</v>
      </c>
      <c r="AP21" s="2">
        <v>498.32062999999999</v>
      </c>
      <c r="AQ21" s="2">
        <v>14.856002</v>
      </c>
      <c r="AR21" s="2">
        <v>98.352345999999997</v>
      </c>
      <c r="AS21" s="2">
        <v>72.231572999999997</v>
      </c>
      <c r="AT21" s="11">
        <v>10799.862041</v>
      </c>
      <c r="AU21" s="2">
        <v>0</v>
      </c>
      <c r="AV21" s="2">
        <v>0</v>
      </c>
      <c r="AW21" s="2">
        <v>28.973832000000002</v>
      </c>
      <c r="AX21" s="2">
        <v>1333.109917</v>
      </c>
      <c r="AY21" s="2">
        <v>994.89338599999996</v>
      </c>
      <c r="AZ21" s="2">
        <v>257.52605799999998</v>
      </c>
      <c r="BA21" s="2">
        <v>1253.12661</v>
      </c>
      <c r="BB21" s="2">
        <v>301.67554000000001</v>
      </c>
      <c r="BC21" s="2">
        <v>315.86280799999997</v>
      </c>
      <c r="BE21" s="2">
        <f t="shared" si="0"/>
        <v>59807.44950200001</v>
      </c>
      <c r="BF21" s="2">
        <f t="shared" si="1"/>
        <v>59.807449502000011</v>
      </c>
    </row>
    <row r="22" spans="1:58">
      <c r="A22" s="7">
        <v>2011</v>
      </c>
      <c r="B22" s="2">
        <v>4471.8821420000004</v>
      </c>
      <c r="C22" s="2">
        <v>2784.153366</v>
      </c>
      <c r="D22" s="2">
        <v>2874.6845159999998</v>
      </c>
      <c r="E22" s="2">
        <v>616.16151100000002</v>
      </c>
      <c r="F22" s="2">
        <v>55.618684000000002</v>
      </c>
      <c r="G22" s="2">
        <v>42.54383</v>
      </c>
      <c r="H22" s="2">
        <v>540.63327100000004</v>
      </c>
      <c r="I22" s="2">
        <v>49.751685000000002</v>
      </c>
      <c r="J22" s="2">
        <v>874.10890600000005</v>
      </c>
      <c r="K22" s="2">
        <v>14.271013</v>
      </c>
      <c r="L22" s="2">
        <v>94.803478999999996</v>
      </c>
      <c r="M22" s="2">
        <v>8.1860189999999999</v>
      </c>
      <c r="N22" s="2">
        <v>489.43114200000002</v>
      </c>
      <c r="O22" s="2">
        <v>826.68460600000003</v>
      </c>
      <c r="P22" s="2">
        <v>508.85329899999999</v>
      </c>
      <c r="Q22" s="2">
        <v>7283.2326839999996</v>
      </c>
      <c r="R22" s="2">
        <v>266.317114</v>
      </c>
      <c r="S22" s="2">
        <v>148.15597399999999</v>
      </c>
      <c r="T22" s="2">
        <v>885.361446</v>
      </c>
      <c r="U22" s="2">
        <v>1994.639833</v>
      </c>
      <c r="V22" s="2">
        <v>269.91491200000002</v>
      </c>
      <c r="W22" s="2">
        <v>290.968234</v>
      </c>
      <c r="X22" s="2">
        <v>3109.948453</v>
      </c>
      <c r="Y22" s="2">
        <v>630.17042500000002</v>
      </c>
      <c r="Z22" s="2">
        <v>14.850937</v>
      </c>
      <c r="AA22" s="2">
        <v>2368.7751090000002</v>
      </c>
      <c r="AB22" s="2">
        <v>73.108508</v>
      </c>
      <c r="AC22" s="2">
        <v>4966.6867940000002</v>
      </c>
      <c r="AD22" s="2">
        <v>720.37916299999995</v>
      </c>
      <c r="AE22" s="2">
        <v>503.37623200000002</v>
      </c>
      <c r="AF22" s="2">
        <v>112.097469</v>
      </c>
      <c r="AG22" s="2">
        <v>297.73484300000001</v>
      </c>
      <c r="AH22" s="2">
        <v>386.274767</v>
      </c>
      <c r="AI22" s="2">
        <v>496.927164</v>
      </c>
      <c r="AJ22" s="2">
        <v>3042.6494309999998</v>
      </c>
      <c r="AK22" s="2">
        <v>700.24702600000001</v>
      </c>
      <c r="AL22" s="2">
        <v>282.26452799999998</v>
      </c>
      <c r="AM22" s="2">
        <v>142.16698099999999</v>
      </c>
      <c r="AN22" s="2">
        <v>9205.5742750000009</v>
      </c>
      <c r="AO22" s="2">
        <v>66.652479999999997</v>
      </c>
      <c r="AP22" s="2">
        <v>680.36071100000004</v>
      </c>
      <c r="AQ22" s="2">
        <v>35.009605000000001</v>
      </c>
      <c r="AR22" s="2">
        <v>224.83375000000001</v>
      </c>
      <c r="AS22" s="2">
        <v>91.208549000000005</v>
      </c>
      <c r="AT22" s="11">
        <v>13362.300051</v>
      </c>
      <c r="AU22" s="2">
        <v>0</v>
      </c>
      <c r="AV22" s="2">
        <v>0</v>
      </c>
      <c r="AW22" s="2">
        <v>30.685634</v>
      </c>
      <c r="AX22" s="2">
        <v>1831.410255</v>
      </c>
      <c r="AY22" s="2">
        <v>1112.7270840000001</v>
      </c>
      <c r="AZ22" s="2">
        <v>359.38170300000002</v>
      </c>
      <c r="BA22" s="2">
        <v>1653.6317309999999</v>
      </c>
      <c r="BB22" s="2">
        <v>617.33508600000005</v>
      </c>
      <c r="BC22" s="2">
        <v>410.27776799999998</v>
      </c>
      <c r="BE22" s="2">
        <f t="shared" si="0"/>
        <v>72919.404177999997</v>
      </c>
      <c r="BF22" s="2">
        <f t="shared" si="1"/>
        <v>72.919404177999994</v>
      </c>
    </row>
    <row r="23" spans="1:58">
      <c r="A23" s="7">
        <v>2012</v>
      </c>
      <c r="B23" s="2">
        <v>5416.6571690000001</v>
      </c>
      <c r="C23" s="2">
        <v>4039.1712699999998</v>
      </c>
      <c r="D23" s="2">
        <v>2413.6615969999998</v>
      </c>
      <c r="E23" s="2">
        <v>182.121037</v>
      </c>
      <c r="F23" s="2">
        <v>72.506291000000004</v>
      </c>
      <c r="G23" s="2">
        <v>46.459684000000003</v>
      </c>
      <c r="H23" s="2">
        <v>803.668408</v>
      </c>
      <c r="I23" s="2">
        <v>57.490473000000001</v>
      </c>
      <c r="J23" s="2">
        <v>1064.3184960000001</v>
      </c>
      <c r="K23" s="2">
        <v>17.683658999999999</v>
      </c>
      <c r="L23" s="2">
        <v>172.77820299999999</v>
      </c>
      <c r="M23" s="2">
        <v>14.942778000000001</v>
      </c>
      <c r="N23" s="2">
        <v>520.991355</v>
      </c>
      <c r="O23" s="2">
        <v>837.48556900000005</v>
      </c>
      <c r="P23" s="2">
        <v>902.57962999999995</v>
      </c>
      <c r="Q23" s="2">
        <v>8223.9213729999992</v>
      </c>
      <c r="R23" s="2">
        <v>361.43415399999998</v>
      </c>
      <c r="S23" s="2">
        <v>53.531827999999997</v>
      </c>
      <c r="T23" s="2">
        <v>1529.8696580000001</v>
      </c>
      <c r="U23" s="2">
        <v>0</v>
      </c>
      <c r="V23" s="2">
        <v>427.374235</v>
      </c>
      <c r="W23" s="2">
        <v>257.51330400000001</v>
      </c>
      <c r="X23" s="2">
        <v>4790.7532879999999</v>
      </c>
      <c r="Y23" s="2">
        <v>753.850549</v>
      </c>
      <c r="Z23" s="2">
        <v>15.894648999999999</v>
      </c>
      <c r="AA23" s="2">
        <v>2788.7617180000002</v>
      </c>
      <c r="AB23" s="2">
        <v>94.370992000000001</v>
      </c>
      <c r="AC23" s="2">
        <v>3446.408148</v>
      </c>
      <c r="AD23" s="2">
        <v>2384.2391550000002</v>
      </c>
      <c r="AE23" s="2">
        <v>542.41396899999995</v>
      </c>
      <c r="AF23" s="2">
        <v>249.066923</v>
      </c>
      <c r="AG23" s="2">
        <v>290.23211500000002</v>
      </c>
      <c r="AH23" s="2">
        <v>455.40208999999999</v>
      </c>
      <c r="AI23" s="2">
        <v>620.17114800000002</v>
      </c>
      <c r="AJ23" s="2">
        <v>3131.1925230000002</v>
      </c>
      <c r="AK23" s="2">
        <v>940.88703399999997</v>
      </c>
      <c r="AL23" s="2">
        <v>438.91073399999999</v>
      </c>
      <c r="AM23" s="2">
        <v>158.35226800000001</v>
      </c>
      <c r="AN23" s="2">
        <v>9296.3128489999999</v>
      </c>
      <c r="AO23" s="2">
        <v>90.105819999999994</v>
      </c>
      <c r="AP23" s="2">
        <v>793.97306900000001</v>
      </c>
      <c r="AQ23" s="2">
        <v>33.167166999999999</v>
      </c>
      <c r="AR23" s="2">
        <v>249.18848</v>
      </c>
      <c r="AS23" s="2">
        <v>101.10674</v>
      </c>
      <c r="AT23" s="11">
        <v>15323.311517</v>
      </c>
      <c r="AU23" s="2">
        <v>34.311987999999999</v>
      </c>
      <c r="AV23" s="2">
        <v>2178.6137560000002</v>
      </c>
      <c r="AW23" s="2">
        <v>28.920142999999999</v>
      </c>
      <c r="AX23" s="2">
        <v>3383.1422250000001</v>
      </c>
      <c r="AY23" s="2">
        <v>1391.78611</v>
      </c>
      <c r="AZ23" s="2">
        <v>495.14282300000002</v>
      </c>
      <c r="BA23" s="2">
        <v>2089.721998</v>
      </c>
      <c r="BB23" s="2">
        <v>697.30648399999995</v>
      </c>
      <c r="BC23" s="2">
        <v>430.48381499999999</v>
      </c>
      <c r="BE23" s="2">
        <f t="shared" si="0"/>
        <v>85133.662458000006</v>
      </c>
      <c r="BF23" s="2">
        <f t="shared" si="1"/>
        <v>85.133662458000003</v>
      </c>
    </row>
    <row r="24" spans="1:58">
      <c r="A24" s="7">
        <v>2013</v>
      </c>
      <c r="B24" s="2">
        <v>6023.8973679999999</v>
      </c>
      <c r="C24" s="2">
        <v>3964.0589329999998</v>
      </c>
      <c r="D24" s="2">
        <v>2992.4766749999999</v>
      </c>
      <c r="E24" s="2">
        <v>148.25195199999999</v>
      </c>
      <c r="F24" s="2">
        <v>103.387365</v>
      </c>
      <c r="G24" s="2">
        <v>50.962327999999999</v>
      </c>
      <c r="H24" s="2">
        <v>955.79533900000001</v>
      </c>
      <c r="I24" s="2">
        <v>61.996093999999999</v>
      </c>
      <c r="J24" s="2">
        <v>1514.678715</v>
      </c>
      <c r="K24" s="2">
        <v>9.4589929999999995</v>
      </c>
      <c r="L24" s="2">
        <v>371.89256399999999</v>
      </c>
      <c r="M24" s="2">
        <v>29.860119999999998</v>
      </c>
      <c r="N24" s="2">
        <v>779.29342199999996</v>
      </c>
      <c r="O24" s="2">
        <v>948.75235099999998</v>
      </c>
      <c r="P24" s="2">
        <v>1018.883781</v>
      </c>
      <c r="Q24" s="2">
        <v>8362.6747009999999</v>
      </c>
      <c r="R24" s="2">
        <v>357.51724100000001</v>
      </c>
      <c r="S24" s="2">
        <v>137.956671</v>
      </c>
      <c r="T24" s="2">
        <v>1868.46639</v>
      </c>
      <c r="U24" s="2">
        <v>0</v>
      </c>
      <c r="V24" s="2">
        <v>432.706142</v>
      </c>
      <c r="W24" s="2">
        <v>308.521028</v>
      </c>
      <c r="X24" s="2">
        <v>3946.0278509999998</v>
      </c>
      <c r="Y24" s="2">
        <v>907.47615299999995</v>
      </c>
      <c r="Z24" s="2">
        <v>11.889575000000001</v>
      </c>
      <c r="AA24" s="2">
        <v>3217.4808830000002</v>
      </c>
      <c r="AB24" s="2">
        <v>89.828605999999994</v>
      </c>
      <c r="AC24" s="2">
        <v>2335.7503860000002</v>
      </c>
      <c r="AD24" s="2">
        <v>2834.6794890000001</v>
      </c>
      <c r="AE24" s="2">
        <v>642.96143300000006</v>
      </c>
      <c r="AF24" s="2">
        <v>213.79278400000001</v>
      </c>
      <c r="AG24" s="2">
        <v>274.638734</v>
      </c>
      <c r="AH24" s="2">
        <v>598.45130200000006</v>
      </c>
      <c r="AI24" s="2">
        <v>648.70123599999999</v>
      </c>
      <c r="AJ24" s="2">
        <v>3271.645442</v>
      </c>
      <c r="AK24" s="2">
        <v>1199.293242</v>
      </c>
      <c r="AL24" s="2">
        <v>481.94062400000001</v>
      </c>
      <c r="AM24" s="2">
        <v>183.940518</v>
      </c>
      <c r="AN24" s="2">
        <v>12042.61284</v>
      </c>
      <c r="AO24" s="2">
        <v>134.10943499999999</v>
      </c>
      <c r="AP24" s="2">
        <v>997.39648</v>
      </c>
      <c r="AQ24" s="2">
        <v>38.669859000000002</v>
      </c>
      <c r="AR24" s="2">
        <v>152.56670600000001</v>
      </c>
      <c r="AS24" s="2">
        <v>133.76055099999999</v>
      </c>
      <c r="AT24" s="11">
        <v>16830.776065999999</v>
      </c>
      <c r="AU24" s="2">
        <v>75.086951999999997</v>
      </c>
      <c r="AV24" s="2">
        <v>2398.431681</v>
      </c>
      <c r="AW24" s="2">
        <v>24.762430999999999</v>
      </c>
      <c r="AX24" s="2">
        <v>2443.2224369999999</v>
      </c>
      <c r="AY24" s="2">
        <v>1263.158664</v>
      </c>
      <c r="AZ24" s="2">
        <v>452.21252299999998</v>
      </c>
      <c r="BA24" s="2">
        <v>3140.7023899999999</v>
      </c>
      <c r="BB24" s="2">
        <v>729.69243600000004</v>
      </c>
      <c r="BC24" s="2">
        <v>413.82561099999998</v>
      </c>
      <c r="BE24" s="2">
        <f t="shared" si="0"/>
        <v>92570.973493000012</v>
      </c>
      <c r="BF24" s="2">
        <f t="shared" si="1"/>
        <v>92.570973493000011</v>
      </c>
    </row>
    <row r="25" spans="1:58">
      <c r="A25" s="7">
        <v>2014</v>
      </c>
      <c r="B25" s="2">
        <v>7395.2384110000003</v>
      </c>
      <c r="C25" s="2">
        <v>5975.3068089999997</v>
      </c>
      <c r="D25" s="2">
        <v>3485.9787430000001</v>
      </c>
      <c r="E25" s="2">
        <v>176.149428</v>
      </c>
      <c r="F25" s="2">
        <v>117.971937</v>
      </c>
      <c r="G25" s="2">
        <v>51.602364999999999</v>
      </c>
      <c r="H25" s="2">
        <v>1220.0788130000001</v>
      </c>
      <c r="I25" s="2">
        <v>51.223197999999996</v>
      </c>
      <c r="J25" s="2">
        <v>1877.424982</v>
      </c>
      <c r="K25" s="2">
        <v>7.2117519999999997</v>
      </c>
      <c r="L25" s="2">
        <v>317.71014500000001</v>
      </c>
      <c r="M25" s="2">
        <v>40.684717999999997</v>
      </c>
      <c r="N25" s="2">
        <v>984.52585299999998</v>
      </c>
      <c r="O25" s="2">
        <v>1362.040401</v>
      </c>
      <c r="P25" s="2">
        <v>1112.2361759999999</v>
      </c>
      <c r="Q25" s="2">
        <v>10460.508683</v>
      </c>
      <c r="R25" s="2">
        <v>352.51532800000001</v>
      </c>
      <c r="S25" s="2">
        <v>88.144182999999998</v>
      </c>
      <c r="T25" s="2">
        <v>2922.3092240000001</v>
      </c>
      <c r="U25" s="2">
        <v>0</v>
      </c>
      <c r="V25" s="2">
        <v>430.32029399999999</v>
      </c>
      <c r="W25" s="2">
        <v>350.698598</v>
      </c>
      <c r="X25" s="2">
        <v>4134.5664630000001</v>
      </c>
      <c r="Y25" s="2">
        <v>1101.4589739999999</v>
      </c>
      <c r="Z25" s="2">
        <v>17.153182999999999</v>
      </c>
      <c r="AA25" s="2">
        <v>4930.5687079999998</v>
      </c>
      <c r="AB25" s="2">
        <v>88.760092999999998</v>
      </c>
      <c r="AC25" s="2">
        <v>1711.2668590000001</v>
      </c>
      <c r="AD25" s="2">
        <v>2157.6390000000001</v>
      </c>
      <c r="AE25" s="2">
        <v>752.67809999999997</v>
      </c>
      <c r="AF25" s="2">
        <v>157.11722900000001</v>
      </c>
      <c r="AG25" s="2">
        <v>297.06862799999999</v>
      </c>
      <c r="AH25" s="2">
        <v>756.94657400000006</v>
      </c>
      <c r="AI25" s="2">
        <v>745.215461</v>
      </c>
      <c r="AJ25" s="2">
        <v>2963.005917</v>
      </c>
      <c r="AK25" s="2">
        <v>1968.739789</v>
      </c>
      <c r="AL25" s="2">
        <v>545.72482600000001</v>
      </c>
      <c r="AM25" s="2">
        <v>243.69627299999999</v>
      </c>
      <c r="AN25" s="2">
        <v>15393.564103000001</v>
      </c>
      <c r="AO25" s="2">
        <v>115.211834</v>
      </c>
      <c r="AP25" s="2">
        <v>1650.137471</v>
      </c>
      <c r="AQ25" s="2">
        <v>45.581780999999999</v>
      </c>
      <c r="AR25" s="2">
        <v>163.051716</v>
      </c>
      <c r="AS25" s="2">
        <v>206.079161</v>
      </c>
      <c r="AT25" s="11">
        <f>15699145579/1000000</f>
        <v>15699.145579</v>
      </c>
      <c r="AU25" s="2">
        <v>66.078709000000003</v>
      </c>
      <c r="AV25" s="2">
        <v>1928.6092020000001</v>
      </c>
      <c r="AW25" s="2">
        <v>26.528388</v>
      </c>
      <c r="AX25" s="2">
        <v>2491.912045</v>
      </c>
      <c r="AY25" s="2">
        <v>1235.774285</v>
      </c>
      <c r="AZ25" s="2">
        <v>486.645734</v>
      </c>
      <c r="BA25" s="2">
        <v>3843.5663380000001</v>
      </c>
      <c r="BB25" s="2">
        <v>725.66568800000005</v>
      </c>
      <c r="BC25" s="2">
        <v>403.80141500000002</v>
      </c>
      <c r="BE25" s="2">
        <f t="shared" si="0"/>
        <v>105832.83956700002</v>
      </c>
      <c r="BF25" s="2">
        <f t="shared" si="1"/>
        <v>105.83283956700002</v>
      </c>
    </row>
    <row r="26" spans="1:58" customFormat="1">
      <c r="A26" s="7">
        <v>2015</v>
      </c>
      <c r="B26" s="2">
        <v>7583.3470420000003</v>
      </c>
      <c r="C26" s="2">
        <v>3717.1458830000001</v>
      </c>
      <c r="D26" s="2">
        <v>2989.0725430000002</v>
      </c>
      <c r="E26" s="2">
        <v>224.841273</v>
      </c>
      <c r="F26" s="2">
        <v>123.836631</v>
      </c>
      <c r="G26" s="2">
        <v>40.088752999999997</v>
      </c>
      <c r="H26" s="11">
        <v>1554.436952</v>
      </c>
      <c r="I26" s="2">
        <v>43.300195000000002</v>
      </c>
      <c r="J26" s="2">
        <v>1833.2945030000001</v>
      </c>
      <c r="K26" s="2">
        <v>13.518226</v>
      </c>
      <c r="L26" s="2">
        <v>123.54995</v>
      </c>
      <c r="M26" s="2">
        <v>45.703403000000002</v>
      </c>
      <c r="N26" s="2">
        <v>1035.4220600000001</v>
      </c>
      <c r="O26" s="2">
        <v>1408.678482</v>
      </c>
      <c r="P26" s="2">
        <v>1980.815513</v>
      </c>
      <c r="Q26" s="2">
        <v>47834.307743999998</v>
      </c>
      <c r="R26" s="2">
        <v>1045.5596760000001</v>
      </c>
      <c r="S26" s="2">
        <v>537.21400400000005</v>
      </c>
      <c r="T26" s="2">
        <v>13763.469364</v>
      </c>
      <c r="U26" s="2">
        <v>0</v>
      </c>
      <c r="V26" s="2">
        <v>665.41508699999997</v>
      </c>
      <c r="W26" s="2">
        <v>330.09724599999998</v>
      </c>
      <c r="X26" s="2">
        <v>5308.8778320000001</v>
      </c>
      <c r="Y26" s="2">
        <v>1277.088833</v>
      </c>
      <c r="Z26" s="2">
        <v>17.482676999999999</v>
      </c>
      <c r="AA26" s="2">
        <v>5914.3158750000002</v>
      </c>
      <c r="AB26" s="2">
        <v>83.180459999999997</v>
      </c>
      <c r="AC26" s="2">
        <v>1356.8803640000001</v>
      </c>
      <c r="AD26" s="2">
        <v>1892.016554</v>
      </c>
      <c r="AE26" s="2">
        <v>865.23535600000002</v>
      </c>
      <c r="AF26" s="2">
        <v>245.96197000000001</v>
      </c>
      <c r="AG26" s="2">
        <v>270.42760600000003</v>
      </c>
      <c r="AH26" s="2">
        <v>801.37299599999994</v>
      </c>
      <c r="AI26" s="2">
        <v>841.10276799999997</v>
      </c>
      <c r="AJ26" s="2">
        <v>2897.1843800000001</v>
      </c>
      <c r="AK26" s="2">
        <v>1938.0233579999999</v>
      </c>
      <c r="AL26" s="2">
        <v>489.91492399999998</v>
      </c>
      <c r="AM26" s="2">
        <v>173.34840500000001</v>
      </c>
      <c r="AN26" s="2">
        <v>13701.240179</v>
      </c>
      <c r="AO26" s="2">
        <v>122.274281</v>
      </c>
      <c r="AP26" s="2">
        <v>2190.5315529999998</v>
      </c>
      <c r="AQ26" s="2">
        <v>57.626173999999999</v>
      </c>
      <c r="AR26" s="2">
        <v>276.56055199999997</v>
      </c>
      <c r="AS26" s="2">
        <v>298.11824100000001</v>
      </c>
      <c r="AT26" s="11">
        <v>15857.921952000001</v>
      </c>
      <c r="AU26" s="2">
        <v>155.44527099999999</v>
      </c>
      <c r="AV26" s="2">
        <v>2394.5028229999998</v>
      </c>
      <c r="AW26" s="2">
        <v>30.567447999999999</v>
      </c>
      <c r="AX26" s="2">
        <v>2180.1657970000001</v>
      </c>
      <c r="AY26" s="2">
        <v>1237.428731</v>
      </c>
      <c r="AZ26" s="2">
        <v>553.40010099999995</v>
      </c>
      <c r="BA26" s="2">
        <v>4278.8645399999996</v>
      </c>
      <c r="BB26" s="2">
        <v>552.06895699999995</v>
      </c>
      <c r="BC26" s="2">
        <v>543.32303999999999</v>
      </c>
      <c r="BE26" s="2">
        <f t="shared" si="0"/>
        <v>155695.568528</v>
      </c>
      <c r="BF26" s="2">
        <f t="shared" si="1"/>
        <v>155.695568528</v>
      </c>
    </row>
    <row r="27" spans="1:58" customFormat="1">
      <c r="A27" s="15">
        <v>2016</v>
      </c>
      <c r="B27" s="2">
        <v>7647.8511420000004</v>
      </c>
      <c r="C27" s="2">
        <v>1680.3986239999999</v>
      </c>
      <c r="D27" s="2">
        <v>2039.435616</v>
      </c>
      <c r="E27" s="2">
        <v>209.573218</v>
      </c>
      <c r="F27" s="2">
        <v>140.99748199999999</v>
      </c>
      <c r="G27" s="2">
        <v>45.047488000000001</v>
      </c>
      <c r="H27" s="2">
        <v>1584.5269510000001</v>
      </c>
      <c r="I27" s="2">
        <v>48.671438000000002</v>
      </c>
      <c r="J27" s="2">
        <v>1557.0300560000001</v>
      </c>
      <c r="K27" s="2">
        <v>15.462731</v>
      </c>
      <c r="L27" s="2">
        <v>93.572311999999997</v>
      </c>
      <c r="M27" s="2">
        <v>48.374932000000001</v>
      </c>
      <c r="N27" s="2">
        <v>740.62956399999996</v>
      </c>
      <c r="O27" s="2">
        <v>992.46699100000001</v>
      </c>
      <c r="P27" s="2">
        <v>2148.3965990000002</v>
      </c>
      <c r="Q27" s="2">
        <v>10436.255851</v>
      </c>
      <c r="R27" s="2">
        <v>148.25383099999999</v>
      </c>
      <c r="S27" s="2">
        <v>69.320970000000003</v>
      </c>
      <c r="T27" s="2">
        <v>3214.4766450000002</v>
      </c>
      <c r="U27" s="2">
        <v>0</v>
      </c>
      <c r="V27" s="2">
        <v>377.18672600000002</v>
      </c>
      <c r="W27" s="2">
        <v>315.083868</v>
      </c>
      <c r="X27" s="2">
        <v>4666.6040869999997</v>
      </c>
      <c r="Y27" s="2">
        <v>1144.4242589999999</v>
      </c>
      <c r="Z27" s="2">
        <v>21.236460000000001</v>
      </c>
      <c r="AA27" s="2">
        <v>5587.6468210000003</v>
      </c>
      <c r="AB27" s="2">
        <v>54.701172</v>
      </c>
      <c r="AC27" s="2">
        <v>1592.580573</v>
      </c>
      <c r="AD27" s="2">
        <v>1184.612556</v>
      </c>
      <c r="AE27" s="2">
        <v>942.95735100000002</v>
      </c>
      <c r="AF27" s="2">
        <v>228.239418</v>
      </c>
      <c r="AG27" s="2">
        <v>366.64585599999998</v>
      </c>
      <c r="AH27" s="2">
        <v>869.70717500000001</v>
      </c>
      <c r="AI27" s="2">
        <v>758.22218699999996</v>
      </c>
      <c r="AJ27" s="2">
        <v>3078.7769680000001</v>
      </c>
      <c r="AK27" s="2">
        <v>1308.5577969999999</v>
      </c>
      <c r="AL27" s="2">
        <v>268.48838599999999</v>
      </c>
      <c r="AM27" s="2">
        <v>100.76622999999999</v>
      </c>
      <c r="AN27" s="2">
        <v>9713.9125530000001</v>
      </c>
      <c r="AO27" s="2">
        <v>108.549722</v>
      </c>
      <c r="AP27" s="2">
        <v>2194.3606300000001</v>
      </c>
      <c r="AQ27" s="2">
        <v>55.600853000000001</v>
      </c>
      <c r="AR27" s="2">
        <v>242.11779300000001</v>
      </c>
      <c r="AS27" s="2">
        <v>391.94264199999998</v>
      </c>
      <c r="AT27" s="11">
        <f>12849507644/1000000</f>
        <v>12849.507643999999</v>
      </c>
      <c r="AU27" s="2">
        <v>46.253290999999997</v>
      </c>
      <c r="AV27" s="2">
        <v>2129.7300009999999</v>
      </c>
      <c r="AW27" s="2">
        <v>42.424363</v>
      </c>
      <c r="AX27" s="2">
        <v>1919.2466360000001</v>
      </c>
      <c r="AY27" s="2">
        <v>1295.839939</v>
      </c>
      <c r="AZ27" s="2">
        <v>823.68229499999995</v>
      </c>
      <c r="BA27" s="2">
        <v>3566.8613070000001</v>
      </c>
      <c r="BB27" s="2">
        <v>489.91391099999998</v>
      </c>
      <c r="BC27" s="2">
        <v>387.4855</v>
      </c>
      <c r="BE27" s="2">
        <f t="shared" si="0"/>
        <v>91984.609410999983</v>
      </c>
      <c r="BF27" s="2">
        <f t="shared" si="1"/>
        <v>91.98460941099998</v>
      </c>
    </row>
    <row r="28" spans="1:58" customFormat="1">
      <c r="A28" s="15">
        <v>2017</v>
      </c>
      <c r="B28" s="2">
        <v>6784.7462500000001</v>
      </c>
      <c r="C28" s="2">
        <v>2257.4532250000002</v>
      </c>
      <c r="D28" s="2">
        <v>1926.508591</v>
      </c>
      <c r="E28" s="2">
        <v>232.69971000000001</v>
      </c>
      <c r="F28" s="2">
        <v>183.049294</v>
      </c>
      <c r="G28" s="2">
        <v>45.252631999999998</v>
      </c>
      <c r="H28" s="2">
        <v>1692.544965</v>
      </c>
      <c r="I28" s="2">
        <v>69.239869999999996</v>
      </c>
      <c r="J28" s="2">
        <v>1388.611486</v>
      </c>
      <c r="K28" s="2">
        <v>12.962438000000001</v>
      </c>
      <c r="L28" s="2">
        <v>115.364034</v>
      </c>
      <c r="M28" s="2">
        <v>67.758297999999996</v>
      </c>
      <c r="N28" s="2">
        <v>497.835733</v>
      </c>
      <c r="O28" s="2">
        <v>969.983161</v>
      </c>
      <c r="P28" s="2">
        <v>2175.4099740000001</v>
      </c>
      <c r="Q28" s="2">
        <v>9485.6431310000007</v>
      </c>
      <c r="R28" s="2">
        <v>166.21795599999999</v>
      </c>
      <c r="S28" s="2">
        <v>42.947305</v>
      </c>
      <c r="T28" s="2">
        <v>2664.5548800000001</v>
      </c>
      <c r="U28" s="2">
        <v>0</v>
      </c>
      <c r="V28" s="2">
        <v>446.19075500000002</v>
      </c>
      <c r="W28" s="2">
        <v>398.65257000000003</v>
      </c>
      <c r="X28" s="2">
        <v>4824.7970379999997</v>
      </c>
      <c r="Y28" s="2">
        <v>1239.956655</v>
      </c>
      <c r="Z28" s="2">
        <v>33.724345999999997</v>
      </c>
      <c r="AA28" s="2">
        <v>5034.6502069999997</v>
      </c>
      <c r="AB28" s="2">
        <v>61.300649999999997</v>
      </c>
      <c r="AC28" s="2">
        <v>2103.670654</v>
      </c>
      <c r="AD28" s="2">
        <v>1027.9698940000001</v>
      </c>
      <c r="AE28" s="2">
        <v>1007.48726</v>
      </c>
      <c r="AF28" s="2">
        <v>261.94432599999999</v>
      </c>
      <c r="AG28" s="2">
        <v>337.24755800000003</v>
      </c>
      <c r="AH28" s="2">
        <v>859.15438099999994</v>
      </c>
      <c r="AI28" s="2">
        <v>762.14925100000005</v>
      </c>
      <c r="AJ28" s="2">
        <v>3176.2262409999998</v>
      </c>
      <c r="AK28" s="2">
        <v>1306.7461350000001</v>
      </c>
      <c r="AL28" s="2">
        <v>272.14111800000001</v>
      </c>
      <c r="AM28" s="2">
        <v>97.876054999999994</v>
      </c>
      <c r="AN28" s="2">
        <v>12153.161394000001</v>
      </c>
      <c r="AO28" s="2">
        <v>128.66860600000001</v>
      </c>
      <c r="AP28" s="2">
        <v>2040.7134659999999</v>
      </c>
      <c r="AQ28" s="2">
        <v>48.824199999999998</v>
      </c>
      <c r="AR28" s="2">
        <v>242.430892</v>
      </c>
      <c r="AS28" s="2">
        <v>473.50049899999999</v>
      </c>
      <c r="AT28" s="11">
        <f>14808766628/1000000</f>
        <v>14808.766627999999</v>
      </c>
      <c r="AU28" s="2">
        <v>51.942093999999997</v>
      </c>
      <c r="AV28" s="2">
        <v>2221.7598830000002</v>
      </c>
      <c r="AW28" s="2">
        <v>34.227955000000001</v>
      </c>
      <c r="AX28" s="2">
        <v>1886.3459559999999</v>
      </c>
      <c r="AY28" s="2">
        <v>1327.9869100000001</v>
      </c>
      <c r="AZ28" s="2">
        <v>777.36720100000002</v>
      </c>
      <c r="BA28" s="2">
        <v>3119.5541659999999</v>
      </c>
      <c r="BB28" s="2">
        <v>709.46793600000001</v>
      </c>
      <c r="BC28" s="2">
        <v>443.81933800000002</v>
      </c>
      <c r="BE28" s="2">
        <f t="shared" si="0"/>
        <v>94499.205151000031</v>
      </c>
      <c r="BF28" s="2">
        <f t="shared" si="1"/>
        <v>94.499205151000027</v>
      </c>
    </row>
    <row r="29" spans="1:58">
      <c r="A29" s="15">
        <v>2018</v>
      </c>
      <c r="B29" s="11">
        <f>7923382278/1000000</f>
        <v>7923.382278</v>
      </c>
      <c r="C29" s="11">
        <f>2234927773/1000000</f>
        <v>2234.9277729999999</v>
      </c>
      <c r="D29" s="11">
        <f>2150684993/1000000</f>
        <v>2150.6849929999998</v>
      </c>
      <c r="E29" s="11">
        <f>281472273/1000000</f>
        <v>281.47227299999997</v>
      </c>
      <c r="F29" s="11">
        <f>223340681/1000000</f>
        <v>223.34068099999999</v>
      </c>
      <c r="G29" s="11">
        <f>36904080/1000000</f>
        <v>36.90408</v>
      </c>
      <c r="H29" s="11">
        <f>1890199500/1000000</f>
        <v>1890.1994999999999</v>
      </c>
      <c r="I29" s="11">
        <f>78050126/1000000</f>
        <v>78.050126000000006</v>
      </c>
      <c r="J29" s="11">
        <f>1706516747/1000000</f>
        <v>1706.5167469999999</v>
      </c>
      <c r="K29" s="11">
        <f>18782986/1000000</f>
        <v>18.782986000000001</v>
      </c>
      <c r="L29" s="11">
        <f>185528743/1000000</f>
        <v>185.52874299999999</v>
      </c>
      <c r="M29" s="11">
        <f>79198900/1000000</f>
        <v>79.198899999999995</v>
      </c>
      <c r="N29" s="11">
        <f>444877772/1000000</f>
        <v>444.87777199999999</v>
      </c>
      <c r="O29" s="11">
        <f>1772661732/1000000</f>
        <v>1772.661732</v>
      </c>
      <c r="P29" s="11">
        <f>1871676062/1000000</f>
        <v>1871.676062</v>
      </c>
      <c r="Q29" s="11">
        <f>12020880441/1000000</f>
        <v>12020.880440999999</v>
      </c>
      <c r="R29" s="11">
        <f>145169551/1000000</f>
        <v>145.16955100000001</v>
      </c>
      <c r="S29" s="11">
        <f>42840772/1000000</f>
        <v>42.840772000000001</v>
      </c>
      <c r="T29" s="11">
        <f>2537682497/1000000</f>
        <v>2537.6824969999998</v>
      </c>
      <c r="U29" s="11">
        <v>0</v>
      </c>
      <c r="V29" s="11">
        <f>386093090/1000000</f>
        <v>386.09309000000002</v>
      </c>
      <c r="W29" s="11">
        <f>426524295/1000000</f>
        <v>426.524295</v>
      </c>
      <c r="X29" s="11">
        <f>4821886063/1000000</f>
        <v>4821.8860629999999</v>
      </c>
      <c r="Y29" s="11">
        <f>1353330115/1000000</f>
        <v>1353.330115</v>
      </c>
      <c r="Z29" s="11">
        <f>29832135/1000000</f>
        <v>29.832135000000001</v>
      </c>
      <c r="AA29" s="11">
        <f>5204943662/1000000</f>
        <v>5204.9436619999997</v>
      </c>
      <c r="AB29" s="11">
        <f>64201168/1000000</f>
        <v>64.201167999999996</v>
      </c>
      <c r="AC29" s="11">
        <f>1941893225/1000000</f>
        <v>1941.893225</v>
      </c>
      <c r="AD29" s="11">
        <f>1433045467/1000000</f>
        <v>1433.0454669999999</v>
      </c>
      <c r="AE29" s="11">
        <f>1015755813/1000000</f>
        <v>1015.755813</v>
      </c>
      <c r="AF29" s="11">
        <f>222352943/1000000</f>
        <v>222.35294300000001</v>
      </c>
      <c r="AG29" s="11">
        <f>345611885/1000000</f>
        <v>345.61188499999997</v>
      </c>
      <c r="AH29" s="11">
        <f>1039975584/1000000</f>
        <v>1039.975584</v>
      </c>
      <c r="AI29" s="11">
        <f>807776944/1000000</f>
        <v>807.77694399999996</v>
      </c>
      <c r="AJ29" s="11">
        <f>3690127742/1000000</f>
        <v>3690.1277420000001</v>
      </c>
      <c r="AK29" s="11">
        <f>1869325088/1000000</f>
        <v>1869.3250880000001</v>
      </c>
      <c r="AL29" s="11">
        <f>319473094/1000000</f>
        <v>319.473094</v>
      </c>
      <c r="AM29" s="11">
        <f>114660646/1000000</f>
        <v>114.660646</v>
      </c>
      <c r="AN29" s="11">
        <f>13500035393/1000000</f>
        <v>13500.035393</v>
      </c>
      <c r="AO29" s="11">
        <f>165169753/1000000</f>
        <v>165.16975299999999</v>
      </c>
      <c r="AP29" s="11">
        <f>2145217996/1000000</f>
        <v>2145.2179959999999</v>
      </c>
      <c r="AQ29" s="11">
        <f>61338496/1000000</f>
        <v>61.338495999999999</v>
      </c>
      <c r="AR29" s="11">
        <f>253198462/1000000</f>
        <v>253.19846200000001</v>
      </c>
      <c r="AS29" s="11">
        <f>637244475/1000000</f>
        <v>637.24447499999997</v>
      </c>
      <c r="AT29" s="11">
        <f>16337354355/1000000</f>
        <v>16337.354354999999</v>
      </c>
      <c r="AU29" s="11">
        <f>77076432/1000000</f>
        <v>77.076431999999997</v>
      </c>
      <c r="AV29" s="11">
        <f>1884771032/1000000</f>
        <v>1884.7710320000001</v>
      </c>
      <c r="AW29" s="11">
        <f>36438940/1000000</f>
        <v>36.438940000000002</v>
      </c>
      <c r="AX29" s="11">
        <f>1991476579/1000000</f>
        <v>1991.4765789999999</v>
      </c>
      <c r="AY29" s="11">
        <f>1415923926/1000000</f>
        <v>1415.9239259999999</v>
      </c>
      <c r="AZ29" s="11">
        <f>706399878/1000000</f>
        <v>706.39987799999994</v>
      </c>
      <c r="BA29" s="11">
        <f>3590574198/1000000</f>
        <v>3590.5741979999998</v>
      </c>
      <c r="BB29" s="11">
        <f>969452299/1000000</f>
        <v>969.45229900000004</v>
      </c>
      <c r="BC29" s="11">
        <f>446070130/1000000</f>
        <v>446.07013000000001</v>
      </c>
      <c r="BE29" s="2">
        <f t="shared" si="0"/>
        <v>104949.32920999997</v>
      </c>
      <c r="BF29" s="2">
        <f t="shared" si="1"/>
        <v>104.94932920999997</v>
      </c>
    </row>
    <row r="30" spans="1:58">
      <c r="A30" s="15">
        <v>2019</v>
      </c>
      <c r="B30" s="11">
        <f>6945571245/1000000</f>
        <v>6945.5712450000001</v>
      </c>
      <c r="C30" s="11">
        <f>2057494838/1000000</f>
        <v>2057.4948380000001</v>
      </c>
      <c r="D30" s="11">
        <f>2155750008/1000000</f>
        <v>2155.750008</v>
      </c>
      <c r="E30" s="11">
        <f>302211604/1000000</f>
        <v>302.21160400000002</v>
      </c>
      <c r="F30" s="11">
        <f>261486916/1000000</f>
        <v>261.48691600000001</v>
      </c>
      <c r="G30" s="11">
        <f>66387083/1000000</f>
        <v>66.387083000000004</v>
      </c>
      <c r="H30" s="11">
        <f>2044093784/1000000</f>
        <v>2044.0937839999999</v>
      </c>
      <c r="I30" s="11">
        <f>63419044/1000000</f>
        <v>63.419044</v>
      </c>
      <c r="J30" s="11">
        <f>1676311126/1000000</f>
        <v>1676.3111260000001</v>
      </c>
      <c r="K30" s="11">
        <f>25660666/1000000</f>
        <v>25.660665999999999</v>
      </c>
      <c r="L30" s="11">
        <f>278768729/1000000</f>
        <v>278.76872900000001</v>
      </c>
      <c r="M30" s="11">
        <f>73680886/1000000</f>
        <v>73.680886000000001</v>
      </c>
      <c r="N30" s="11">
        <f>434929726/1000000</f>
        <v>434.92972600000002</v>
      </c>
      <c r="O30" s="11">
        <f>2077308147/1000000</f>
        <v>2077.3081470000002</v>
      </c>
      <c r="P30" s="11">
        <f>2210291000/1000000</f>
        <v>2210.2910000000002</v>
      </c>
      <c r="Q30" s="11">
        <f>12217146440/1000000</f>
        <v>12217.14644</v>
      </c>
      <c r="R30" s="11">
        <f>113297021/1000000</f>
        <v>113.297021</v>
      </c>
      <c r="S30" s="11">
        <f>48607578/1000000</f>
        <v>48.607577999999997</v>
      </c>
      <c r="T30" s="11">
        <f>2322761075/1000000</f>
        <v>2322.7610749999999</v>
      </c>
      <c r="U30" s="11">
        <f>0/1000000</f>
        <v>0</v>
      </c>
      <c r="V30" s="11">
        <f>377221092/1000000</f>
        <v>377.221092</v>
      </c>
      <c r="W30" s="11">
        <f>512672640/1000000</f>
        <v>512.67264</v>
      </c>
      <c r="X30" s="11">
        <f>4906969469/1000000</f>
        <v>4906.9694689999997</v>
      </c>
      <c r="Y30" s="11">
        <f>1718196101/1000000</f>
        <v>1718.196101</v>
      </c>
      <c r="Z30" s="11">
        <f>31923561/1000000</f>
        <v>31.923560999999999</v>
      </c>
      <c r="AA30" s="11">
        <f>4984584885/1000000</f>
        <v>4984.5848850000002</v>
      </c>
      <c r="AB30" s="11">
        <f>72062473/1000000</f>
        <v>72.062472999999997</v>
      </c>
      <c r="AC30" s="11">
        <f>3909849171/1000000</f>
        <v>3909.8491709999998</v>
      </c>
      <c r="AD30" s="11">
        <f>2453887188/1000000</f>
        <v>2453.8871880000002</v>
      </c>
      <c r="AE30" s="11">
        <f>1073076996/1000000</f>
        <v>1073.076996</v>
      </c>
      <c r="AF30" s="11">
        <f>260095242/1000000</f>
        <v>260.09524199999998</v>
      </c>
      <c r="AG30" s="11">
        <f>435545226/1000000</f>
        <v>435.54522600000001</v>
      </c>
      <c r="AH30" s="11">
        <f>1026409844/1000000</f>
        <v>1026.409844</v>
      </c>
      <c r="AI30" s="11">
        <f>804583630/1000000</f>
        <v>804.58362999999997</v>
      </c>
      <c r="AJ30" s="11">
        <f>4030059500/1000000</f>
        <v>4030.0594999999998</v>
      </c>
      <c r="AK30" s="11">
        <f>1956814352/1000000</f>
        <v>1956.8143520000001</v>
      </c>
      <c r="AL30" s="11">
        <f>200886096/1000000</f>
        <v>200.88609600000001</v>
      </c>
      <c r="AM30" s="11">
        <f>288822685/1000000</f>
        <v>288.82268499999998</v>
      </c>
      <c r="AN30" s="11">
        <f>16634073560/1000000</f>
        <v>16634.073560000001</v>
      </c>
      <c r="AO30" s="11">
        <f>264785882/1000000</f>
        <v>264.78588200000002</v>
      </c>
      <c r="AP30" s="11">
        <f>2212615262/1000000</f>
        <v>2212.6152619999998</v>
      </c>
      <c r="AQ30" s="11">
        <f>65307887/1000000</f>
        <v>65.307886999999994</v>
      </c>
      <c r="AR30" s="11">
        <f>313687402/1000000</f>
        <v>313.68740200000002</v>
      </c>
      <c r="AS30" s="11">
        <f>732058352/1000000</f>
        <v>732.05835200000001</v>
      </c>
      <c r="AT30" s="11">
        <f>16560933078/1000000</f>
        <v>16560.933077999998</v>
      </c>
      <c r="AU30" s="11">
        <f>122630036/1000000</f>
        <v>122.630036</v>
      </c>
      <c r="AV30" s="11">
        <f>2292123281/1000000</f>
        <v>2292.1232810000001</v>
      </c>
      <c r="AW30" s="11">
        <f>42469159/1000000</f>
        <v>42.469158999999998</v>
      </c>
      <c r="AX30" s="11">
        <f>2131523859/1000000</f>
        <v>2131.5238589999999</v>
      </c>
      <c r="AY30" s="11">
        <f>1365185461/1000000</f>
        <v>1365.185461</v>
      </c>
      <c r="AZ30" s="11">
        <f>741309691/1000000</f>
        <v>741.30969100000004</v>
      </c>
      <c r="BA30" s="11">
        <f>3814731392/1000000</f>
        <v>3814.7313920000001</v>
      </c>
      <c r="BB30" s="11">
        <f>970302724/1000000</f>
        <v>970.30272400000001</v>
      </c>
      <c r="BC30" s="11">
        <f>368352751/1000000</f>
        <v>368.35275100000001</v>
      </c>
      <c r="BE30" s="2">
        <f>SUM(B30:BC30)</f>
        <v>113050.926844</v>
      </c>
      <c r="BF30" s="2">
        <f t="shared" si="1"/>
        <v>113.050926844</v>
      </c>
    </row>
    <row r="31" spans="1:58" customFormat="1">
      <c r="A31" s="15">
        <v>2020</v>
      </c>
      <c r="B31" s="2">
        <v>5597.417297</v>
      </c>
      <c r="C31" s="2">
        <v>1747.8458290000001</v>
      </c>
      <c r="D31" s="2">
        <v>988.86690199999998</v>
      </c>
      <c r="E31" s="2">
        <v>235.68541200000001</v>
      </c>
      <c r="F31" s="2">
        <v>322.51878099999999</v>
      </c>
      <c r="G31" s="2">
        <v>76.100835000000004</v>
      </c>
      <c r="H31" s="2">
        <v>2333.501096</v>
      </c>
      <c r="I31" s="2">
        <v>77.788898000000003</v>
      </c>
      <c r="J31" s="2">
        <v>2022.775529</v>
      </c>
      <c r="K31" s="2">
        <v>27.963487000000001</v>
      </c>
      <c r="L31" s="2">
        <v>298.32086900000002</v>
      </c>
      <c r="M31" s="2">
        <v>50.543156000000003</v>
      </c>
      <c r="N31" s="2">
        <v>601.51900999999998</v>
      </c>
      <c r="O31" s="2">
        <v>2013.1185</v>
      </c>
      <c r="P31" s="2">
        <v>2308.2359660000002</v>
      </c>
      <c r="Q31" s="2">
        <v>13623.257094000001</v>
      </c>
      <c r="R31" s="2">
        <v>122.097246</v>
      </c>
      <c r="S31" s="2">
        <v>70.486189999999993</v>
      </c>
      <c r="T31" s="2">
        <v>2233.338244</v>
      </c>
      <c r="U31" s="11">
        <f>0/1000000</f>
        <v>0</v>
      </c>
      <c r="V31" s="11">
        <v>415.58094399999999</v>
      </c>
      <c r="W31" s="2">
        <v>535.90126499999997</v>
      </c>
      <c r="X31" s="2">
        <v>6756.0604439999997</v>
      </c>
      <c r="Y31" s="2">
        <v>1912.383071</v>
      </c>
      <c r="Z31" s="2">
        <v>51.442385000000002</v>
      </c>
      <c r="AA31" s="2">
        <v>5410.773295</v>
      </c>
      <c r="AB31" s="2">
        <v>59.382361000000003</v>
      </c>
      <c r="AC31" s="2">
        <v>3404.5772649999999</v>
      </c>
      <c r="AD31" s="2">
        <v>1880.5569869999999</v>
      </c>
      <c r="AE31" s="2">
        <v>997.50876800000003</v>
      </c>
      <c r="AF31" s="2">
        <v>218.58619200000001</v>
      </c>
      <c r="AG31" s="2">
        <v>468.40534300000002</v>
      </c>
      <c r="AH31" s="2">
        <v>740.15869899999996</v>
      </c>
      <c r="AI31" s="2">
        <v>699.89196000000004</v>
      </c>
      <c r="AJ31" s="2">
        <v>4172.5906610000002</v>
      </c>
      <c r="AK31" s="2">
        <v>1999.9206220000001</v>
      </c>
      <c r="AL31" s="2">
        <v>223.113786</v>
      </c>
      <c r="AM31" s="2">
        <v>303.06093499999997</v>
      </c>
      <c r="AN31" s="2">
        <v>16776.737249000002</v>
      </c>
      <c r="AO31" s="2">
        <v>282.54108500000001</v>
      </c>
      <c r="AP31" s="2">
        <v>2563.3624209999998</v>
      </c>
      <c r="AQ31" s="2">
        <v>57.657598999999998</v>
      </c>
      <c r="AR31" s="2">
        <v>371.36775699999998</v>
      </c>
      <c r="AS31" s="2">
        <v>892.639858</v>
      </c>
      <c r="AT31" s="2">
        <v>15243.393515</v>
      </c>
      <c r="AU31" s="2">
        <v>156.052955</v>
      </c>
      <c r="AV31" s="2">
        <v>2511.6546939999998</v>
      </c>
      <c r="AW31" s="11">
        <v>39.892184</v>
      </c>
      <c r="AX31" s="2">
        <v>2461.1218079999999</v>
      </c>
      <c r="AY31" s="2">
        <v>1427.6522540000001</v>
      </c>
      <c r="AZ31" s="2">
        <v>791.64934900000003</v>
      </c>
      <c r="BA31" s="2">
        <v>4174.6433260000003</v>
      </c>
      <c r="BB31" s="2">
        <v>681.36251100000004</v>
      </c>
      <c r="BC31" s="2">
        <v>524.66996900000004</v>
      </c>
      <c r="BE31" s="2">
        <v>113957.67</v>
      </c>
      <c r="BF31" s="2">
        <v>113.96</v>
      </c>
    </row>
    <row r="33" spans="1:20">
      <c r="A33" s="2" t="s">
        <v>51</v>
      </c>
    </row>
    <row r="34" spans="1:20">
      <c r="A34" s="2" t="s">
        <v>72</v>
      </c>
    </row>
    <row r="35" spans="1:20">
      <c r="A35" t="s">
        <v>73</v>
      </c>
      <c r="T35"/>
    </row>
    <row r="36" spans="1:20">
      <c r="A36" t="s">
        <v>55</v>
      </c>
      <c r="T36"/>
    </row>
    <row r="37" spans="1:20">
      <c r="A37" s="29" t="s">
        <v>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7"/>
  <sheetViews>
    <sheetView zoomScale="90" zoomScaleNormal="90" zoomScalePageLayoutView="80"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37" sqref="A37"/>
    </sheetView>
  </sheetViews>
  <sheetFormatPr baseColWidth="10" defaultColWidth="8.6640625" defaultRowHeight="15"/>
  <cols>
    <col min="1" max="1" width="11.5" customWidth="1"/>
    <col min="2" max="2" width="11.1640625" bestFit="1" customWidth="1"/>
    <col min="3" max="3" width="12.6640625" bestFit="1" customWidth="1"/>
    <col min="4" max="6" width="9.6640625" bestFit="1" customWidth="1"/>
    <col min="7" max="7" width="9.1640625" bestFit="1" customWidth="1"/>
    <col min="8" max="8" width="10.6640625" bestFit="1" customWidth="1"/>
    <col min="9" max="9" width="9.1640625" bestFit="1" customWidth="1"/>
    <col min="10" max="10" width="10.6640625" bestFit="1" customWidth="1"/>
    <col min="11" max="11" width="9.6640625" bestFit="1" customWidth="1"/>
    <col min="12" max="12" width="10.6640625" bestFit="1" customWidth="1"/>
    <col min="13" max="13" width="9.1640625" bestFit="1" customWidth="1"/>
    <col min="14" max="15" width="11.6640625" bestFit="1" customWidth="1"/>
    <col min="16" max="16" width="9.6640625" bestFit="1" customWidth="1"/>
    <col min="17" max="17" width="10.6640625" bestFit="1" customWidth="1"/>
    <col min="18" max="18" width="11.6640625" bestFit="1" customWidth="1"/>
    <col min="19" max="20" width="10.6640625" bestFit="1" customWidth="1"/>
    <col min="21" max="21" width="9.1640625" bestFit="1" customWidth="1"/>
    <col min="22" max="22" width="11.6640625" bestFit="1" customWidth="1"/>
    <col min="23" max="23" width="9.6640625" bestFit="1" customWidth="1"/>
    <col min="24" max="24" width="8.6640625" customWidth="1"/>
    <col min="25" max="25" width="11.6640625" bestFit="1" customWidth="1"/>
    <col min="26" max="26" width="9.1640625" bestFit="1" customWidth="1"/>
    <col min="27" max="27" width="10.6640625" bestFit="1" customWidth="1"/>
    <col min="28" max="29" width="9.6640625" bestFit="1" customWidth="1"/>
    <col min="30" max="31" width="10.6640625" bestFit="1" customWidth="1"/>
    <col min="32" max="32" width="9.6640625" bestFit="1" customWidth="1"/>
    <col min="33" max="33" width="10.6640625" bestFit="1" customWidth="1"/>
    <col min="34" max="34" width="11.6640625" bestFit="1" customWidth="1"/>
    <col min="35" max="35" width="9.6640625" bestFit="1" customWidth="1"/>
    <col min="36" max="39" width="10.6640625" bestFit="1" customWidth="1"/>
    <col min="40" max="40" width="11.6640625" bestFit="1" customWidth="1"/>
    <col min="41" max="41" width="9.6640625" bestFit="1" customWidth="1"/>
    <col min="42" max="42" width="10.6640625" bestFit="1" customWidth="1"/>
    <col min="43" max="43" width="9.1640625" bestFit="1" customWidth="1"/>
    <col min="44" max="44" width="10.6640625" bestFit="1" customWidth="1"/>
    <col min="45" max="45" width="9.1640625" bestFit="1" customWidth="1"/>
    <col min="46" max="46" width="15.1640625" bestFit="1" customWidth="1"/>
    <col min="47" max="48" width="10.6640625" bestFit="1" customWidth="1"/>
    <col min="49" max="49" width="9.1640625" bestFit="1" customWidth="1"/>
    <col min="50" max="51" width="10.6640625" bestFit="1" customWidth="1"/>
    <col min="52" max="52" width="9.6640625" bestFit="1" customWidth="1"/>
    <col min="53" max="53" width="10.6640625" bestFit="1" customWidth="1"/>
    <col min="54" max="54" width="8.6640625" customWidth="1"/>
    <col min="55" max="55" width="10.6640625" bestFit="1" customWidth="1"/>
    <col min="57" max="57" width="11.5" customWidth="1"/>
    <col min="58" max="58" width="19.5" bestFit="1" customWidth="1"/>
    <col min="59" max="59" width="10.6640625" bestFit="1" customWidth="1"/>
    <col min="60" max="60" width="18.5" customWidth="1"/>
  </cols>
  <sheetData>
    <row r="1" spans="1:60">
      <c r="A1" s="9" t="s">
        <v>76</v>
      </c>
    </row>
    <row r="2" spans="1:60" ht="32">
      <c r="A2" s="12" t="s">
        <v>54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60</v>
      </c>
      <c r="I2" s="6" t="s">
        <v>44</v>
      </c>
      <c r="J2" s="6" t="s">
        <v>6</v>
      </c>
      <c r="K2" s="6" t="s">
        <v>45</v>
      </c>
      <c r="L2" s="6" t="s">
        <v>7</v>
      </c>
      <c r="M2" s="6" t="s">
        <v>8</v>
      </c>
      <c r="N2" s="6" t="s">
        <v>46</v>
      </c>
      <c r="O2" s="6" t="s">
        <v>47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48</v>
      </c>
      <c r="V2" s="6" t="s">
        <v>14</v>
      </c>
      <c r="W2" s="6" t="s">
        <v>49</v>
      </c>
      <c r="X2" s="6" t="s">
        <v>57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26</v>
      </c>
      <c r="AK2" s="6" t="s">
        <v>27</v>
      </c>
      <c r="AL2" s="6" t="s">
        <v>28</v>
      </c>
      <c r="AM2" s="6" t="s">
        <v>29</v>
      </c>
      <c r="AN2" s="6" t="s">
        <v>30</v>
      </c>
      <c r="AO2" s="6" t="s">
        <v>31</v>
      </c>
      <c r="AP2" s="6" t="s">
        <v>32</v>
      </c>
      <c r="AQ2" s="6" t="s">
        <v>33</v>
      </c>
      <c r="AR2" s="6" t="s">
        <v>34</v>
      </c>
      <c r="AS2" s="6" t="s">
        <v>35</v>
      </c>
      <c r="AT2" s="6" t="s">
        <v>36</v>
      </c>
      <c r="AU2" s="6" t="s">
        <v>37</v>
      </c>
      <c r="AV2" s="6" t="s">
        <v>38</v>
      </c>
      <c r="AW2" s="6" t="s">
        <v>61</v>
      </c>
      <c r="AX2" s="6" t="s">
        <v>39</v>
      </c>
      <c r="AY2" s="6" t="s">
        <v>40</v>
      </c>
      <c r="AZ2" s="6" t="s">
        <v>41</v>
      </c>
      <c r="BA2" s="6" t="s">
        <v>50</v>
      </c>
      <c r="BB2" s="6" t="s">
        <v>42</v>
      </c>
      <c r="BC2" s="6" t="s">
        <v>43</v>
      </c>
      <c r="BD2" s="5"/>
      <c r="BE2" s="5" t="s">
        <v>52</v>
      </c>
      <c r="BF2" s="5" t="s">
        <v>53</v>
      </c>
    </row>
    <row r="3" spans="1:60">
      <c r="A3" s="7">
        <v>1992</v>
      </c>
      <c r="B3" s="2">
        <v>2.6961530000000002</v>
      </c>
      <c r="C3" s="2">
        <v>29.409206999999999</v>
      </c>
      <c r="D3" s="2">
        <v>0.54586800000000002</v>
      </c>
      <c r="E3" s="2">
        <v>0</v>
      </c>
      <c r="F3" s="2">
        <v>12.778205000000002</v>
      </c>
      <c r="G3" s="2">
        <v>2.0556000000000001E-2</v>
      </c>
      <c r="H3" s="2">
        <v>2.3373140000000001</v>
      </c>
      <c r="I3" s="2">
        <v>0</v>
      </c>
      <c r="J3" s="2">
        <v>16.041751000000001</v>
      </c>
      <c r="K3" s="2">
        <v>8.5259999999999989E-3</v>
      </c>
      <c r="L3" s="2">
        <v>0.856159</v>
      </c>
      <c r="M3" s="2">
        <v>3.7985000000000005E-2</v>
      </c>
      <c r="N3" s="2">
        <v>0.44106699999999999</v>
      </c>
      <c r="O3" s="2">
        <v>5.6012389999999996</v>
      </c>
      <c r="P3" s="2">
        <v>6.3720000000000001E-3</v>
      </c>
      <c r="Q3" s="2">
        <v>1.0888659999999999</v>
      </c>
      <c r="R3" s="2">
        <v>8.004399999999999E-2</v>
      </c>
      <c r="S3" s="2">
        <v>0</v>
      </c>
      <c r="T3" s="2">
        <v>0</v>
      </c>
      <c r="U3" s="2">
        <v>9.2270450000000004</v>
      </c>
      <c r="V3" s="2">
        <v>48.239046999999999</v>
      </c>
      <c r="W3" s="2">
        <v>0.11491699999999999</v>
      </c>
      <c r="X3" s="2">
        <v>5.3055770000000004</v>
      </c>
      <c r="Y3" s="2">
        <v>0.16247300000000001</v>
      </c>
      <c r="Z3" s="2">
        <v>0</v>
      </c>
      <c r="AA3" s="2">
        <v>2.239258</v>
      </c>
      <c r="AB3" s="2">
        <v>0</v>
      </c>
      <c r="AC3" s="2">
        <v>7.2300000000000001E-4</v>
      </c>
      <c r="AD3" s="2">
        <v>89.795366000000001</v>
      </c>
      <c r="AE3" s="2">
        <v>1.76189</v>
      </c>
      <c r="AF3" s="2">
        <v>0.88639299999999999</v>
      </c>
      <c r="AG3" s="2">
        <v>34.907615</v>
      </c>
      <c r="AH3" s="2">
        <v>8.1527999999999989E-2</v>
      </c>
      <c r="AI3" s="2">
        <v>0.13586499999999999</v>
      </c>
      <c r="AJ3" s="2">
        <v>40.502046</v>
      </c>
      <c r="AK3" s="2">
        <v>38.389842999999999</v>
      </c>
      <c r="AL3" s="2">
        <v>0</v>
      </c>
      <c r="AM3" s="2">
        <v>0</v>
      </c>
      <c r="AN3" s="2">
        <v>5.9619809999999998</v>
      </c>
      <c r="AO3" s="2">
        <v>1.3264999999999999E-2</v>
      </c>
      <c r="AP3" s="2">
        <v>0.54255700000000007</v>
      </c>
      <c r="AQ3" s="2">
        <v>3.1230999999999998E-2</v>
      </c>
      <c r="AR3" s="2">
        <v>0</v>
      </c>
      <c r="AS3" s="2">
        <v>1.118622</v>
      </c>
      <c r="AT3" s="2">
        <v>0</v>
      </c>
      <c r="AU3" s="2">
        <v>0</v>
      </c>
      <c r="AV3" s="2">
        <v>0</v>
      </c>
      <c r="AW3" s="2">
        <v>0</v>
      </c>
      <c r="AX3" s="2">
        <v>1.656731</v>
      </c>
      <c r="AY3" s="2">
        <v>23.39612</v>
      </c>
      <c r="AZ3" s="2">
        <v>2.4430000000000003E-3</v>
      </c>
      <c r="BA3" s="2">
        <v>0.7014220000000001</v>
      </c>
      <c r="BB3" s="2">
        <v>16.246521999999999</v>
      </c>
      <c r="BC3" s="2">
        <v>97.903936999999999</v>
      </c>
      <c r="BE3" s="4">
        <f t="shared" ref="BE3:BE31" si="0">SUM(B3:BC3)</f>
        <v>491.27372899999995</v>
      </c>
      <c r="BF3" s="8">
        <f>BE3/1000</f>
        <v>0.49127372899999994</v>
      </c>
    </row>
    <row r="4" spans="1:60" ht="16">
      <c r="A4" s="7">
        <v>1993</v>
      </c>
      <c r="B4" s="2">
        <v>6.6475210000000002</v>
      </c>
      <c r="C4" s="2">
        <v>180.71046199999998</v>
      </c>
      <c r="D4" s="2">
        <v>7.7579999999999993E-3</v>
      </c>
      <c r="E4" s="2">
        <v>0</v>
      </c>
      <c r="F4" s="2">
        <v>6.4600000000000009E-4</v>
      </c>
      <c r="G4" s="2">
        <v>4.8612999999999996E-2</v>
      </c>
      <c r="H4" s="2">
        <v>4.1859849999999996</v>
      </c>
      <c r="I4" s="2">
        <v>0</v>
      </c>
      <c r="J4" s="2">
        <v>7.6953999999999995E-2</v>
      </c>
      <c r="K4" s="2">
        <v>5.8020999999999996E-2</v>
      </c>
      <c r="L4" s="2">
        <v>1.1182000000000001E-2</v>
      </c>
      <c r="M4" s="2">
        <v>1.2527999999999999E-2</v>
      </c>
      <c r="N4" s="2">
        <v>6.4205100000000002</v>
      </c>
      <c r="O4" s="2">
        <v>3.0406610000000001</v>
      </c>
      <c r="P4" s="2">
        <v>0.138991</v>
      </c>
      <c r="Q4" s="2">
        <v>24.233924000000002</v>
      </c>
      <c r="R4" s="2">
        <v>2.8000999999999998E-2</v>
      </c>
      <c r="S4" s="2">
        <v>0</v>
      </c>
      <c r="T4" s="2">
        <v>2.8E-3</v>
      </c>
      <c r="U4" s="2">
        <v>0.13933199999999998</v>
      </c>
      <c r="V4" s="2">
        <v>67.812128999999999</v>
      </c>
      <c r="W4" s="2">
        <v>0.33655799999999997</v>
      </c>
      <c r="X4" s="17">
        <v>6.407972</v>
      </c>
      <c r="Y4" s="2">
        <v>14.511982999999999</v>
      </c>
      <c r="Z4" s="2">
        <v>1.0511629999999998</v>
      </c>
      <c r="AA4" s="2">
        <v>3.8476129999999999</v>
      </c>
      <c r="AB4" s="2">
        <v>0</v>
      </c>
      <c r="AC4" s="2">
        <v>5.3637040000000002</v>
      </c>
      <c r="AD4" s="2">
        <v>121.28825000000001</v>
      </c>
      <c r="AE4" s="2">
        <v>1.3520559999999999</v>
      </c>
      <c r="AF4" s="2">
        <v>0</v>
      </c>
      <c r="AG4" s="2">
        <v>0</v>
      </c>
      <c r="AH4" s="2">
        <v>0</v>
      </c>
      <c r="AI4" s="2">
        <v>0.39039800000000002</v>
      </c>
      <c r="AJ4" s="2">
        <v>29.389098999999998</v>
      </c>
      <c r="AK4" s="2">
        <v>6.7175309999999993</v>
      </c>
      <c r="AL4" s="2">
        <v>0</v>
      </c>
      <c r="AM4" s="2">
        <v>3.2094999999999999E-2</v>
      </c>
      <c r="AN4" s="2">
        <v>0.52984500000000001</v>
      </c>
      <c r="AO4" s="2">
        <v>7.5329999999999998E-3</v>
      </c>
      <c r="AP4" s="2">
        <v>2.918876</v>
      </c>
      <c r="AQ4" s="2">
        <v>0</v>
      </c>
      <c r="AR4" s="2">
        <v>5.6949E-2</v>
      </c>
      <c r="AS4" s="2">
        <v>0.90505200000000008</v>
      </c>
      <c r="AT4" s="2">
        <v>0</v>
      </c>
      <c r="AU4" s="2">
        <v>0</v>
      </c>
      <c r="AV4" s="2">
        <v>0</v>
      </c>
      <c r="AW4" s="2">
        <v>0</v>
      </c>
      <c r="AX4" s="2">
        <v>0.98001199999999999</v>
      </c>
      <c r="AY4" s="2">
        <v>30.042484000000002</v>
      </c>
      <c r="AZ4" s="2">
        <v>1.349E-2</v>
      </c>
      <c r="BA4" s="2">
        <v>1.1497219999999999</v>
      </c>
      <c r="BB4" s="2">
        <v>10.965465</v>
      </c>
      <c r="BC4" s="2">
        <v>51.315725999999998</v>
      </c>
      <c r="BE4" s="4">
        <f t="shared" si="0"/>
        <v>583.14959400000009</v>
      </c>
      <c r="BF4" s="8">
        <f t="shared" ref="BF4:BF27" si="1">BE4/1000</f>
        <v>0.5831495940000001</v>
      </c>
    </row>
    <row r="5" spans="1:60" ht="16">
      <c r="A5" s="7">
        <v>1994</v>
      </c>
      <c r="B5" s="2">
        <v>3.7688510000000002</v>
      </c>
      <c r="C5" s="2">
        <v>47.984324000000001</v>
      </c>
      <c r="D5" s="2">
        <v>0.474221</v>
      </c>
      <c r="E5" s="2">
        <v>0</v>
      </c>
      <c r="F5" s="2">
        <v>0</v>
      </c>
      <c r="G5" s="2">
        <v>5.3603999999999999E-2</v>
      </c>
      <c r="H5" s="2">
        <v>3.9436460000000002</v>
      </c>
      <c r="I5" s="2">
        <v>0</v>
      </c>
      <c r="J5" s="2">
        <v>9.138439</v>
      </c>
      <c r="K5" s="2">
        <v>0.16853300000000002</v>
      </c>
      <c r="L5" s="2">
        <v>3.0149999999999999E-3</v>
      </c>
      <c r="M5" s="2">
        <v>6.8780000000000004E-3</v>
      </c>
      <c r="N5" s="2">
        <v>1.977665</v>
      </c>
      <c r="O5" s="2">
        <v>2.4594360000000002</v>
      </c>
      <c r="P5" s="2">
        <v>0.10218999999999999</v>
      </c>
      <c r="Q5" s="2">
        <v>15.185364999999999</v>
      </c>
      <c r="R5" s="2">
        <v>9.7694000000000003E-2</v>
      </c>
      <c r="S5" s="2">
        <v>0</v>
      </c>
      <c r="T5" s="2">
        <v>3.8629999999999998E-2</v>
      </c>
      <c r="U5" s="2">
        <v>53.129699000000002</v>
      </c>
      <c r="V5" s="2">
        <v>86.703718999999992</v>
      </c>
      <c r="W5" s="2">
        <v>3.0623999999999998E-2</v>
      </c>
      <c r="X5" s="17">
        <v>25.222104000000002</v>
      </c>
      <c r="Y5" s="2">
        <v>13.531803999999999</v>
      </c>
      <c r="Z5" s="2">
        <v>0.91133900000000001</v>
      </c>
      <c r="AA5" s="2">
        <v>4.6724680000000003</v>
      </c>
      <c r="AB5" s="2">
        <v>0</v>
      </c>
      <c r="AC5" s="2">
        <v>1.2495579999999999</v>
      </c>
      <c r="AD5" s="2">
        <v>2.5645790000000002</v>
      </c>
      <c r="AE5" s="2">
        <v>0.97001499999999996</v>
      </c>
      <c r="AF5" s="2">
        <v>0</v>
      </c>
      <c r="AG5" s="2">
        <v>9.0943649999999998</v>
      </c>
      <c r="AH5" s="2">
        <v>4.1197999999999999E-2</v>
      </c>
      <c r="AI5" s="2">
        <v>7.1191000000000004E-2</v>
      </c>
      <c r="AJ5" s="2">
        <v>8.527514</v>
      </c>
      <c r="AK5" s="2">
        <v>5.5760329999999998</v>
      </c>
      <c r="AL5" s="2">
        <v>0</v>
      </c>
      <c r="AM5" s="2">
        <v>0.75362400000000007</v>
      </c>
      <c r="AN5" s="2">
        <v>1.064257</v>
      </c>
      <c r="AO5" s="2">
        <v>0</v>
      </c>
      <c r="AP5" s="2">
        <v>1.3875879999999998</v>
      </c>
      <c r="AQ5" s="2">
        <v>0</v>
      </c>
      <c r="AR5" s="2">
        <v>3.369E-3</v>
      </c>
      <c r="AS5" s="2">
        <v>0.64341799999999993</v>
      </c>
      <c r="AT5" s="2">
        <v>0</v>
      </c>
      <c r="AU5" s="2">
        <v>0</v>
      </c>
      <c r="AV5" s="2">
        <v>0</v>
      </c>
      <c r="AW5" s="2">
        <v>0</v>
      </c>
      <c r="AX5" s="2">
        <v>1.7158880000000001</v>
      </c>
      <c r="AY5" s="2">
        <v>12.291824999999999</v>
      </c>
      <c r="AZ5" s="2">
        <v>2.1158E-2</v>
      </c>
      <c r="BA5" s="2">
        <v>9.2249819999999989</v>
      </c>
      <c r="BB5" s="2">
        <v>2.1106120000000002</v>
      </c>
      <c r="BC5" s="2">
        <v>26.183214</v>
      </c>
      <c r="BE5" s="4">
        <f t="shared" si="0"/>
        <v>353.098636</v>
      </c>
      <c r="BF5" s="8">
        <f t="shared" si="1"/>
        <v>0.35309863600000002</v>
      </c>
    </row>
    <row r="6" spans="1:60" ht="16">
      <c r="A6" s="7">
        <v>1995</v>
      </c>
      <c r="B6" s="2">
        <v>22.027415000000001</v>
      </c>
      <c r="C6" s="2">
        <v>136.90730200000002</v>
      </c>
      <c r="D6" s="2">
        <v>6.1197350000000004</v>
      </c>
      <c r="E6" s="2">
        <v>0</v>
      </c>
      <c r="F6" s="2">
        <v>0</v>
      </c>
      <c r="G6" s="2">
        <v>7.5039999999999994E-3</v>
      </c>
      <c r="H6" s="2">
        <v>0.43726300000000001</v>
      </c>
      <c r="I6" s="2">
        <v>0</v>
      </c>
      <c r="J6" s="2">
        <v>27.569261000000001</v>
      </c>
      <c r="K6" s="2">
        <v>0.16183899999999998</v>
      </c>
      <c r="L6" s="2">
        <v>1.1871909999999999</v>
      </c>
      <c r="M6" s="2">
        <v>0</v>
      </c>
      <c r="N6" s="2">
        <v>3.445776</v>
      </c>
      <c r="O6" s="2">
        <v>1.4568129999999999</v>
      </c>
      <c r="P6" s="2">
        <v>0.13417400000000002</v>
      </c>
      <c r="Q6" s="2">
        <v>13.062809999999999</v>
      </c>
      <c r="R6" s="2">
        <v>12.633236</v>
      </c>
      <c r="S6" s="2">
        <v>0</v>
      </c>
      <c r="T6" s="2">
        <v>0.60555400000000004</v>
      </c>
      <c r="U6" s="2">
        <v>74.507217999999995</v>
      </c>
      <c r="V6" s="2">
        <v>123.25483</v>
      </c>
      <c r="W6" s="2">
        <v>7.0644999999999999E-2</v>
      </c>
      <c r="X6" s="17">
        <v>4.9141069999999996</v>
      </c>
      <c r="Y6" s="2">
        <v>2.0554990000000002</v>
      </c>
      <c r="Z6" s="2">
        <v>3.2139999999999998E-3</v>
      </c>
      <c r="AA6" s="2">
        <v>1.3859870000000001</v>
      </c>
      <c r="AB6" s="2">
        <v>0</v>
      </c>
      <c r="AC6" s="2">
        <v>9.7848000000000004E-2</v>
      </c>
      <c r="AD6" s="2">
        <v>71.955511999999999</v>
      </c>
      <c r="AE6" s="2">
        <v>5.2404640000000002</v>
      </c>
      <c r="AF6" s="2">
        <v>2.1969999999999997E-3</v>
      </c>
      <c r="AG6" s="2">
        <v>36.342654000000003</v>
      </c>
      <c r="AH6" s="2">
        <v>0.51327800000000001</v>
      </c>
      <c r="AI6" s="2">
        <v>5.5247999999999998E-2</v>
      </c>
      <c r="AJ6" s="2">
        <v>39.828403999999999</v>
      </c>
      <c r="AK6" s="2">
        <v>1.0929850000000001</v>
      </c>
      <c r="AL6" s="2">
        <v>0</v>
      </c>
      <c r="AM6" s="2">
        <v>0.13500000000000001</v>
      </c>
      <c r="AN6" s="2">
        <v>59.711252999999999</v>
      </c>
      <c r="AO6" s="2">
        <v>1.8994E-2</v>
      </c>
      <c r="AP6" s="2">
        <v>0.47193799999999997</v>
      </c>
      <c r="AQ6" s="2">
        <v>0</v>
      </c>
      <c r="AR6" s="2">
        <v>0</v>
      </c>
      <c r="AS6" s="2">
        <v>1.3148120000000001</v>
      </c>
      <c r="AT6" s="2">
        <v>0</v>
      </c>
      <c r="AU6" s="2">
        <v>0</v>
      </c>
      <c r="AV6" s="2">
        <v>0</v>
      </c>
      <c r="AW6" s="2">
        <v>0</v>
      </c>
      <c r="AX6" s="2">
        <v>0.59536100000000003</v>
      </c>
      <c r="AY6" s="2">
        <v>35.607297000000003</v>
      </c>
      <c r="AZ6" s="2">
        <v>1.1427999999999999E-2</v>
      </c>
      <c r="BA6" s="2">
        <v>9.5988009999999999</v>
      </c>
      <c r="BB6" s="2">
        <v>1.820762</v>
      </c>
      <c r="BC6" s="2">
        <v>36.905422999999999</v>
      </c>
      <c r="BE6" s="4">
        <f t="shared" si="0"/>
        <v>733.26703199999997</v>
      </c>
      <c r="BF6" s="8">
        <f t="shared" si="1"/>
        <v>0.73326703199999999</v>
      </c>
    </row>
    <row r="7" spans="1:60" ht="16">
      <c r="A7" s="7">
        <v>1996</v>
      </c>
      <c r="B7" s="2">
        <v>1.1424E-2</v>
      </c>
      <c r="C7" s="2">
        <v>243.75114300000001</v>
      </c>
      <c r="D7" s="2">
        <v>1.960631</v>
      </c>
      <c r="E7" s="2">
        <v>0</v>
      </c>
      <c r="F7" s="2">
        <v>0</v>
      </c>
      <c r="G7" s="2">
        <v>2.2460000000000002E-3</v>
      </c>
      <c r="H7" s="2">
        <v>9.9971259999999997</v>
      </c>
      <c r="I7" s="2">
        <v>0</v>
      </c>
      <c r="J7" s="2">
        <v>35.030123000000003</v>
      </c>
      <c r="K7" s="2">
        <v>2.8487019999999998</v>
      </c>
      <c r="L7" s="2">
        <v>0.49692400000000003</v>
      </c>
      <c r="M7" s="2">
        <v>0</v>
      </c>
      <c r="N7" s="2">
        <v>17.50712</v>
      </c>
      <c r="O7" s="2">
        <v>1.739852</v>
      </c>
      <c r="P7" s="2">
        <v>0</v>
      </c>
      <c r="Q7" s="2">
        <v>3.4171280000000004</v>
      </c>
      <c r="R7" s="2">
        <v>15.601148999999999</v>
      </c>
      <c r="S7" s="2">
        <v>0</v>
      </c>
      <c r="T7" s="2">
        <v>0.20535999999999999</v>
      </c>
      <c r="U7" s="2">
        <v>38.482814999999995</v>
      </c>
      <c r="V7" s="2">
        <v>184.87519699999999</v>
      </c>
      <c r="W7" s="2">
        <v>0</v>
      </c>
      <c r="X7" s="17">
        <v>3.3539889999999999</v>
      </c>
      <c r="Y7" s="2">
        <v>3.7473519999999998</v>
      </c>
      <c r="Z7" s="2">
        <v>0</v>
      </c>
      <c r="AA7" s="2">
        <v>0.87173800000000001</v>
      </c>
      <c r="AB7" s="2">
        <v>0</v>
      </c>
      <c r="AC7" s="2">
        <v>0</v>
      </c>
      <c r="AD7" s="2">
        <v>55.736646999999998</v>
      </c>
      <c r="AE7" s="2">
        <v>3.0841879999999997</v>
      </c>
      <c r="AF7" s="2">
        <v>0.22300500000000001</v>
      </c>
      <c r="AG7" s="2">
        <v>13.611796</v>
      </c>
      <c r="AH7" s="2">
        <v>0.19744799999999998</v>
      </c>
      <c r="AI7" s="2">
        <v>1.0141000000000001E-2</v>
      </c>
      <c r="AJ7" s="2">
        <v>17.228515000000002</v>
      </c>
      <c r="AK7" s="2">
        <v>0.19820599999999999</v>
      </c>
      <c r="AL7" s="2">
        <v>0</v>
      </c>
      <c r="AM7" s="2">
        <v>9.7380000000000001E-3</v>
      </c>
      <c r="AN7" s="2">
        <v>6.8206530000000001</v>
      </c>
      <c r="AO7" s="2">
        <v>0.12956299999999998</v>
      </c>
      <c r="AP7" s="2">
        <v>1.605669</v>
      </c>
      <c r="AQ7" s="2">
        <v>0</v>
      </c>
      <c r="AR7" s="2">
        <v>0</v>
      </c>
      <c r="AS7" s="2">
        <v>0.60350999999999999</v>
      </c>
      <c r="AT7" s="2">
        <v>0</v>
      </c>
      <c r="AU7" s="2">
        <v>0</v>
      </c>
      <c r="AV7" s="2">
        <v>0</v>
      </c>
      <c r="AW7" s="2">
        <v>0</v>
      </c>
      <c r="AX7" s="2">
        <v>1.8230440000000001</v>
      </c>
      <c r="AY7" s="2">
        <v>32.317422999999998</v>
      </c>
      <c r="AZ7" s="2">
        <v>1.2476989999999999</v>
      </c>
      <c r="BA7" s="2">
        <v>19.43477</v>
      </c>
      <c r="BB7" s="2">
        <v>5.7389770000000002</v>
      </c>
      <c r="BC7" s="2">
        <v>68.462125999999998</v>
      </c>
      <c r="BE7" s="4">
        <f t="shared" si="0"/>
        <v>792.38313699999981</v>
      </c>
      <c r="BF7" s="8">
        <f t="shared" si="1"/>
        <v>0.79238313699999985</v>
      </c>
    </row>
    <row r="8" spans="1:60">
      <c r="A8" s="7">
        <v>1997</v>
      </c>
      <c r="B8" s="2">
        <v>1.8131999999999999E-2</v>
      </c>
      <c r="C8" s="2">
        <v>603.49614600000007</v>
      </c>
      <c r="D8" s="2">
        <v>8.7789359999999999</v>
      </c>
      <c r="E8" s="2">
        <v>0</v>
      </c>
      <c r="F8" s="2">
        <v>0.18112799999999998</v>
      </c>
      <c r="G8" s="2">
        <v>0</v>
      </c>
      <c r="H8" s="2">
        <v>31.707270000000001</v>
      </c>
      <c r="I8" s="2">
        <v>0</v>
      </c>
      <c r="J8" s="2">
        <v>98.375236999999998</v>
      </c>
      <c r="K8" s="2">
        <v>1.078093</v>
      </c>
      <c r="L8" s="2">
        <v>1.5979239999999999</v>
      </c>
      <c r="M8" s="2">
        <v>6.8300000000000001E-4</v>
      </c>
      <c r="N8" s="2">
        <v>151.99284699999998</v>
      </c>
      <c r="O8" s="2">
        <v>1.9070450000000001</v>
      </c>
      <c r="P8" s="2">
        <v>4.6750000000000003E-3</v>
      </c>
      <c r="Q8" s="2">
        <v>56.697085999999999</v>
      </c>
      <c r="R8" s="2">
        <v>77.487760000000009</v>
      </c>
      <c r="S8" s="2">
        <v>0</v>
      </c>
      <c r="T8" s="2">
        <v>0.62659799999999999</v>
      </c>
      <c r="U8" s="2">
        <v>23.005078000000001</v>
      </c>
      <c r="V8" s="2">
        <v>313.13407699999999</v>
      </c>
      <c r="W8" s="2">
        <v>0</v>
      </c>
      <c r="X8" s="2">
        <v>2.5287670000000002</v>
      </c>
      <c r="Y8" s="2">
        <v>35.979484999999997</v>
      </c>
      <c r="Z8" s="2">
        <v>1.0386090000000001</v>
      </c>
      <c r="AA8" s="2">
        <v>1.1813850000000001</v>
      </c>
      <c r="AB8" s="2">
        <v>0</v>
      </c>
      <c r="AC8" s="2">
        <v>0.13406200000000001</v>
      </c>
      <c r="AD8" s="2">
        <v>16.931563999999998</v>
      </c>
      <c r="AE8" s="2">
        <v>3.196253</v>
      </c>
      <c r="AF8" s="2">
        <v>0.65627100000000005</v>
      </c>
      <c r="AG8" s="2">
        <v>27.480847000000001</v>
      </c>
      <c r="AH8" s="2">
        <v>0.412802</v>
      </c>
      <c r="AI8" s="2">
        <v>0.13756299999999999</v>
      </c>
      <c r="AJ8" s="2">
        <v>43.363388</v>
      </c>
      <c r="AK8" s="2">
        <v>0.729796</v>
      </c>
      <c r="AL8" s="2">
        <v>0</v>
      </c>
      <c r="AM8" s="2">
        <v>0.311888</v>
      </c>
      <c r="AN8" s="2">
        <v>10.632028</v>
      </c>
      <c r="AO8" s="2">
        <v>0.65957199999999994</v>
      </c>
      <c r="AP8" s="2">
        <v>0.42768600000000001</v>
      </c>
      <c r="AQ8" s="2">
        <v>0</v>
      </c>
      <c r="AR8" s="2">
        <v>0</v>
      </c>
      <c r="AS8" s="2">
        <v>0.29219299999999998</v>
      </c>
      <c r="AT8" s="2">
        <v>0</v>
      </c>
      <c r="AU8" s="2">
        <v>0</v>
      </c>
      <c r="AV8" s="2">
        <v>0</v>
      </c>
      <c r="AW8" s="2">
        <v>0</v>
      </c>
      <c r="AX8" s="2">
        <v>7.8013049999999993</v>
      </c>
      <c r="AY8" s="2">
        <v>22.641712000000002</v>
      </c>
      <c r="AZ8" s="2">
        <v>1.739525</v>
      </c>
      <c r="BA8" s="2">
        <v>17.622052999999998</v>
      </c>
      <c r="BB8" s="2">
        <v>26.505535000000002</v>
      </c>
      <c r="BC8" s="2">
        <v>74.589503000000008</v>
      </c>
      <c r="BE8" s="4">
        <f t="shared" si="0"/>
        <v>1667.0825070000005</v>
      </c>
      <c r="BF8" s="8">
        <f t="shared" si="1"/>
        <v>1.6670825070000006</v>
      </c>
    </row>
    <row r="9" spans="1:60">
      <c r="A9" s="7">
        <v>1998</v>
      </c>
      <c r="B9" s="2">
        <v>0.12432</v>
      </c>
      <c r="C9" s="2">
        <v>153.69771</v>
      </c>
      <c r="D9" s="2">
        <v>3.4898569999999998</v>
      </c>
      <c r="E9" s="2">
        <v>0</v>
      </c>
      <c r="F9" s="2">
        <v>4.2587550000000007</v>
      </c>
      <c r="G9" s="2">
        <v>0</v>
      </c>
      <c r="H9" s="2">
        <v>24.061440999999999</v>
      </c>
      <c r="I9" s="2">
        <v>0</v>
      </c>
      <c r="J9" s="2">
        <v>48.645766999999999</v>
      </c>
      <c r="K9" s="2">
        <v>9.606E-3</v>
      </c>
      <c r="L9" s="2">
        <v>0</v>
      </c>
      <c r="M9" s="2">
        <v>0</v>
      </c>
      <c r="N9" s="2">
        <v>41.327033999999998</v>
      </c>
      <c r="O9" s="2">
        <v>2.2414140000000002</v>
      </c>
      <c r="P9" s="2">
        <v>4.9719999999999999E-3</v>
      </c>
      <c r="Q9" s="2">
        <v>31.692943</v>
      </c>
      <c r="R9" s="2">
        <v>68.907888</v>
      </c>
      <c r="S9" s="2">
        <v>3.5738000000000006E-2</v>
      </c>
      <c r="T9" s="2">
        <v>0.47665400000000002</v>
      </c>
      <c r="U9" s="2">
        <v>1.467063</v>
      </c>
      <c r="V9" s="2">
        <v>147.17051000000001</v>
      </c>
      <c r="W9" s="2">
        <v>0</v>
      </c>
      <c r="X9" s="2">
        <v>8.5236479999999997</v>
      </c>
      <c r="Y9" s="2">
        <v>0.94935400000000003</v>
      </c>
      <c r="Z9" s="2">
        <v>0</v>
      </c>
      <c r="AA9" s="2">
        <v>1.4923009999999999</v>
      </c>
      <c r="AB9" s="2">
        <v>0</v>
      </c>
      <c r="AC9" s="2">
        <v>0</v>
      </c>
      <c r="AD9" s="2">
        <v>21.539321000000001</v>
      </c>
      <c r="AE9" s="2">
        <v>1.7454669999999999</v>
      </c>
      <c r="AF9" s="2">
        <v>0</v>
      </c>
      <c r="AG9" s="2">
        <v>4.8639399999999995</v>
      </c>
      <c r="AH9" s="2">
        <v>1.2092800000000001</v>
      </c>
      <c r="AI9" s="2">
        <v>0.62746199999999996</v>
      </c>
      <c r="AJ9" s="2">
        <v>86.056820999999999</v>
      </c>
      <c r="AK9" s="2">
        <v>0.42730099999999999</v>
      </c>
      <c r="AL9" s="2">
        <v>0</v>
      </c>
      <c r="AM9" s="2">
        <v>0</v>
      </c>
      <c r="AN9" s="2">
        <v>27.423348999999998</v>
      </c>
      <c r="AO9" s="2">
        <v>1.909049</v>
      </c>
      <c r="AP9" s="2">
        <v>0.39914300000000003</v>
      </c>
      <c r="AQ9" s="2">
        <v>0</v>
      </c>
      <c r="AR9" s="2">
        <v>1.17E-3</v>
      </c>
      <c r="AS9" s="2">
        <v>4.5318000000000004E-2</v>
      </c>
      <c r="AT9" s="2">
        <v>0</v>
      </c>
      <c r="AU9" s="2">
        <v>0</v>
      </c>
      <c r="AV9" s="2">
        <v>0</v>
      </c>
      <c r="AW9" s="2">
        <v>0</v>
      </c>
      <c r="AX9" s="2">
        <v>3.142798</v>
      </c>
      <c r="AY9" s="2">
        <v>45.788599999999995</v>
      </c>
      <c r="AZ9" s="2">
        <v>0.134354</v>
      </c>
      <c r="BA9" s="2">
        <v>9.6865019999999991</v>
      </c>
      <c r="BB9" s="2">
        <v>6.2182180000000002</v>
      </c>
      <c r="BC9" s="2">
        <v>27.866717999999999</v>
      </c>
      <c r="BE9" s="4">
        <f t="shared" si="0"/>
        <v>777.66178600000001</v>
      </c>
      <c r="BF9" s="8">
        <f t="shared" si="1"/>
        <v>0.77766178600000002</v>
      </c>
    </row>
    <row r="10" spans="1:60">
      <c r="A10" s="7">
        <v>1999</v>
      </c>
      <c r="B10" s="2">
        <v>62.193666999999998</v>
      </c>
      <c r="C10" s="2">
        <v>355.65115600000001</v>
      </c>
      <c r="D10" s="2">
        <v>2.4223710000000001</v>
      </c>
      <c r="E10" s="2">
        <v>0</v>
      </c>
      <c r="F10" s="2">
        <v>1.9972490000000001</v>
      </c>
      <c r="G10" s="2">
        <v>0</v>
      </c>
      <c r="H10" s="2">
        <v>7.9273940000000005</v>
      </c>
      <c r="I10" s="2">
        <v>0</v>
      </c>
      <c r="J10" s="2">
        <v>76.313797000000008</v>
      </c>
      <c r="K10" s="2">
        <v>0</v>
      </c>
      <c r="L10" s="2">
        <v>0</v>
      </c>
      <c r="M10" s="2">
        <v>0</v>
      </c>
      <c r="N10" s="2">
        <v>59.930136000000005</v>
      </c>
      <c r="O10" s="2">
        <v>1.3164260000000001</v>
      </c>
      <c r="P10" s="2">
        <v>1.593E-3</v>
      </c>
      <c r="Q10" s="2">
        <v>34.357662999999995</v>
      </c>
      <c r="R10" s="2">
        <v>167.10167300000001</v>
      </c>
      <c r="S10" s="2">
        <v>1.9212E-2</v>
      </c>
      <c r="T10" s="2">
        <v>0.76905800000000002</v>
      </c>
      <c r="U10" s="2">
        <v>53.294380000000004</v>
      </c>
      <c r="V10" s="2">
        <v>279.11728600000004</v>
      </c>
      <c r="W10" s="2">
        <v>0</v>
      </c>
      <c r="X10" s="2">
        <v>4.8149179999999996</v>
      </c>
      <c r="Y10" s="2">
        <v>7.9064909999999999</v>
      </c>
      <c r="Z10" s="2">
        <v>0.19551000000000002</v>
      </c>
      <c r="AA10" s="2">
        <v>4.9147319999999999</v>
      </c>
      <c r="AB10" s="2">
        <v>0</v>
      </c>
      <c r="AC10" s="2">
        <v>1.147E-3</v>
      </c>
      <c r="AD10" s="2">
        <v>16.867986999999999</v>
      </c>
      <c r="AE10" s="2">
        <v>4.9088910000000006</v>
      </c>
      <c r="AF10" s="2">
        <v>0</v>
      </c>
      <c r="AG10" s="2">
        <v>1.3578839999999999</v>
      </c>
      <c r="AH10" s="2">
        <v>4.8502900000000002</v>
      </c>
      <c r="AI10" s="2">
        <v>22.388393999999998</v>
      </c>
      <c r="AJ10" s="2">
        <v>55.488154999999999</v>
      </c>
      <c r="AK10" s="2">
        <v>3.2993679999999999</v>
      </c>
      <c r="AL10" s="2">
        <v>0</v>
      </c>
      <c r="AM10" s="2">
        <v>0</v>
      </c>
      <c r="AN10" s="2">
        <v>182.48383200000001</v>
      </c>
      <c r="AO10" s="2">
        <v>1.7388429999999999</v>
      </c>
      <c r="AP10" s="2">
        <v>0.53818100000000002</v>
      </c>
      <c r="AQ10" s="2">
        <v>1E-3</v>
      </c>
      <c r="AR10" s="2">
        <v>0</v>
      </c>
      <c r="AS10" s="2">
        <v>6.1055000000000005E-2</v>
      </c>
      <c r="AT10" s="2">
        <v>0</v>
      </c>
      <c r="AU10" s="2">
        <v>0</v>
      </c>
      <c r="AV10" s="2">
        <v>0</v>
      </c>
      <c r="AW10" s="2">
        <v>0</v>
      </c>
      <c r="AX10" s="2">
        <v>6.2657999999999991E-2</v>
      </c>
      <c r="AY10" s="2">
        <v>28.387167000000002</v>
      </c>
      <c r="AZ10" s="2">
        <v>0.19955999999999999</v>
      </c>
      <c r="BA10" s="2">
        <v>5.7436680000000004</v>
      </c>
      <c r="BB10" s="2">
        <v>17.623011000000002</v>
      </c>
      <c r="BC10" s="2">
        <v>44.340082000000002</v>
      </c>
      <c r="BE10" s="4">
        <f t="shared" si="0"/>
        <v>1510.5858850000004</v>
      </c>
      <c r="BF10" s="8">
        <f t="shared" si="1"/>
        <v>1.5105858850000005</v>
      </c>
    </row>
    <row r="11" spans="1:60">
      <c r="A11" s="7">
        <v>2000</v>
      </c>
      <c r="B11" s="2">
        <v>25.937940999999999</v>
      </c>
      <c r="C11" s="2">
        <v>1842.6929670000002</v>
      </c>
      <c r="D11" s="2">
        <v>1.1248560000000001</v>
      </c>
      <c r="E11" s="2">
        <v>1.0309E-2</v>
      </c>
      <c r="F11" s="2">
        <v>0</v>
      </c>
      <c r="G11" s="2">
        <v>1.11904</v>
      </c>
      <c r="H11" s="2">
        <v>7.2492999999999999</v>
      </c>
      <c r="I11" s="2">
        <v>0</v>
      </c>
      <c r="J11" s="2">
        <v>138.02753900000002</v>
      </c>
      <c r="K11" s="2">
        <v>0.30069599999999996</v>
      </c>
      <c r="L11" s="2">
        <v>1.3876000000000001E-2</v>
      </c>
      <c r="M11" s="2">
        <v>5.2560000000000003E-3</v>
      </c>
      <c r="N11" s="2">
        <v>323.71535699999998</v>
      </c>
      <c r="O11" s="2">
        <v>0.97518400000000005</v>
      </c>
      <c r="P11" s="2">
        <v>2.2255999999999998E-2</v>
      </c>
      <c r="Q11" s="2">
        <v>102.066343</v>
      </c>
      <c r="R11" s="2">
        <v>319.47797500000001</v>
      </c>
      <c r="S11" s="2">
        <v>0</v>
      </c>
      <c r="T11" s="2">
        <v>2.8717000000000001</v>
      </c>
      <c r="U11" s="2">
        <v>731.72839199999999</v>
      </c>
      <c r="V11" s="2">
        <v>337.27372700000001</v>
      </c>
      <c r="W11" s="2">
        <v>0</v>
      </c>
      <c r="X11" s="2">
        <v>14.993971</v>
      </c>
      <c r="Y11" s="2">
        <v>2.0996999999999998E-2</v>
      </c>
      <c r="Z11" s="2">
        <v>0.1817</v>
      </c>
      <c r="AA11" s="2">
        <v>3.8497910000000002</v>
      </c>
      <c r="AB11" s="2">
        <v>5.1209999999999999E-2</v>
      </c>
      <c r="AC11" s="2">
        <v>35.286327</v>
      </c>
      <c r="AD11" s="2">
        <v>25.061401</v>
      </c>
      <c r="AE11" s="2">
        <v>6.4522019999999998</v>
      </c>
      <c r="AF11" s="2">
        <v>0</v>
      </c>
      <c r="AG11" s="2">
        <v>0.40553800000000001</v>
      </c>
      <c r="AH11" s="2">
        <v>4.9452400000000001</v>
      </c>
      <c r="AI11" s="2">
        <v>29.296624000000001</v>
      </c>
      <c r="AJ11" s="2">
        <v>58.234779000000003</v>
      </c>
      <c r="AK11" s="2">
        <v>8.7777910000000006</v>
      </c>
      <c r="AL11" s="2">
        <v>3.591186</v>
      </c>
      <c r="AM11" s="2">
        <v>0</v>
      </c>
      <c r="AN11" s="2">
        <v>307.29634199999998</v>
      </c>
      <c r="AO11" s="2">
        <v>2.626093</v>
      </c>
      <c r="AP11" s="2">
        <v>1.5286420000000001</v>
      </c>
      <c r="AQ11" s="2">
        <v>0.15374000000000002</v>
      </c>
      <c r="AR11" s="2">
        <v>1.6286999999999999E-2</v>
      </c>
      <c r="AS11" s="2">
        <v>6.3973999999999989E-2</v>
      </c>
      <c r="AT11" s="11">
        <v>335.189211</v>
      </c>
      <c r="AU11" s="2">
        <v>0</v>
      </c>
      <c r="AV11" s="2">
        <v>0</v>
      </c>
      <c r="AW11" s="2">
        <v>3.7289000000000003E-2</v>
      </c>
      <c r="AX11" s="2">
        <v>6.2121999999999997E-2</v>
      </c>
      <c r="AY11" s="2">
        <v>2.19346</v>
      </c>
      <c r="AZ11" s="2">
        <v>0.83651500000000001</v>
      </c>
      <c r="BA11" s="2">
        <v>4.7697319999999994</v>
      </c>
      <c r="BB11" s="2">
        <v>69.390123000000003</v>
      </c>
      <c r="BC11" s="2">
        <v>102.73684299999999</v>
      </c>
      <c r="BE11" s="4">
        <f t="shared" si="0"/>
        <v>4852.6618439999993</v>
      </c>
      <c r="BF11" s="8">
        <f t="shared" si="1"/>
        <v>4.8526618439999991</v>
      </c>
      <c r="BH11" s="3"/>
    </row>
    <row r="12" spans="1:60">
      <c r="A12" s="7">
        <v>2001</v>
      </c>
      <c r="B12" s="2">
        <v>69.988286000000002</v>
      </c>
      <c r="C12" s="2">
        <v>721.82809499999996</v>
      </c>
      <c r="D12" s="2">
        <v>5.9840000000000004E-2</v>
      </c>
      <c r="E12" s="2">
        <v>0</v>
      </c>
      <c r="F12" s="2">
        <v>0</v>
      </c>
      <c r="G12" s="2">
        <v>2.379E-3</v>
      </c>
      <c r="H12" s="2">
        <v>7.7747399999999995</v>
      </c>
      <c r="I12" s="2">
        <v>0</v>
      </c>
      <c r="J12" s="2">
        <v>183.698792</v>
      </c>
      <c r="K12" s="2">
        <v>1.38967</v>
      </c>
      <c r="L12" s="2">
        <v>1.0815999999999999E-2</v>
      </c>
      <c r="M12" s="2">
        <v>4.1693000000000001E-2</v>
      </c>
      <c r="N12" s="2">
        <v>181.40380200000001</v>
      </c>
      <c r="O12" s="2">
        <v>7.8852320000000011</v>
      </c>
      <c r="P12" s="2">
        <v>0.32169700000000001</v>
      </c>
      <c r="Q12" s="2">
        <v>80.318328999999991</v>
      </c>
      <c r="R12" s="2">
        <v>508.58096399999999</v>
      </c>
      <c r="S12" s="2">
        <v>9.4450000000000003E-3</v>
      </c>
      <c r="T12" s="2">
        <v>1.769685</v>
      </c>
      <c r="U12" s="2">
        <v>938.12687600000004</v>
      </c>
      <c r="V12" s="2">
        <v>259.354401</v>
      </c>
      <c r="W12" s="2">
        <v>0</v>
      </c>
      <c r="X12" s="2">
        <v>36.600749999999998</v>
      </c>
      <c r="Y12" s="2">
        <v>4.2512999999999995E-2</v>
      </c>
      <c r="Z12" s="2">
        <v>0</v>
      </c>
      <c r="AA12" s="2">
        <v>5.8776099999999998</v>
      </c>
      <c r="AB12" s="2">
        <v>1.1287510000000001</v>
      </c>
      <c r="AC12" s="2">
        <v>28.786760000000001</v>
      </c>
      <c r="AD12" s="2">
        <v>54.200725999999996</v>
      </c>
      <c r="AE12" s="2">
        <v>8.8399540000000005</v>
      </c>
      <c r="AF12" s="2">
        <v>0.40254199999999996</v>
      </c>
      <c r="AG12" s="2">
        <v>1.0191300000000001</v>
      </c>
      <c r="AH12" s="2">
        <v>4.369173</v>
      </c>
      <c r="AI12" s="2">
        <v>8.9515529999999988</v>
      </c>
      <c r="AJ12" s="2">
        <v>84.348670999999996</v>
      </c>
      <c r="AK12" s="2">
        <v>11.193890999999999</v>
      </c>
      <c r="AL12" s="2">
        <v>11.262863999999999</v>
      </c>
      <c r="AM12" s="2">
        <v>0</v>
      </c>
      <c r="AN12" s="2">
        <v>227.15747200000001</v>
      </c>
      <c r="AO12" s="2">
        <v>6.369694</v>
      </c>
      <c r="AP12" s="2">
        <v>0.375639</v>
      </c>
      <c r="AQ12" s="2">
        <v>5.0791999999999997E-2</v>
      </c>
      <c r="AR12" s="2">
        <v>2.8010000000000001E-3</v>
      </c>
      <c r="AS12" s="2">
        <v>0.51494099999999998</v>
      </c>
      <c r="AT12" s="11">
        <v>461.312299</v>
      </c>
      <c r="AU12" s="2">
        <v>0</v>
      </c>
      <c r="AV12" s="2">
        <v>0</v>
      </c>
      <c r="AW12" s="2">
        <v>7.0137209999999994</v>
      </c>
      <c r="AX12" s="2">
        <v>0.22506800000000002</v>
      </c>
      <c r="AY12" s="2">
        <v>3.203986</v>
      </c>
      <c r="AZ12" s="2">
        <v>1.236219</v>
      </c>
      <c r="BA12" s="2">
        <v>3.2864119999999999</v>
      </c>
      <c r="BB12" s="2">
        <v>35.924121000000007</v>
      </c>
      <c r="BC12" s="2">
        <v>114.89188799999999</v>
      </c>
      <c r="BE12" s="4">
        <f t="shared" si="0"/>
        <v>4081.1546829999997</v>
      </c>
      <c r="BF12" s="8">
        <f t="shared" si="1"/>
        <v>4.0811546829999994</v>
      </c>
      <c r="BH12" s="3"/>
    </row>
    <row r="13" spans="1:60">
      <c r="A13" s="7">
        <v>2002</v>
      </c>
      <c r="B13" s="2">
        <v>81.897046000000003</v>
      </c>
      <c r="C13" s="2">
        <v>1087.0493429999999</v>
      </c>
      <c r="D13" s="2">
        <v>17.005899000000003</v>
      </c>
      <c r="E13" s="2">
        <v>5.0830000000000007E-3</v>
      </c>
      <c r="F13" s="2">
        <v>0.70166200000000001</v>
      </c>
      <c r="G13" s="2">
        <v>0.49073100000000003</v>
      </c>
      <c r="H13" s="2">
        <v>14.131153000000001</v>
      </c>
      <c r="I13" s="2">
        <v>2.6199999999999997E-4</v>
      </c>
      <c r="J13" s="2">
        <v>114.65679</v>
      </c>
      <c r="K13" s="2">
        <v>1.2570129999999999</v>
      </c>
      <c r="L13" s="2">
        <v>1.534314</v>
      </c>
      <c r="M13" s="2">
        <v>0</v>
      </c>
      <c r="N13" s="2">
        <v>251.27442400000001</v>
      </c>
      <c r="O13" s="2">
        <v>12.473266000000001</v>
      </c>
      <c r="P13" s="2">
        <v>2.1149000000000001E-2</v>
      </c>
      <c r="Q13" s="2">
        <v>91.854382999999999</v>
      </c>
      <c r="R13" s="2">
        <v>382.72609699999998</v>
      </c>
      <c r="S13" s="2">
        <v>4.8539999999999998E-3</v>
      </c>
      <c r="T13" s="2">
        <v>3.6851349999999998</v>
      </c>
      <c r="U13" s="2">
        <v>1157.5853830000001</v>
      </c>
      <c r="V13" s="2">
        <v>231.94337000000002</v>
      </c>
      <c r="W13" s="2">
        <v>0</v>
      </c>
      <c r="X13" s="2">
        <v>30.145440000000001</v>
      </c>
      <c r="Y13" s="2">
        <v>11.535848</v>
      </c>
      <c r="Z13" s="2">
        <v>0</v>
      </c>
      <c r="AA13" s="2">
        <v>5.7977999999999996</v>
      </c>
      <c r="AB13" s="2">
        <v>0</v>
      </c>
      <c r="AC13" s="2">
        <v>55.586404000000002</v>
      </c>
      <c r="AD13" s="2">
        <v>1.2180789999999999</v>
      </c>
      <c r="AE13" s="2">
        <v>11.319532000000001</v>
      </c>
      <c r="AF13" s="2">
        <v>0.60514200000000007</v>
      </c>
      <c r="AG13" s="2">
        <v>1.7302949999999999</v>
      </c>
      <c r="AH13" s="2">
        <v>9.7661799999999985</v>
      </c>
      <c r="AI13" s="2">
        <v>4.6710370000000001</v>
      </c>
      <c r="AJ13" s="2">
        <v>122.14832800000001</v>
      </c>
      <c r="AK13" s="2">
        <v>22.578190000000003</v>
      </c>
      <c r="AL13" s="2">
        <v>28.930213999999999</v>
      </c>
      <c r="AM13" s="2">
        <v>8.2999999999999998E-5</v>
      </c>
      <c r="AN13" s="2">
        <v>121.308269</v>
      </c>
      <c r="AO13" s="2">
        <v>5.1912539999999998</v>
      </c>
      <c r="AP13" s="2">
        <v>1.0716729999999999</v>
      </c>
      <c r="AQ13" s="2">
        <v>1.3521E-2</v>
      </c>
      <c r="AR13" s="2">
        <v>0.15712599999999999</v>
      </c>
      <c r="AS13" s="2">
        <v>1.559612</v>
      </c>
      <c r="AT13" s="11">
        <v>450.29773599999999</v>
      </c>
      <c r="AU13" s="2">
        <v>0</v>
      </c>
      <c r="AV13" s="2">
        <v>0</v>
      </c>
      <c r="AW13" s="2">
        <v>11.089326</v>
      </c>
      <c r="AX13" s="2">
        <v>5.3497240000000001</v>
      </c>
      <c r="AY13" s="2">
        <v>38.296714000000001</v>
      </c>
      <c r="AZ13" s="2">
        <v>5.6026950000000006</v>
      </c>
      <c r="BA13" s="2">
        <v>6.6198610000000002</v>
      </c>
      <c r="BB13" s="2">
        <v>46.092257999999994</v>
      </c>
      <c r="BC13" s="2">
        <v>159.59250299999999</v>
      </c>
      <c r="BE13" s="4">
        <f t="shared" si="0"/>
        <v>4608.572200999999</v>
      </c>
      <c r="BF13" s="8">
        <f t="shared" si="1"/>
        <v>4.6085722009999994</v>
      </c>
      <c r="BH13" s="3"/>
    </row>
    <row r="14" spans="1:60">
      <c r="A14" s="7">
        <v>2003</v>
      </c>
      <c r="B14" s="2">
        <v>99.216863000000004</v>
      </c>
      <c r="C14" s="2">
        <v>2205.9348800000002</v>
      </c>
      <c r="D14" s="2">
        <v>68.398282000000009</v>
      </c>
      <c r="E14" s="2">
        <v>2.1759879999999998</v>
      </c>
      <c r="F14" s="2">
        <v>32.340432</v>
      </c>
      <c r="G14" s="2">
        <v>1.734586</v>
      </c>
      <c r="H14" s="2">
        <v>36.757705999999999</v>
      </c>
      <c r="I14" s="2">
        <v>3.5300000000000002E-4</v>
      </c>
      <c r="J14" s="2">
        <v>115.222488</v>
      </c>
      <c r="K14" s="2">
        <v>2.3125289999999996</v>
      </c>
      <c r="L14" s="2">
        <v>2.8378239999999999</v>
      </c>
      <c r="M14" s="2">
        <v>6.4000000000000005E-4</v>
      </c>
      <c r="N14" s="2">
        <v>814.65869199999997</v>
      </c>
      <c r="O14" s="2">
        <v>26.241575999999998</v>
      </c>
      <c r="P14" s="2">
        <v>0.14869199999999999</v>
      </c>
      <c r="Q14" s="2">
        <v>152.82099199999999</v>
      </c>
      <c r="R14" s="2">
        <v>411.88653200000005</v>
      </c>
      <c r="S14" s="2">
        <v>4.64E-4</v>
      </c>
      <c r="T14" s="2">
        <v>4.7380589999999998</v>
      </c>
      <c r="U14" s="2">
        <v>1441.8214129999999</v>
      </c>
      <c r="V14" s="2">
        <v>300.60334</v>
      </c>
      <c r="W14" s="2">
        <v>1.5487649999999999</v>
      </c>
      <c r="X14" s="2">
        <v>34.309463000000001</v>
      </c>
      <c r="Y14" s="2">
        <v>10.451920999999999</v>
      </c>
      <c r="Z14" s="2">
        <v>0</v>
      </c>
      <c r="AA14" s="2">
        <v>8.7357019999999999</v>
      </c>
      <c r="AB14" s="2">
        <v>1.0300000000000001E-3</v>
      </c>
      <c r="AC14" s="2">
        <v>41.954580999999997</v>
      </c>
      <c r="AD14" s="2">
        <v>40.946314999999998</v>
      </c>
      <c r="AE14" s="2">
        <v>6.9560300000000002</v>
      </c>
      <c r="AF14" s="2">
        <v>8.797000000000001E-3</v>
      </c>
      <c r="AG14" s="2">
        <v>28.390044</v>
      </c>
      <c r="AH14" s="2">
        <v>7.7072010000000004</v>
      </c>
      <c r="AI14" s="2">
        <v>3.1260029999999999</v>
      </c>
      <c r="AJ14" s="2">
        <v>160.971507</v>
      </c>
      <c r="AK14" s="2">
        <v>26.591792999999999</v>
      </c>
      <c r="AL14" s="2">
        <v>36.951144999999997</v>
      </c>
      <c r="AM14" s="2">
        <v>1.0000000000000002E-6</v>
      </c>
      <c r="AN14" s="2">
        <v>71.658792000000005</v>
      </c>
      <c r="AO14" s="2">
        <v>7.1169400000000005</v>
      </c>
      <c r="AP14" s="2">
        <v>6.2826330000000006</v>
      </c>
      <c r="AQ14" s="2">
        <v>3.3083000000000001E-2</v>
      </c>
      <c r="AR14" s="2">
        <v>9.6000000000000002E-5</v>
      </c>
      <c r="AS14" s="2">
        <v>6.6243059999999998</v>
      </c>
      <c r="AT14" s="11">
        <v>889.14754100000005</v>
      </c>
      <c r="AU14" s="2">
        <v>0</v>
      </c>
      <c r="AV14" s="2">
        <v>0</v>
      </c>
      <c r="AW14" s="2">
        <v>14.533067000000001</v>
      </c>
      <c r="AX14" s="2">
        <v>22.113599000000001</v>
      </c>
      <c r="AY14" s="2">
        <v>17.044964</v>
      </c>
      <c r="AZ14" s="2">
        <v>3.5033260000000004</v>
      </c>
      <c r="BA14" s="2">
        <v>27.567110999999997</v>
      </c>
      <c r="BB14" s="2">
        <v>47.881549</v>
      </c>
      <c r="BC14" s="2">
        <v>167.08017000000001</v>
      </c>
      <c r="BE14" s="4">
        <f t="shared" si="0"/>
        <v>7409.0898060000009</v>
      </c>
      <c r="BF14" s="8">
        <f t="shared" si="1"/>
        <v>7.4090898060000008</v>
      </c>
      <c r="BH14" s="3"/>
    </row>
    <row r="15" spans="1:60">
      <c r="A15" s="7">
        <v>2004</v>
      </c>
      <c r="B15" s="2">
        <v>259.07751200000001</v>
      </c>
      <c r="C15" s="2">
        <v>4717.3391459999993</v>
      </c>
      <c r="D15" s="2">
        <v>111.272693</v>
      </c>
      <c r="E15" s="2">
        <v>2.8607079999999998</v>
      </c>
      <c r="F15" s="2">
        <v>124.111964</v>
      </c>
      <c r="G15" s="2">
        <v>0.318687</v>
      </c>
      <c r="H15" s="2">
        <v>108.454807</v>
      </c>
      <c r="I15" s="2">
        <v>0</v>
      </c>
      <c r="J15" s="2">
        <v>148.905979</v>
      </c>
      <c r="K15" s="2">
        <v>6.2452999999999994</v>
      </c>
      <c r="L15" s="2">
        <v>222.585779</v>
      </c>
      <c r="M15" s="2">
        <v>0</v>
      </c>
      <c r="N15" s="2">
        <v>1569.0609790000001</v>
      </c>
      <c r="O15" s="2">
        <v>99.584852999999995</v>
      </c>
      <c r="P15" s="2">
        <v>0.51433399999999996</v>
      </c>
      <c r="Q15" s="2">
        <v>187.93572799999998</v>
      </c>
      <c r="R15" s="2">
        <v>996.649809</v>
      </c>
      <c r="S15" s="2">
        <v>0.51053999999999999</v>
      </c>
      <c r="T15" s="2">
        <v>14.386456000000001</v>
      </c>
      <c r="U15" s="2">
        <v>1705.876565</v>
      </c>
      <c r="V15" s="2">
        <v>400.28579399999995</v>
      </c>
      <c r="W15" s="2">
        <v>0.12430500000000001</v>
      </c>
      <c r="X15" s="2">
        <v>80.383412000000007</v>
      </c>
      <c r="Y15" s="2">
        <v>14.794646999999999</v>
      </c>
      <c r="Z15" s="2">
        <v>2.9251000000000003E-2</v>
      </c>
      <c r="AA15" s="2">
        <v>16.969228999999999</v>
      </c>
      <c r="AB15" s="2">
        <v>5.4699999999999996E-4</v>
      </c>
      <c r="AC15" s="2">
        <v>16.519461</v>
      </c>
      <c r="AD15" s="2">
        <v>416.75816800000001</v>
      </c>
      <c r="AE15" s="2">
        <v>14.081299</v>
      </c>
      <c r="AF15" s="2">
        <v>4.4545000000000001E-2</v>
      </c>
      <c r="AG15" s="2">
        <v>106.75491500000001</v>
      </c>
      <c r="AH15" s="2">
        <v>50.399327</v>
      </c>
      <c r="AI15" s="2">
        <v>6.6542820000000003</v>
      </c>
      <c r="AJ15" s="2">
        <v>214.0821</v>
      </c>
      <c r="AK15" s="2">
        <v>44.286107999999999</v>
      </c>
      <c r="AL15" s="2">
        <v>46.576322000000005</v>
      </c>
      <c r="AM15" s="2">
        <v>1.1576000000000001E-2</v>
      </c>
      <c r="AN15" s="2">
        <v>463.216342</v>
      </c>
      <c r="AO15" s="2">
        <v>16.026199000000002</v>
      </c>
      <c r="AP15" s="2">
        <v>3.9410799999999995</v>
      </c>
      <c r="AQ15" s="2">
        <v>2.7784E-2</v>
      </c>
      <c r="AR15" s="2">
        <v>1.603283</v>
      </c>
      <c r="AS15" s="2">
        <v>7.8112110000000001</v>
      </c>
      <c r="AT15" s="11">
        <v>1055.7458549999999</v>
      </c>
      <c r="AU15" s="2">
        <v>0</v>
      </c>
      <c r="AV15" s="2">
        <v>0</v>
      </c>
      <c r="AW15" s="2">
        <v>14.632978</v>
      </c>
      <c r="AX15" s="2">
        <v>46.471917000000005</v>
      </c>
      <c r="AY15" s="2">
        <v>34.131276</v>
      </c>
      <c r="AZ15" s="2">
        <v>11.641230999999999</v>
      </c>
      <c r="BA15" s="2">
        <v>68.26908499999999</v>
      </c>
      <c r="BB15" s="2">
        <v>171.10489100000001</v>
      </c>
      <c r="BC15" s="2">
        <v>141.17812900000001</v>
      </c>
      <c r="BE15" s="4">
        <f t="shared" si="0"/>
        <v>13740.248387999998</v>
      </c>
      <c r="BF15" s="8">
        <f t="shared" si="1"/>
        <v>13.740248387999998</v>
      </c>
      <c r="BH15" s="3"/>
    </row>
    <row r="16" spans="1:60">
      <c r="A16" s="7">
        <v>2005</v>
      </c>
      <c r="B16" s="2">
        <v>363.732733</v>
      </c>
      <c r="C16" s="2">
        <v>6581.8287140000002</v>
      </c>
      <c r="D16" s="2">
        <v>139.392855</v>
      </c>
      <c r="E16" s="2">
        <v>4.0040990000000001</v>
      </c>
      <c r="F16" s="2">
        <v>163.26639800000001</v>
      </c>
      <c r="G16" s="2">
        <v>0.32708200000000004</v>
      </c>
      <c r="H16" s="2">
        <v>85.085257999999996</v>
      </c>
      <c r="I16" s="2">
        <v>0</v>
      </c>
      <c r="J16" s="2">
        <v>66.753332</v>
      </c>
      <c r="K16" s="2">
        <v>8.9903759999999995</v>
      </c>
      <c r="L16" s="2">
        <v>191.08337499999999</v>
      </c>
      <c r="M16" s="2">
        <v>5.8299999999999997E-4</v>
      </c>
      <c r="N16" s="2">
        <v>2278.0298970000003</v>
      </c>
      <c r="O16" s="2">
        <v>175.77199199999998</v>
      </c>
      <c r="P16" s="2">
        <v>0.5360649999999999</v>
      </c>
      <c r="Q16" s="2">
        <v>211.135885</v>
      </c>
      <c r="R16" s="2">
        <v>1437.8339739999999</v>
      </c>
      <c r="S16" s="2">
        <v>0.40840800000000005</v>
      </c>
      <c r="T16" s="2">
        <v>85.708980000000011</v>
      </c>
      <c r="U16" s="2">
        <v>2614.461953</v>
      </c>
      <c r="V16" s="2">
        <v>351.67800799999998</v>
      </c>
      <c r="W16" s="2">
        <v>0.170378</v>
      </c>
      <c r="X16" s="2">
        <v>96.006326999999999</v>
      </c>
      <c r="Y16" s="2">
        <v>3.0020540000000002</v>
      </c>
      <c r="Z16" s="2">
        <v>0</v>
      </c>
      <c r="AA16" s="2">
        <v>17.652134</v>
      </c>
      <c r="AB16" s="2">
        <v>0.33085100000000001</v>
      </c>
      <c r="AC16" s="2">
        <v>14.170059</v>
      </c>
      <c r="AD16" s="2">
        <v>941.71884699999998</v>
      </c>
      <c r="AE16" s="2">
        <v>13.997353</v>
      </c>
      <c r="AF16" s="2">
        <v>2.0677289999999999</v>
      </c>
      <c r="AG16" s="2">
        <v>79.250222999999991</v>
      </c>
      <c r="AH16" s="2">
        <v>4.0574970000000006</v>
      </c>
      <c r="AI16" s="2">
        <v>8.2773819999999994</v>
      </c>
      <c r="AJ16" s="2">
        <v>277.448396</v>
      </c>
      <c r="AK16" s="2">
        <v>73.527324000000007</v>
      </c>
      <c r="AL16" s="2">
        <v>76.388556999999992</v>
      </c>
      <c r="AM16" s="2">
        <v>6.4999999999999997E-4</v>
      </c>
      <c r="AN16" s="2">
        <v>526.87925800000005</v>
      </c>
      <c r="AO16" s="2">
        <v>11.532033999999999</v>
      </c>
      <c r="AP16" s="2">
        <v>7.879753</v>
      </c>
      <c r="AQ16" s="2">
        <v>9.776E-3</v>
      </c>
      <c r="AR16" s="2">
        <v>1.360541</v>
      </c>
      <c r="AS16" s="2">
        <v>3.0743119999999999</v>
      </c>
      <c r="AT16" s="11">
        <v>1368.7242200000001</v>
      </c>
      <c r="AU16" s="2">
        <v>0</v>
      </c>
      <c r="AV16" s="2">
        <v>0</v>
      </c>
      <c r="AW16" s="2">
        <v>23.180994999999999</v>
      </c>
      <c r="AX16" s="2">
        <v>31.873717000000003</v>
      </c>
      <c r="AY16" s="2">
        <v>44.087778999999998</v>
      </c>
      <c r="AZ16" s="2">
        <v>20.001905000000001</v>
      </c>
      <c r="BA16" s="2">
        <v>170.71767700000001</v>
      </c>
      <c r="BB16" s="2">
        <v>252.062365</v>
      </c>
      <c r="BC16" s="2">
        <v>157.91782700000002</v>
      </c>
      <c r="BE16" s="4">
        <f t="shared" si="0"/>
        <v>18987.397887000003</v>
      </c>
      <c r="BF16" s="8">
        <f t="shared" si="1"/>
        <v>18.987397887000004</v>
      </c>
      <c r="BH16" s="3"/>
    </row>
    <row r="17" spans="1:60">
      <c r="A17" s="7">
        <v>2006</v>
      </c>
      <c r="B17" s="2">
        <v>143.12160900000001</v>
      </c>
      <c r="C17" s="2">
        <v>10933.295107</v>
      </c>
      <c r="D17" s="2">
        <v>89.382925999999998</v>
      </c>
      <c r="E17" s="2">
        <v>8.1661079999999995</v>
      </c>
      <c r="F17" s="2">
        <v>193.312963</v>
      </c>
      <c r="G17" s="2">
        <v>1.7463949999999999</v>
      </c>
      <c r="H17" s="2">
        <v>125.48850899999999</v>
      </c>
      <c r="I17" s="2">
        <v>3.4400000000000001E-4</v>
      </c>
      <c r="J17" s="2">
        <v>199.662643</v>
      </c>
      <c r="K17" s="2">
        <v>8.6088760000000004</v>
      </c>
      <c r="L17" s="2">
        <v>260.31300800000002</v>
      </c>
      <c r="M17" s="2">
        <v>6.8300000000000001E-4</v>
      </c>
      <c r="N17" s="2">
        <v>2791.64167</v>
      </c>
      <c r="O17" s="2">
        <v>368.55011100000002</v>
      </c>
      <c r="P17" s="2">
        <v>0.383907</v>
      </c>
      <c r="Q17" s="2">
        <v>216.76881600000002</v>
      </c>
      <c r="R17" s="2">
        <v>2537.5916639999996</v>
      </c>
      <c r="S17" s="2">
        <v>0.70811400000000002</v>
      </c>
      <c r="T17" s="2">
        <v>131.823476</v>
      </c>
      <c r="U17" s="2">
        <v>1943.4817209999999</v>
      </c>
      <c r="V17" s="2">
        <v>816.76081199999999</v>
      </c>
      <c r="W17" s="2">
        <v>0.445849</v>
      </c>
      <c r="X17" s="2">
        <v>79.677895000000007</v>
      </c>
      <c r="Y17" s="2">
        <v>12.281279000000001</v>
      </c>
      <c r="Z17" s="2">
        <v>6.4000000000000011E-5</v>
      </c>
      <c r="AA17" s="2">
        <v>24.415592999999998</v>
      </c>
      <c r="AB17" s="2">
        <v>1.2803280000000001</v>
      </c>
      <c r="AC17" s="2">
        <v>1.9280840000000001</v>
      </c>
      <c r="AD17" s="2">
        <v>1693.945966</v>
      </c>
      <c r="AE17" s="2">
        <v>23.810034000000002</v>
      </c>
      <c r="AF17" s="2">
        <v>0.98593300000000006</v>
      </c>
      <c r="AG17" s="2">
        <v>114.239749</v>
      </c>
      <c r="AH17" s="2">
        <v>402.01619599999998</v>
      </c>
      <c r="AI17" s="2">
        <v>7.326333</v>
      </c>
      <c r="AJ17" s="2">
        <v>359.40634</v>
      </c>
      <c r="AK17" s="2">
        <v>79.772227999999998</v>
      </c>
      <c r="AL17" s="2">
        <v>121.857253</v>
      </c>
      <c r="AM17" s="2">
        <v>0.92709599999999992</v>
      </c>
      <c r="AN17" s="2">
        <v>277.74727899999999</v>
      </c>
      <c r="AO17" s="2">
        <v>21.887574999999998</v>
      </c>
      <c r="AP17" s="2">
        <v>9.3605579999999993</v>
      </c>
      <c r="AQ17" s="2">
        <v>0.59799600000000008</v>
      </c>
      <c r="AR17" s="2">
        <v>0.97899399999999992</v>
      </c>
      <c r="AS17" s="2">
        <v>3.0648360000000001</v>
      </c>
      <c r="AT17" s="11">
        <v>2108.7565669999999</v>
      </c>
      <c r="AU17" s="2">
        <v>0</v>
      </c>
      <c r="AV17" s="2">
        <v>0</v>
      </c>
      <c r="AW17" s="2">
        <v>24.822265999999999</v>
      </c>
      <c r="AX17" s="2">
        <v>21.598694000000002</v>
      </c>
      <c r="AY17" s="2">
        <v>50.532891000000006</v>
      </c>
      <c r="AZ17" s="2">
        <v>17.784982000000003</v>
      </c>
      <c r="BA17" s="2">
        <v>152.67810800000001</v>
      </c>
      <c r="BB17" s="2">
        <v>270.35633300000001</v>
      </c>
      <c r="BC17" s="2">
        <v>139.093424</v>
      </c>
      <c r="BE17" s="4">
        <f t="shared" si="0"/>
        <v>26794.386185000003</v>
      </c>
      <c r="BF17" s="8">
        <f t="shared" si="1"/>
        <v>26.794386185000004</v>
      </c>
      <c r="BH17" s="3"/>
    </row>
    <row r="18" spans="1:60">
      <c r="A18" s="7">
        <v>2007</v>
      </c>
      <c r="B18" s="2">
        <v>1160.9319520000001</v>
      </c>
      <c r="C18" s="2">
        <v>12888.664603000001</v>
      </c>
      <c r="D18" s="2">
        <v>113.159474</v>
      </c>
      <c r="E18" s="2">
        <v>26.435246999999997</v>
      </c>
      <c r="F18" s="2">
        <v>155.03976599999999</v>
      </c>
      <c r="G18" s="2">
        <v>0.67362599999999995</v>
      </c>
      <c r="H18" s="2">
        <v>40.636513000000001</v>
      </c>
      <c r="I18" s="2">
        <v>4.9999999999999996E-5</v>
      </c>
      <c r="J18" s="2">
        <v>160.01756900000001</v>
      </c>
      <c r="K18" s="2">
        <v>6.611853</v>
      </c>
      <c r="L18" s="2">
        <v>84.069390999999996</v>
      </c>
      <c r="M18" s="2">
        <v>1.7730000000000001E-3</v>
      </c>
      <c r="N18" s="2">
        <v>2836.6961119999996</v>
      </c>
      <c r="O18" s="2">
        <v>460.17598799999996</v>
      </c>
      <c r="P18" s="2">
        <v>1.6394919999999999</v>
      </c>
      <c r="Q18" s="2">
        <v>239.73933299999999</v>
      </c>
      <c r="R18" s="2">
        <v>1697.2833460000002</v>
      </c>
      <c r="S18" s="2">
        <v>2.5186800000000003</v>
      </c>
      <c r="T18" s="2">
        <v>87.130421999999996</v>
      </c>
      <c r="U18" s="2">
        <v>4171.239208</v>
      </c>
      <c r="V18" s="2">
        <v>1095.733303</v>
      </c>
      <c r="W18" s="2">
        <v>8.6882609999999989</v>
      </c>
      <c r="X18" s="2">
        <v>53.522024000000002</v>
      </c>
      <c r="Y18" s="2">
        <v>92.356842999999998</v>
      </c>
      <c r="Z18" s="2">
        <v>0.17299399999999998</v>
      </c>
      <c r="AA18" s="2">
        <v>28.111587</v>
      </c>
      <c r="AB18" s="2">
        <v>1.24366</v>
      </c>
      <c r="AC18" s="2">
        <v>3.2772489999999999</v>
      </c>
      <c r="AD18" s="2">
        <v>1547.495236</v>
      </c>
      <c r="AE18" s="2">
        <v>29.662011</v>
      </c>
      <c r="AF18" s="2">
        <v>0.75894700000000004</v>
      </c>
      <c r="AG18" s="2">
        <v>35.895378000000001</v>
      </c>
      <c r="AH18" s="2">
        <v>569.38082700000007</v>
      </c>
      <c r="AI18" s="2">
        <v>5.0249540000000001</v>
      </c>
      <c r="AJ18" s="2">
        <v>423.89183800000001</v>
      </c>
      <c r="AK18" s="2">
        <v>124.248069</v>
      </c>
      <c r="AL18" s="2">
        <v>157.65860000000001</v>
      </c>
      <c r="AM18" s="2">
        <v>4.5163000000000002E-2</v>
      </c>
      <c r="AN18" s="2">
        <v>537.08032100000003</v>
      </c>
      <c r="AO18" s="2">
        <v>23.634315999999998</v>
      </c>
      <c r="AP18" s="2">
        <v>22.530569</v>
      </c>
      <c r="AQ18" s="2">
        <v>4.4601950000000006</v>
      </c>
      <c r="AR18" s="2">
        <v>5.7054260000000001</v>
      </c>
      <c r="AS18" s="2">
        <v>1.72279</v>
      </c>
      <c r="AT18" s="11">
        <v>4169.6080330000004</v>
      </c>
      <c r="AU18" s="2">
        <v>0</v>
      </c>
      <c r="AV18" s="2">
        <v>0</v>
      </c>
      <c r="AW18" s="2">
        <v>19.332267000000002</v>
      </c>
      <c r="AX18" s="2">
        <v>26.104611999999999</v>
      </c>
      <c r="AY18" s="2">
        <v>30.318413999999997</v>
      </c>
      <c r="AZ18" s="2">
        <v>19.898323999999999</v>
      </c>
      <c r="BA18" s="2">
        <v>203.599842</v>
      </c>
      <c r="BB18" s="2">
        <v>394.86219299999999</v>
      </c>
      <c r="BC18" s="2">
        <v>142.76929699999999</v>
      </c>
      <c r="BE18" s="4">
        <f t="shared" si="0"/>
        <v>33911.457941000008</v>
      </c>
      <c r="BF18" s="8">
        <f t="shared" si="1"/>
        <v>33.911457941000009</v>
      </c>
      <c r="BH18" s="3"/>
    </row>
    <row r="19" spans="1:60">
      <c r="A19" s="7">
        <v>2008</v>
      </c>
      <c r="B19" s="2">
        <v>849.21921099999997</v>
      </c>
      <c r="C19" s="2">
        <v>22382.523829000002</v>
      </c>
      <c r="D19" s="2">
        <v>110.161584</v>
      </c>
      <c r="E19" s="2">
        <v>183.91335699999999</v>
      </c>
      <c r="F19" s="2">
        <v>62.48377</v>
      </c>
      <c r="G19" s="2">
        <v>0.121419</v>
      </c>
      <c r="H19" s="2">
        <v>70.580412999999993</v>
      </c>
      <c r="I19" s="2">
        <v>0</v>
      </c>
      <c r="J19" s="2">
        <v>479.19063699999998</v>
      </c>
      <c r="K19" s="2">
        <v>21.438597000000001</v>
      </c>
      <c r="L19" s="2">
        <v>41.604208</v>
      </c>
      <c r="M19" s="2">
        <v>0</v>
      </c>
      <c r="N19" s="2">
        <v>3731.7014099999997</v>
      </c>
      <c r="O19" s="2">
        <v>1583.860124</v>
      </c>
      <c r="P19" s="2">
        <v>1.7915489999999998</v>
      </c>
      <c r="Q19" s="2">
        <v>428.93910299999999</v>
      </c>
      <c r="R19" s="2">
        <v>2267.8718819999999</v>
      </c>
      <c r="S19" s="2">
        <v>2.4738509999999998</v>
      </c>
      <c r="T19" s="2">
        <v>81.656178999999995</v>
      </c>
      <c r="U19" s="2">
        <v>6325.8894620000001</v>
      </c>
      <c r="V19" s="2">
        <v>1792.6127510000001</v>
      </c>
      <c r="W19" s="2">
        <v>3.1641650000000001</v>
      </c>
      <c r="X19" s="2">
        <v>93.400315000000006</v>
      </c>
      <c r="Y19" s="2">
        <v>25.302690999999999</v>
      </c>
      <c r="Z19" s="2">
        <v>1.2425619999999999</v>
      </c>
      <c r="AA19" s="2">
        <v>34.722717000000003</v>
      </c>
      <c r="AB19" s="2">
        <v>1.697862</v>
      </c>
      <c r="AC19" s="2">
        <v>5.9356989999999996</v>
      </c>
      <c r="AD19" s="2">
        <v>2588.9933329999999</v>
      </c>
      <c r="AE19" s="2">
        <v>65.171536000000003</v>
      </c>
      <c r="AF19" s="2">
        <v>8.1113239999999998</v>
      </c>
      <c r="AG19" s="2">
        <v>62.951572999999996</v>
      </c>
      <c r="AH19" s="2">
        <v>1044.13841</v>
      </c>
      <c r="AI19" s="2">
        <v>5.705495</v>
      </c>
      <c r="AJ19" s="2">
        <v>461.05883600000004</v>
      </c>
      <c r="AK19" s="2">
        <v>125.88237399999998</v>
      </c>
      <c r="AL19" s="2">
        <v>282.17809500000004</v>
      </c>
      <c r="AM19" s="2">
        <v>6.7877000000000007E-2</v>
      </c>
      <c r="AN19" s="2">
        <v>508.38098099999996</v>
      </c>
      <c r="AO19" s="2">
        <v>29.578975</v>
      </c>
      <c r="AP19" s="2">
        <v>4.9699559999999998</v>
      </c>
      <c r="AQ19" s="2">
        <v>3.6840190000000002</v>
      </c>
      <c r="AR19" s="2">
        <v>5.3166079999999996</v>
      </c>
      <c r="AS19" s="2">
        <v>0.18856799999999999</v>
      </c>
      <c r="AT19" s="11">
        <v>4309.7798430000003</v>
      </c>
      <c r="AU19" s="2">
        <v>0</v>
      </c>
      <c r="AV19" s="2">
        <v>0</v>
      </c>
      <c r="AW19" s="2">
        <v>11.279707999999999</v>
      </c>
      <c r="AX19" s="2">
        <v>30.899652</v>
      </c>
      <c r="AY19" s="2">
        <v>90.308470999999997</v>
      </c>
      <c r="AZ19" s="2">
        <v>17.060338999999999</v>
      </c>
      <c r="BA19" s="2">
        <v>131.588471</v>
      </c>
      <c r="BB19" s="2">
        <v>522.49795600000004</v>
      </c>
      <c r="BC19" s="2">
        <v>148.21384400000002</v>
      </c>
      <c r="BE19" s="4">
        <f t="shared" si="0"/>
        <v>51041.505591000001</v>
      </c>
      <c r="BF19" s="8">
        <f t="shared" si="1"/>
        <v>51.041505591000004</v>
      </c>
      <c r="BH19" s="3"/>
    </row>
    <row r="20" spans="1:60">
      <c r="A20" s="7">
        <v>2009</v>
      </c>
      <c r="B20" s="2">
        <v>946.61978999999997</v>
      </c>
      <c r="C20" s="2">
        <v>14675.830702000001</v>
      </c>
      <c r="D20" s="2">
        <v>93.782106999999996</v>
      </c>
      <c r="E20" s="2">
        <v>65.286577999999992</v>
      </c>
      <c r="F20" s="2">
        <v>116.17519399999999</v>
      </c>
      <c r="G20" s="2">
        <v>0.96907700000000008</v>
      </c>
      <c r="H20" s="2">
        <v>62.760509000000006</v>
      </c>
      <c r="I20" s="2">
        <v>1.93E-4</v>
      </c>
      <c r="J20" s="2">
        <v>397.66776399999998</v>
      </c>
      <c r="K20" s="2">
        <v>14.645378000000001</v>
      </c>
      <c r="L20" s="2">
        <v>65.367343999999989</v>
      </c>
      <c r="M20" s="2">
        <v>2.496E-3</v>
      </c>
      <c r="N20" s="2">
        <v>1738.8122519999999</v>
      </c>
      <c r="O20" s="2">
        <v>1136.4476119999999</v>
      </c>
      <c r="P20" s="2">
        <v>0.10957799999999999</v>
      </c>
      <c r="Q20" s="2">
        <v>752.542778</v>
      </c>
      <c r="R20" s="2">
        <v>1055.071473</v>
      </c>
      <c r="S20" s="2">
        <v>0.422234</v>
      </c>
      <c r="T20" s="2">
        <v>214.75555900000001</v>
      </c>
      <c r="U20" s="2">
        <v>4684.8219130000007</v>
      </c>
      <c r="V20" s="2">
        <v>713.88611000000003</v>
      </c>
      <c r="W20" s="2">
        <v>6.6395050000000007</v>
      </c>
      <c r="X20" s="2">
        <v>79.622438000000002</v>
      </c>
      <c r="Y20" s="2">
        <v>6.2395590000000007</v>
      </c>
      <c r="Z20" s="2">
        <v>1.6171829999999998</v>
      </c>
      <c r="AA20" s="2">
        <v>29.661843000000001</v>
      </c>
      <c r="AB20" s="2">
        <v>1.682823</v>
      </c>
      <c r="AC20" s="2">
        <v>3.959133</v>
      </c>
      <c r="AD20" s="2">
        <v>3173.884051</v>
      </c>
      <c r="AE20" s="2">
        <v>54.821973</v>
      </c>
      <c r="AF20" s="2">
        <v>16.989941999999999</v>
      </c>
      <c r="AG20" s="2">
        <v>37.048735999999998</v>
      </c>
      <c r="AH20" s="2">
        <v>853.928225</v>
      </c>
      <c r="AI20" s="2">
        <v>6.0256850000000002</v>
      </c>
      <c r="AJ20" s="2">
        <v>375.01370200000002</v>
      </c>
      <c r="AK20" s="2">
        <v>177.55436899999998</v>
      </c>
      <c r="AL20" s="2">
        <v>312.38101799999998</v>
      </c>
      <c r="AM20" s="2">
        <v>4.8016999999999997E-2</v>
      </c>
      <c r="AN20" s="2">
        <v>896.52583300000003</v>
      </c>
      <c r="AO20" s="2">
        <v>25.698018999999999</v>
      </c>
      <c r="AP20" s="2">
        <v>41.975233000000003</v>
      </c>
      <c r="AQ20" s="2">
        <v>3.1238000000000002E-2</v>
      </c>
      <c r="AR20" s="2">
        <v>10.541270000000001</v>
      </c>
      <c r="AS20" s="2">
        <v>0.55022399999999994</v>
      </c>
      <c r="AT20" s="11">
        <v>5670.1227849999996</v>
      </c>
      <c r="AU20" s="2">
        <v>0</v>
      </c>
      <c r="AV20" s="2">
        <v>0</v>
      </c>
      <c r="AW20" s="2">
        <v>15.107887999999999</v>
      </c>
      <c r="AX20" s="2">
        <v>36.372517000000002</v>
      </c>
      <c r="AY20" s="2">
        <v>107.52372800000001</v>
      </c>
      <c r="AZ20" s="2">
        <v>20.103286000000001</v>
      </c>
      <c r="BA20" s="2">
        <v>195.96835400000001</v>
      </c>
      <c r="BB20" s="2">
        <v>1272.4643349999999</v>
      </c>
      <c r="BC20" s="2">
        <v>140.84982200000002</v>
      </c>
      <c r="BE20" s="4">
        <f t="shared" si="0"/>
        <v>40306.929375</v>
      </c>
      <c r="BF20" s="8">
        <f t="shared" si="1"/>
        <v>40.306929375000003</v>
      </c>
      <c r="BH20" s="3"/>
    </row>
    <row r="21" spans="1:60">
      <c r="A21" s="7">
        <v>2010</v>
      </c>
      <c r="B21" s="2">
        <v>1177.3173340000001</v>
      </c>
      <c r="C21" s="2">
        <v>22815.049454</v>
      </c>
      <c r="D21" s="2">
        <v>125.63161700000001</v>
      </c>
      <c r="E21" s="2">
        <v>53.365700000000004</v>
      </c>
      <c r="F21" s="2">
        <v>121.094433</v>
      </c>
      <c r="G21" s="2">
        <v>3.458396</v>
      </c>
      <c r="H21" s="2">
        <v>110.52862500000001</v>
      </c>
      <c r="I21" s="2">
        <v>1.206E-2</v>
      </c>
      <c r="J21" s="2">
        <v>460.90357499999999</v>
      </c>
      <c r="K21" s="2">
        <v>25.164044999999998</v>
      </c>
      <c r="L21" s="2">
        <v>495.79704000000004</v>
      </c>
      <c r="M21" s="2">
        <v>2.4088999999999999E-2</v>
      </c>
      <c r="N21" s="2">
        <v>3122.3465329999999</v>
      </c>
      <c r="O21" s="2">
        <v>2505.7164269999998</v>
      </c>
      <c r="P21" s="2">
        <v>0.69079500000000005</v>
      </c>
      <c r="Q21" s="2">
        <v>917.93018999999993</v>
      </c>
      <c r="R21" s="2">
        <v>598.65702499999998</v>
      </c>
      <c r="S21" s="2">
        <v>1.0541210000000001</v>
      </c>
      <c r="T21" s="2">
        <v>273.97031100000004</v>
      </c>
      <c r="U21" s="2">
        <v>6671.9070159999992</v>
      </c>
      <c r="V21" s="2">
        <v>969.74422100000004</v>
      </c>
      <c r="W21" s="2">
        <v>14.998146999999999</v>
      </c>
      <c r="X21" s="2">
        <v>123.382182</v>
      </c>
      <c r="Y21" s="2">
        <v>54.997397000000007</v>
      </c>
      <c r="Z21" s="2">
        <v>3.86287</v>
      </c>
      <c r="AA21" s="2">
        <v>39.207733000000005</v>
      </c>
      <c r="AB21" s="2">
        <v>4.5289320000000002</v>
      </c>
      <c r="AC21" s="2">
        <v>22.482685</v>
      </c>
      <c r="AD21" s="2">
        <v>4515.6148930000008</v>
      </c>
      <c r="AE21" s="2">
        <v>105.382497</v>
      </c>
      <c r="AF21" s="2">
        <v>31.475698000000005</v>
      </c>
      <c r="AG21" s="2">
        <v>70.410719999999998</v>
      </c>
      <c r="AH21" s="2">
        <v>967.03335000000004</v>
      </c>
      <c r="AI21" s="2">
        <v>10.099302</v>
      </c>
      <c r="AJ21" s="2">
        <v>452.32198499999998</v>
      </c>
      <c r="AK21" s="2">
        <v>201.077529</v>
      </c>
      <c r="AL21" s="2">
        <v>481.49547899999999</v>
      </c>
      <c r="AM21" s="2">
        <v>0.17064499999999999</v>
      </c>
      <c r="AN21" s="2">
        <v>1071.6223970000001</v>
      </c>
      <c r="AO21" s="2">
        <v>38.673596999999994</v>
      </c>
      <c r="AP21" s="2">
        <v>51.160113000000003</v>
      </c>
      <c r="AQ21" s="2">
        <v>1.1280999999999999E-2</v>
      </c>
      <c r="AR21" s="2">
        <v>10.770079000000001</v>
      </c>
      <c r="AS21" s="2">
        <v>1.6973019999999999</v>
      </c>
      <c r="AT21" s="11">
        <v>8095.8272399999996</v>
      </c>
      <c r="AU21" s="2">
        <v>0</v>
      </c>
      <c r="AV21" s="2">
        <v>0</v>
      </c>
      <c r="AW21" s="2">
        <v>2.504232</v>
      </c>
      <c r="AX21" s="2">
        <v>61.619157999999999</v>
      </c>
      <c r="AY21" s="2">
        <v>124.90037599999999</v>
      </c>
      <c r="AZ21" s="2">
        <v>26.567283</v>
      </c>
      <c r="BA21" s="2">
        <v>406.94518299999999</v>
      </c>
      <c r="BB21" s="2">
        <v>2578.40733</v>
      </c>
      <c r="BC21" s="2">
        <v>246.058323</v>
      </c>
      <c r="BE21" s="4">
        <f t="shared" si="0"/>
        <v>60265.66894499999</v>
      </c>
      <c r="BF21" s="8">
        <f t="shared" si="1"/>
        <v>60.265668944999987</v>
      </c>
      <c r="BH21" s="3"/>
    </row>
    <row r="22" spans="1:60">
      <c r="A22" s="7">
        <v>2011</v>
      </c>
      <c r="B22" s="2">
        <v>1960.88672</v>
      </c>
      <c r="C22" s="2">
        <v>24922.180492</v>
      </c>
      <c r="D22" s="2">
        <v>176.47457399999999</v>
      </c>
      <c r="E22" s="2">
        <v>100.66797800000001</v>
      </c>
      <c r="F22" s="2">
        <v>182.40845099999999</v>
      </c>
      <c r="G22" s="2">
        <v>13.748216000000001</v>
      </c>
      <c r="H22" s="2">
        <v>162.103105</v>
      </c>
      <c r="I22" s="2">
        <v>1.2062000000000002E-2</v>
      </c>
      <c r="J22" s="2">
        <v>662.94923500000004</v>
      </c>
      <c r="K22" s="2">
        <v>28.137863999999997</v>
      </c>
      <c r="L22" s="2">
        <v>265.31891200000001</v>
      </c>
      <c r="M22" s="2">
        <v>6.8739999999999999E-3</v>
      </c>
      <c r="N22" s="2">
        <v>4672.2910860000002</v>
      </c>
      <c r="O22" s="2">
        <v>3161.987572</v>
      </c>
      <c r="P22" s="2">
        <v>0.17602300000000001</v>
      </c>
      <c r="Q22" s="2">
        <v>1518.3401759999999</v>
      </c>
      <c r="R22" s="2">
        <v>1672.9474399999999</v>
      </c>
      <c r="S22" s="2">
        <v>0.870583</v>
      </c>
      <c r="T22" s="2">
        <v>292.05910899999998</v>
      </c>
      <c r="U22" s="2">
        <v>9541.5335190000005</v>
      </c>
      <c r="V22" s="2">
        <v>577.97572400000001</v>
      </c>
      <c r="W22" s="2">
        <v>54.101423000000004</v>
      </c>
      <c r="X22" s="2">
        <v>363.184865</v>
      </c>
      <c r="Y22" s="2">
        <v>15.567159</v>
      </c>
      <c r="Z22" s="2">
        <v>4.1126909999999999</v>
      </c>
      <c r="AA22" s="2">
        <v>59.690990999999997</v>
      </c>
      <c r="AB22" s="2">
        <v>7.4109259999999999</v>
      </c>
      <c r="AC22" s="2">
        <v>41.244693999999996</v>
      </c>
      <c r="AD22" s="2">
        <v>2063.5752830000001</v>
      </c>
      <c r="AE22" s="2">
        <v>103.38856</v>
      </c>
      <c r="AF22" s="2">
        <v>46.036472000000003</v>
      </c>
      <c r="AG22" s="2">
        <v>149.59471699999997</v>
      </c>
      <c r="AH22" s="2">
        <v>1517.0371250000001</v>
      </c>
      <c r="AI22" s="2">
        <v>9.686573000000001</v>
      </c>
      <c r="AJ22" s="2">
        <v>475.62750299999999</v>
      </c>
      <c r="AK22" s="2">
        <v>257.24119899999999</v>
      </c>
      <c r="AL22" s="2">
        <v>224.48118700000001</v>
      </c>
      <c r="AM22" s="2">
        <v>2.1051160000000002</v>
      </c>
      <c r="AN22" s="2">
        <v>1583.680065</v>
      </c>
      <c r="AO22" s="2">
        <v>78.129350000000002</v>
      </c>
      <c r="AP22" s="2">
        <v>68.708685000000003</v>
      </c>
      <c r="AQ22" s="2">
        <v>0.321691</v>
      </c>
      <c r="AR22" s="2">
        <v>28.002729000000002</v>
      </c>
      <c r="AS22" s="2">
        <v>5.796227</v>
      </c>
      <c r="AT22" s="11">
        <v>12495.813856999999</v>
      </c>
      <c r="AU22" s="2">
        <v>0</v>
      </c>
      <c r="AV22" s="2">
        <v>0</v>
      </c>
      <c r="AW22" s="2">
        <v>0.34379599999999999</v>
      </c>
      <c r="AX22" s="2">
        <v>76.598624000000001</v>
      </c>
      <c r="AY22" s="2">
        <v>219.46249800000001</v>
      </c>
      <c r="AZ22" s="2">
        <v>40.249338999999999</v>
      </c>
      <c r="BA22" s="2">
        <v>489.89690100000001</v>
      </c>
      <c r="BB22" s="2">
        <v>2775.9401659999999</v>
      </c>
      <c r="BC22" s="2">
        <v>464.054686</v>
      </c>
      <c r="BE22" s="4">
        <f t="shared" si="0"/>
        <v>73634.160812999995</v>
      </c>
      <c r="BF22" s="8">
        <f t="shared" si="1"/>
        <v>73.634160812999994</v>
      </c>
      <c r="BH22" s="3"/>
    </row>
    <row r="23" spans="1:60">
      <c r="A23" s="7">
        <v>2012</v>
      </c>
      <c r="B23" s="2">
        <v>2311.9056089999999</v>
      </c>
      <c r="C23" s="2">
        <v>33561.896916999998</v>
      </c>
      <c r="D23" s="2">
        <v>261.537667</v>
      </c>
      <c r="E23" s="2">
        <v>119.47888500000001</v>
      </c>
      <c r="F23" s="2">
        <v>232.65631200000001</v>
      </c>
      <c r="G23" s="2">
        <v>10.677713000000001</v>
      </c>
      <c r="H23" s="2">
        <v>142.55557199999998</v>
      </c>
      <c r="I23" s="2">
        <v>1.1149999999999999E-3</v>
      </c>
      <c r="J23" s="2">
        <v>890.43177100000003</v>
      </c>
      <c r="K23" s="2">
        <v>48.619399000000001</v>
      </c>
      <c r="L23" s="2">
        <v>220.729086</v>
      </c>
      <c r="M23" s="2">
        <v>6.1809999999999999E-3</v>
      </c>
      <c r="N23" s="2">
        <v>4555.4073639999997</v>
      </c>
      <c r="O23" s="2">
        <v>3527.0951840000002</v>
      </c>
      <c r="P23" s="2">
        <v>0.61741499999999994</v>
      </c>
      <c r="Q23" s="2">
        <v>1320.7367240000001</v>
      </c>
      <c r="R23" s="2">
        <v>1822.8033330000001</v>
      </c>
      <c r="S23" s="2">
        <v>1.259387</v>
      </c>
      <c r="T23" s="2">
        <v>309.36554599999999</v>
      </c>
      <c r="U23" s="2">
        <v>0</v>
      </c>
      <c r="V23" s="2">
        <v>618.09416800000008</v>
      </c>
      <c r="W23" s="2">
        <v>84.712710999999999</v>
      </c>
      <c r="X23" s="2">
        <v>643.54798000000005</v>
      </c>
      <c r="Y23" s="2">
        <v>10.994622000000001</v>
      </c>
      <c r="Z23" s="2">
        <v>6.6334599999999995</v>
      </c>
      <c r="AA23" s="2">
        <v>52.407938999999999</v>
      </c>
      <c r="AB23" s="2">
        <v>5.4179029999999999</v>
      </c>
      <c r="AC23" s="2">
        <v>229.94536600000001</v>
      </c>
      <c r="AD23" s="2">
        <v>6375.9016700000002</v>
      </c>
      <c r="AE23" s="2">
        <v>114.44266399999999</v>
      </c>
      <c r="AF23" s="2">
        <v>47.503176000000003</v>
      </c>
      <c r="AG23" s="2">
        <v>331.68536399999999</v>
      </c>
      <c r="AH23" s="2">
        <v>1468.673986</v>
      </c>
      <c r="AI23" s="2">
        <v>10.713018</v>
      </c>
      <c r="AJ23" s="2">
        <v>558.41593599999999</v>
      </c>
      <c r="AK23" s="2">
        <v>403.32047900000003</v>
      </c>
      <c r="AL23" s="2">
        <v>241.26760200000001</v>
      </c>
      <c r="AM23" s="2">
        <v>37.163477999999998</v>
      </c>
      <c r="AN23" s="2">
        <v>1273.7930099999999</v>
      </c>
      <c r="AO23" s="2">
        <v>71.465453999999994</v>
      </c>
      <c r="AP23" s="2">
        <v>51.356315000000002</v>
      </c>
      <c r="AQ23" s="2">
        <v>0.26271500000000003</v>
      </c>
      <c r="AR23" s="2">
        <v>502.90923799999996</v>
      </c>
      <c r="AS23" s="2">
        <v>3.1039289999999999</v>
      </c>
      <c r="AT23" s="11">
        <v>10320.513921</v>
      </c>
      <c r="AU23" s="2">
        <v>499.46532100000002</v>
      </c>
      <c r="AV23" s="2">
        <v>1554.266756</v>
      </c>
      <c r="AW23" s="2">
        <v>100.38109100000001</v>
      </c>
      <c r="AX23" s="2">
        <v>84.811310000000006</v>
      </c>
      <c r="AY23" s="2">
        <v>176.976451</v>
      </c>
      <c r="AZ23" s="2">
        <v>42.874600999999998</v>
      </c>
      <c r="BA23" s="2">
        <v>379.281002</v>
      </c>
      <c r="BB23" s="2">
        <v>2686.5602950000002</v>
      </c>
      <c r="BC23" s="2">
        <v>584.42660100000001</v>
      </c>
      <c r="BE23" s="4">
        <f t="shared" si="0"/>
        <v>78911.070711999986</v>
      </c>
      <c r="BF23" s="8">
        <f t="shared" si="1"/>
        <v>78.911070711999983</v>
      </c>
      <c r="BH23" s="3"/>
    </row>
    <row r="24" spans="1:60">
      <c r="A24" s="7">
        <v>2013</v>
      </c>
      <c r="B24" s="2">
        <v>2164.5467389999999</v>
      </c>
      <c r="C24" s="2">
        <v>31972.669346999999</v>
      </c>
      <c r="D24" s="2">
        <v>206.00660300000001</v>
      </c>
      <c r="E24" s="2">
        <v>193.85759999999999</v>
      </c>
      <c r="F24" s="2">
        <v>186.89106100000001</v>
      </c>
      <c r="G24" s="2">
        <v>9.306830999999999</v>
      </c>
      <c r="H24" s="2">
        <v>257.13304199999999</v>
      </c>
      <c r="I24" s="2">
        <v>1.6000000000000001E-4</v>
      </c>
      <c r="J24" s="2">
        <v>366.16854699999999</v>
      </c>
      <c r="K24" s="2">
        <v>40.649155999999998</v>
      </c>
      <c r="L24" s="2">
        <v>103.500226</v>
      </c>
      <c r="M24" s="2">
        <v>7.7950000000000007E-3</v>
      </c>
      <c r="N24" s="2">
        <v>5712.1906239999998</v>
      </c>
      <c r="O24" s="2">
        <v>2745.6551100000001</v>
      </c>
      <c r="P24" s="2">
        <v>0.273727</v>
      </c>
      <c r="Q24" s="2">
        <v>1851.6067599999999</v>
      </c>
      <c r="R24" s="2">
        <v>2469.91795</v>
      </c>
      <c r="S24" s="2">
        <v>50.934221999999998</v>
      </c>
      <c r="T24" s="2">
        <v>315.68754999999999</v>
      </c>
      <c r="U24" s="2">
        <v>0</v>
      </c>
      <c r="V24" s="2">
        <v>898.64350100000001</v>
      </c>
      <c r="W24" s="2">
        <v>77.977807999999996</v>
      </c>
      <c r="X24" s="2">
        <v>1203.3302189999999</v>
      </c>
      <c r="Y24" s="2">
        <v>84.091701999999998</v>
      </c>
      <c r="Z24" s="2">
        <v>16.827742999999998</v>
      </c>
      <c r="AA24" s="2">
        <v>52.782890000000002</v>
      </c>
      <c r="AB24" s="2">
        <v>13.412649</v>
      </c>
      <c r="AC24" s="2">
        <v>164.41751499999998</v>
      </c>
      <c r="AD24" s="2">
        <v>2038.9280040000001</v>
      </c>
      <c r="AE24" s="2">
        <v>173.90631500000001</v>
      </c>
      <c r="AF24" s="2">
        <v>38.420984999999995</v>
      </c>
      <c r="AG24" s="2">
        <v>152.467771</v>
      </c>
      <c r="AH24" s="2">
        <v>1728.5216840000001</v>
      </c>
      <c r="AI24" s="2">
        <v>12.868086000000002</v>
      </c>
      <c r="AJ24" s="2">
        <v>531.42814999999996</v>
      </c>
      <c r="AK24" s="2">
        <v>454.87474500000002</v>
      </c>
      <c r="AL24" s="2">
        <v>257.700065</v>
      </c>
      <c r="AM24" s="2">
        <v>15.875364999999999</v>
      </c>
      <c r="AN24" s="2">
        <v>1546.6028799999999</v>
      </c>
      <c r="AO24" s="2">
        <v>108.449744</v>
      </c>
      <c r="AP24" s="2">
        <v>39.730170999999999</v>
      </c>
      <c r="AQ24" s="2">
        <v>0.40184599999999998</v>
      </c>
      <c r="AR24" s="2">
        <v>1452.659069</v>
      </c>
      <c r="AS24" s="2">
        <v>16.339552000000001</v>
      </c>
      <c r="AT24" s="11">
        <v>12047.235763000001</v>
      </c>
      <c r="AU24" s="2">
        <v>2468.3443689999999</v>
      </c>
      <c r="AV24" s="2">
        <v>2100.0231679999997</v>
      </c>
      <c r="AW24" s="2">
        <v>115.071552</v>
      </c>
      <c r="AX24" s="2">
        <v>117.94363300000001</v>
      </c>
      <c r="AY24" s="2">
        <v>176.72945899999999</v>
      </c>
      <c r="AZ24" s="2">
        <v>71.925434999999993</v>
      </c>
      <c r="BA24" s="2">
        <v>552.54824499999995</v>
      </c>
      <c r="BB24" s="2">
        <v>3047.8662330000002</v>
      </c>
      <c r="BC24" s="2">
        <v>687.83870400000001</v>
      </c>
      <c r="BE24" s="4">
        <f t="shared" si="0"/>
        <v>81113.188070000004</v>
      </c>
      <c r="BF24" s="8">
        <f t="shared" si="1"/>
        <v>81.113188070000007</v>
      </c>
      <c r="BH24" s="3"/>
    </row>
    <row r="25" spans="1:60">
      <c r="A25" s="7">
        <v>2014</v>
      </c>
      <c r="B25" s="2">
        <v>1314.681787</v>
      </c>
      <c r="C25" s="2">
        <v>31106.015046</v>
      </c>
      <c r="D25" s="2">
        <v>266.63068699999997</v>
      </c>
      <c r="E25" s="2">
        <v>214.820932</v>
      </c>
      <c r="F25" s="2">
        <v>123.90394999999999</v>
      </c>
      <c r="G25" s="2">
        <v>4.1430950000000006</v>
      </c>
      <c r="H25" s="2">
        <v>215.99830600000001</v>
      </c>
      <c r="I25" s="2">
        <v>3.0199999999999997E-3</v>
      </c>
      <c r="J25" s="2">
        <v>688.87683099999992</v>
      </c>
      <c r="K25" s="2">
        <v>29.2728</v>
      </c>
      <c r="L25" s="2">
        <v>108.34170999999999</v>
      </c>
      <c r="M25" s="2">
        <v>8.9500000000000014E-3</v>
      </c>
      <c r="N25" s="2">
        <v>5479.0179950000002</v>
      </c>
      <c r="O25" s="2">
        <v>2815.7421079999999</v>
      </c>
      <c r="P25" s="2">
        <v>1.684901</v>
      </c>
      <c r="Q25" s="2">
        <v>1159.329156</v>
      </c>
      <c r="R25" s="2">
        <v>3217.1902479999999</v>
      </c>
      <c r="S25" s="2">
        <v>322.73329000000001</v>
      </c>
      <c r="T25" s="2">
        <v>489.90460999999999</v>
      </c>
      <c r="U25" s="2">
        <v>0</v>
      </c>
      <c r="V25" s="2">
        <v>1607.5765730000001</v>
      </c>
      <c r="W25" s="2">
        <v>37.932265999999998</v>
      </c>
      <c r="X25" s="2">
        <v>1452.5972859999999</v>
      </c>
      <c r="Y25" s="2">
        <v>41.344713999999996</v>
      </c>
      <c r="Z25" s="2">
        <v>49.956236000000004</v>
      </c>
      <c r="AA25" s="2">
        <v>77.033018999999996</v>
      </c>
      <c r="AB25" s="2">
        <v>12.080518999999999</v>
      </c>
      <c r="AC25" s="2">
        <v>288.43857299999996</v>
      </c>
      <c r="AD25" s="2">
        <v>726.37028699999996</v>
      </c>
      <c r="AE25" s="2">
        <v>118.095732</v>
      </c>
      <c r="AF25" s="2">
        <v>34.142956000000005</v>
      </c>
      <c r="AG25" s="2">
        <v>95.650517000000008</v>
      </c>
      <c r="AH25" s="2">
        <v>1170.5795210000001</v>
      </c>
      <c r="AI25" s="2">
        <v>14.051338999999999</v>
      </c>
      <c r="AJ25" s="2">
        <v>517.91221099999996</v>
      </c>
      <c r="AK25" s="2">
        <v>1649.8050779999999</v>
      </c>
      <c r="AL25" s="2">
        <v>317.34135700000002</v>
      </c>
      <c r="AM25" s="2">
        <v>79.07359799999999</v>
      </c>
      <c r="AN25" s="2">
        <v>2658.3548270000001</v>
      </c>
      <c r="AO25" s="2">
        <v>91.871609000000007</v>
      </c>
      <c r="AP25" s="2">
        <v>46.996061999999995</v>
      </c>
      <c r="AQ25" s="2">
        <v>0.19665299999999999</v>
      </c>
      <c r="AR25" s="2">
        <v>1683.1802380000001</v>
      </c>
      <c r="AS25" s="2">
        <v>29.824358</v>
      </c>
      <c r="AT25" s="11">
        <v>8770.8899529999999</v>
      </c>
      <c r="AU25" s="2">
        <v>4329.2421020000002</v>
      </c>
      <c r="AV25" s="2">
        <v>1521.2833370000001</v>
      </c>
      <c r="AW25" s="2">
        <v>46.111006000000003</v>
      </c>
      <c r="AX25" s="2">
        <v>166.441462</v>
      </c>
      <c r="AY25" s="2">
        <v>210.367424</v>
      </c>
      <c r="AZ25" s="2">
        <v>111.569259</v>
      </c>
      <c r="BA25" s="2">
        <v>435.90817999999996</v>
      </c>
      <c r="BB25" s="2">
        <v>3071.3796459999999</v>
      </c>
      <c r="BC25" s="2">
        <v>836.63308999999992</v>
      </c>
      <c r="BE25" s="4">
        <f t="shared" si="0"/>
        <v>79858.530410000007</v>
      </c>
      <c r="BF25" s="8">
        <f t="shared" si="1"/>
        <v>79.85853041</v>
      </c>
      <c r="BH25" s="3"/>
    </row>
    <row r="26" spans="1:60" s="2" customFormat="1">
      <c r="A26" s="7">
        <v>2015</v>
      </c>
      <c r="B26" s="2">
        <v>767.36289399999998</v>
      </c>
      <c r="C26" s="2">
        <v>16001.611382999999</v>
      </c>
      <c r="D26" s="2">
        <v>77.849434000000002</v>
      </c>
      <c r="E26" s="2">
        <v>138.73494500000001</v>
      </c>
      <c r="F26" s="2">
        <v>44.064897999999999</v>
      </c>
      <c r="G26" s="2">
        <v>2.8155389999999998</v>
      </c>
      <c r="H26" s="2">
        <v>144.109478</v>
      </c>
      <c r="I26" s="2">
        <v>2.2606000000000001E-2</v>
      </c>
      <c r="J26" s="2">
        <v>781.61534400000005</v>
      </c>
      <c r="K26" s="2">
        <v>26.531973000000001</v>
      </c>
      <c r="L26" s="2">
        <v>90.692358999999996</v>
      </c>
      <c r="M26" s="2">
        <v>2.2210000000000001E-2</v>
      </c>
      <c r="N26" s="2">
        <v>2623.8584110000002</v>
      </c>
      <c r="O26" s="2">
        <v>2627.4273010000002</v>
      </c>
      <c r="P26" s="2">
        <v>0.89818900000000002</v>
      </c>
      <c r="Q26" s="2">
        <v>917.84407999999996</v>
      </c>
      <c r="R26" s="2">
        <v>1166.4964640000001</v>
      </c>
      <c r="S26" s="2">
        <v>178.73031900000001</v>
      </c>
      <c r="T26" s="2">
        <v>380.34971200000001</v>
      </c>
      <c r="U26" s="2">
        <v>0</v>
      </c>
      <c r="V26" s="2">
        <v>1100.1943409999999</v>
      </c>
      <c r="W26" s="2">
        <v>55.789251</v>
      </c>
      <c r="X26" s="2">
        <v>1296.4706570000001</v>
      </c>
      <c r="Y26" s="2">
        <v>25.933184000000001</v>
      </c>
      <c r="Z26" s="2">
        <v>17.812428000000001</v>
      </c>
      <c r="AA26" s="2">
        <v>98.743024000000005</v>
      </c>
      <c r="AB26" s="2">
        <v>12.002781000000001</v>
      </c>
      <c r="AC26" s="2">
        <v>172.16809499999999</v>
      </c>
      <c r="AD26" s="2">
        <v>951.54954999999995</v>
      </c>
      <c r="AE26" s="2">
        <v>171.13224199999999</v>
      </c>
      <c r="AF26" s="2">
        <v>29.60464</v>
      </c>
      <c r="AG26" s="2">
        <v>92.988512</v>
      </c>
      <c r="AH26" s="2">
        <v>718.06994699999996</v>
      </c>
      <c r="AI26" s="2">
        <v>15.335043000000001</v>
      </c>
      <c r="AJ26" s="2">
        <v>521.52104099999997</v>
      </c>
      <c r="AK26" s="2">
        <v>452.61604999999997</v>
      </c>
      <c r="AL26" s="2">
        <v>211.63375099999999</v>
      </c>
      <c r="AM26" s="2">
        <v>140.993156</v>
      </c>
      <c r="AN26" s="2">
        <v>1240.7007799999999</v>
      </c>
      <c r="AO26" s="2">
        <v>43.535649999999997</v>
      </c>
      <c r="AP26" s="2">
        <v>111.659841</v>
      </c>
      <c r="AQ26" s="2">
        <v>9.9638000000000004E-2</v>
      </c>
      <c r="AR26" s="2">
        <v>164.82224600000001</v>
      </c>
      <c r="AS26" s="2">
        <v>24.71152</v>
      </c>
      <c r="AT26" s="11">
        <v>7420.2820769999998</v>
      </c>
      <c r="AU26" s="2">
        <v>2326.8866699999999</v>
      </c>
      <c r="AV26" s="2">
        <v>728.39354000000003</v>
      </c>
      <c r="AW26" s="2">
        <v>0.28926400000000002</v>
      </c>
      <c r="AX26" s="2">
        <v>214.712907</v>
      </c>
      <c r="AY26" s="2">
        <v>183.799263</v>
      </c>
      <c r="AZ26" s="2">
        <v>85.583492000000007</v>
      </c>
      <c r="BA26" s="2">
        <v>377.8442</v>
      </c>
      <c r="BB26" s="2">
        <v>1786.476269</v>
      </c>
      <c r="BC26" s="2">
        <v>761.40085299999998</v>
      </c>
      <c r="BE26" s="4">
        <f t="shared" si="0"/>
        <v>47526.793441999995</v>
      </c>
      <c r="BF26" s="8">
        <f t="shared" si="1"/>
        <v>47.526793441999992</v>
      </c>
    </row>
    <row r="27" spans="1:60">
      <c r="A27" s="7">
        <v>2016</v>
      </c>
      <c r="B27" s="2">
        <v>331.88615399999998</v>
      </c>
      <c r="C27" s="2">
        <v>13966.11708</v>
      </c>
      <c r="D27" s="2">
        <v>55.392327999999999</v>
      </c>
      <c r="E27" s="2">
        <v>62.142097999999997</v>
      </c>
      <c r="F27" s="2">
        <v>13.999131</v>
      </c>
      <c r="G27" s="2">
        <v>2.7366890000000001</v>
      </c>
      <c r="H27" s="2">
        <v>101.38125599999999</v>
      </c>
      <c r="I27" s="2">
        <v>8.3280999999999994E-2</v>
      </c>
      <c r="J27" s="2">
        <v>402.23010900000003</v>
      </c>
      <c r="K27" s="2">
        <v>31.565169999999998</v>
      </c>
      <c r="L27" s="2">
        <v>114.908269</v>
      </c>
      <c r="M27" s="2">
        <v>1.3150999999999999E-2</v>
      </c>
      <c r="N27" s="2">
        <v>2333.0024840000001</v>
      </c>
      <c r="O27" s="2">
        <v>2084.962098</v>
      </c>
      <c r="P27" s="2">
        <v>0.1341</v>
      </c>
      <c r="Q27" s="2">
        <v>553.21242900000004</v>
      </c>
      <c r="R27" s="2">
        <v>631.85150599999997</v>
      </c>
      <c r="S27" s="2">
        <v>175.47487699999999</v>
      </c>
      <c r="T27" s="2">
        <v>419.419894</v>
      </c>
      <c r="U27" s="2">
        <v>0</v>
      </c>
      <c r="V27" s="2">
        <v>1439.078974</v>
      </c>
      <c r="W27" s="2">
        <v>90.094547000000006</v>
      </c>
      <c r="X27" s="2">
        <v>1309.64987</v>
      </c>
      <c r="Y27" s="2">
        <v>630.05694100000005</v>
      </c>
      <c r="Z27" s="2">
        <v>0.16122700000000001</v>
      </c>
      <c r="AA27" s="2">
        <v>97.135495000000006</v>
      </c>
      <c r="AB27" s="2">
        <v>19.643940000000001</v>
      </c>
      <c r="AC27" s="2">
        <v>48.171157000000001</v>
      </c>
      <c r="AD27" s="2">
        <v>345.62018599999999</v>
      </c>
      <c r="AE27" s="2">
        <v>160.793418</v>
      </c>
      <c r="AF27" s="2">
        <v>26.116887999999999</v>
      </c>
      <c r="AG27" s="2">
        <v>98.701243000000005</v>
      </c>
      <c r="AH27" s="2">
        <v>747.55905399999995</v>
      </c>
      <c r="AI27" s="2">
        <v>19.707668999999999</v>
      </c>
      <c r="AJ27" s="2">
        <v>553.456726</v>
      </c>
      <c r="AK27" s="2">
        <v>479.35687100000001</v>
      </c>
      <c r="AL27" s="2">
        <v>165.78470899999999</v>
      </c>
      <c r="AM27" s="2">
        <v>124.23612300000001</v>
      </c>
      <c r="AN27" s="2">
        <v>907.00802499999998</v>
      </c>
      <c r="AO27" s="2">
        <v>33.140090999999998</v>
      </c>
      <c r="AP27" s="2">
        <v>161.589461</v>
      </c>
      <c r="AQ27" s="2">
        <v>7.4899999999999994E-2</v>
      </c>
      <c r="AR27" s="2">
        <v>239.555533</v>
      </c>
      <c r="AS27" s="2">
        <v>10.958159</v>
      </c>
      <c r="AT27" s="11">
        <v>6812.0809060000001</v>
      </c>
      <c r="AU27" s="2">
        <v>1459.7514080000001</v>
      </c>
      <c r="AV27" s="2">
        <v>504.705986</v>
      </c>
      <c r="AW27" s="2">
        <v>0.328349</v>
      </c>
      <c r="AX27" s="2">
        <v>105.331515</v>
      </c>
      <c r="AY27" s="2">
        <v>138.84682599999999</v>
      </c>
      <c r="AZ27" s="2">
        <v>37.617418999999998</v>
      </c>
      <c r="BA27" s="2">
        <v>315.82680699999997</v>
      </c>
      <c r="BB27" s="2">
        <v>2183.5006840000001</v>
      </c>
      <c r="BC27" s="2">
        <v>726.87997099999995</v>
      </c>
      <c r="BE27" s="4">
        <f t="shared" si="0"/>
        <v>41273.033181999999</v>
      </c>
      <c r="BF27" s="8">
        <f t="shared" si="1"/>
        <v>41.273033181999999</v>
      </c>
    </row>
    <row r="28" spans="1:60">
      <c r="A28" s="7">
        <v>2017</v>
      </c>
      <c r="B28" s="2">
        <v>448.32379200000003</v>
      </c>
      <c r="C28" s="2">
        <v>20698.709467000001</v>
      </c>
      <c r="D28" s="2">
        <v>91.590373999999997</v>
      </c>
      <c r="E28" s="2">
        <v>33.548493000000001</v>
      </c>
      <c r="F28" s="2">
        <v>20.436214</v>
      </c>
      <c r="G28" s="2">
        <v>6.9290479999999999</v>
      </c>
      <c r="H28" s="2">
        <v>157.91</v>
      </c>
      <c r="I28" s="2">
        <v>8.0099999999999998E-3</v>
      </c>
      <c r="J28" s="2">
        <v>508.50305800000001</v>
      </c>
      <c r="K28" s="2">
        <v>28.107918000000002</v>
      </c>
      <c r="L28" s="2">
        <v>279.91392500000001</v>
      </c>
      <c r="M28" s="2">
        <v>3.7560000000000003E-2</v>
      </c>
      <c r="N28" s="2">
        <v>3962.0653539999998</v>
      </c>
      <c r="O28" s="2">
        <v>3289.9893050000001</v>
      </c>
      <c r="P28" s="2">
        <v>1.5498E-2</v>
      </c>
      <c r="Q28" s="2">
        <v>1341.934131</v>
      </c>
      <c r="R28" s="2">
        <v>1483.835026</v>
      </c>
      <c r="S28" s="2">
        <v>170.690324</v>
      </c>
      <c r="T28" s="2">
        <v>357.58273600000001</v>
      </c>
      <c r="U28" s="2">
        <v>0</v>
      </c>
      <c r="V28" s="2">
        <v>2293.610995</v>
      </c>
      <c r="W28" s="2">
        <v>99.052160999999998</v>
      </c>
      <c r="X28" s="2">
        <v>1852.9390539999999</v>
      </c>
      <c r="Y28" s="2">
        <v>1466.7534459999999</v>
      </c>
      <c r="Z28" s="2">
        <v>0.40237499999999998</v>
      </c>
      <c r="AA28" s="2">
        <v>166.82024000000001</v>
      </c>
      <c r="AB28" s="2">
        <v>24.846786000000002</v>
      </c>
      <c r="AC28" s="2">
        <v>28.857194</v>
      </c>
      <c r="AD28" s="2">
        <v>1362.657776</v>
      </c>
      <c r="AE28" s="2">
        <v>227.09306799999999</v>
      </c>
      <c r="AF28" s="2">
        <v>27.326143999999999</v>
      </c>
      <c r="AG28" s="2">
        <v>67.877241999999995</v>
      </c>
      <c r="AH28" s="2">
        <v>786.50533099999996</v>
      </c>
      <c r="AI28" s="2">
        <v>22.435009000000001</v>
      </c>
      <c r="AJ28" s="2">
        <v>650.59714199999996</v>
      </c>
      <c r="AK28" s="2">
        <v>528.71521900000005</v>
      </c>
      <c r="AL28" s="2">
        <v>297.54134699999997</v>
      </c>
      <c r="AM28" s="2">
        <v>99.078834999999998</v>
      </c>
      <c r="AN28" s="2">
        <v>1624.049602</v>
      </c>
      <c r="AO28" s="2">
        <v>28.879228000000001</v>
      </c>
      <c r="AP28" s="2">
        <v>149.698902</v>
      </c>
      <c r="AQ28" s="2">
        <v>1.473781</v>
      </c>
      <c r="AR28" s="2">
        <v>338.01777199999998</v>
      </c>
      <c r="AS28" s="2">
        <v>11.803184</v>
      </c>
      <c r="AT28" s="11">
        <f>8672254675/1000000</f>
        <v>8672.2546750000001</v>
      </c>
      <c r="AU28" s="2">
        <v>1270.0497290000001</v>
      </c>
      <c r="AV28" s="2">
        <v>590.79765899999995</v>
      </c>
      <c r="AW28" s="2">
        <v>4.3373590000000002</v>
      </c>
      <c r="AX28" s="2">
        <v>73.186662999999996</v>
      </c>
      <c r="AY28" s="2">
        <v>198.163138</v>
      </c>
      <c r="AZ28" s="2">
        <v>33.412539000000002</v>
      </c>
      <c r="BA28" s="2">
        <v>335.85905000000002</v>
      </c>
      <c r="BB28" s="2">
        <v>3122.7544330000001</v>
      </c>
      <c r="BC28" s="2">
        <v>872.02964399999996</v>
      </c>
      <c r="BE28" s="4">
        <f t="shared" si="0"/>
        <v>60210.006954999997</v>
      </c>
      <c r="BF28" s="8">
        <f>BE28/1000</f>
        <v>60.210006954999997</v>
      </c>
    </row>
    <row r="29" spans="1:60">
      <c r="A29" s="7">
        <v>2018</v>
      </c>
      <c r="B29" s="24">
        <f>1178823679/1000000</f>
        <v>1178.8236790000001</v>
      </c>
      <c r="C29" s="24">
        <f>25652016497/1000000</f>
        <v>25652.016497000001</v>
      </c>
      <c r="D29" s="24">
        <f>48324485/1000000</f>
        <v>48.324485000000003</v>
      </c>
      <c r="E29" s="24">
        <f>14229756/1000000</f>
        <v>14.229756</v>
      </c>
      <c r="F29" s="24">
        <f>95735845/1000000</f>
        <v>95.735844999999998</v>
      </c>
      <c r="G29" s="24">
        <f>11931415/1000000</f>
        <v>11.931414999999999</v>
      </c>
      <c r="H29" s="24">
        <f>254377396/1000000</f>
        <v>254.377396</v>
      </c>
      <c r="I29" s="24">
        <f>290464/1000000</f>
        <v>0.290464</v>
      </c>
      <c r="J29" s="24">
        <f>1095691368/1000000</f>
        <v>1095.691368</v>
      </c>
      <c r="K29" s="24">
        <f>54109277/1000000</f>
        <v>54.109276999999999</v>
      </c>
      <c r="L29" s="24">
        <f>93922218/1000000</f>
        <v>93.922218000000001</v>
      </c>
      <c r="M29" s="24">
        <f>27965/1000000</f>
        <v>2.7965E-2</v>
      </c>
      <c r="N29" s="24">
        <f>6702542008/1000000</f>
        <v>6702.5420080000004</v>
      </c>
      <c r="O29" s="24">
        <f>5682944652/1000000</f>
        <v>5682.9446520000001</v>
      </c>
      <c r="P29" s="24">
        <f>204482/1000000</f>
        <v>0.204482</v>
      </c>
      <c r="Q29" s="24">
        <f>1834527721/1000000</f>
        <v>1834.5277209999999</v>
      </c>
      <c r="R29" s="24">
        <f>2131555877/1000000</f>
        <v>2131.5558769999998</v>
      </c>
      <c r="S29" s="24">
        <f>314577955/1000000</f>
        <v>314.57795499999997</v>
      </c>
      <c r="T29" s="24">
        <f>345312966/1000000</f>
        <v>345.31296600000002</v>
      </c>
      <c r="U29" s="24">
        <v>0</v>
      </c>
      <c r="V29" s="24">
        <f>2964328252/1000000</f>
        <v>2964.3282519999998</v>
      </c>
      <c r="W29" s="24">
        <f>20062361/1000000</f>
        <v>20.062360999999999</v>
      </c>
      <c r="X29" s="24">
        <f>2426140256/1000000</f>
        <v>2426.1402560000001</v>
      </c>
      <c r="Y29" s="24">
        <f>2246147769/1000000</f>
        <v>2246.1477690000002</v>
      </c>
      <c r="Z29" s="24">
        <f>7638682/1000000</f>
        <v>7.6386820000000002</v>
      </c>
      <c r="AA29" s="24">
        <f>174199705/1000000</f>
        <v>174.19970499999999</v>
      </c>
      <c r="AB29" s="24">
        <f>30103860/1000000</f>
        <v>30.103860000000001</v>
      </c>
      <c r="AC29" s="24">
        <f>89245393/1000000</f>
        <v>89.245393000000007</v>
      </c>
      <c r="AD29" s="24">
        <f>4742280287/1000000</f>
        <v>4742.2802869999996</v>
      </c>
      <c r="AE29" s="24">
        <f>214706590/1000000</f>
        <v>214.70659000000001</v>
      </c>
      <c r="AF29" s="24">
        <f>27355541/1000000</f>
        <v>27.355540999999999</v>
      </c>
      <c r="AG29" s="24">
        <f>88509008/1000000</f>
        <v>88.509007999999994</v>
      </c>
      <c r="AH29" s="24">
        <f>858209574/1000000</f>
        <v>858.20957399999998</v>
      </c>
      <c r="AI29" s="24">
        <f>37456583/1000000</f>
        <v>37.456583000000002</v>
      </c>
      <c r="AJ29" s="24">
        <f>711067910/1000000</f>
        <v>711.06790999999998</v>
      </c>
      <c r="AK29" s="24">
        <f>651383583/1000000</f>
        <v>651.38358300000004</v>
      </c>
      <c r="AL29" s="24">
        <f>502981416/1000000</f>
        <v>502.98141600000002</v>
      </c>
      <c r="AM29" s="24">
        <f>171113154/1000000</f>
        <v>171.11315400000001</v>
      </c>
      <c r="AN29" s="24">
        <f>1858993874/1000000</f>
        <v>1858.993874</v>
      </c>
      <c r="AO29" s="24">
        <f>39959232/1000000</f>
        <v>39.959232</v>
      </c>
      <c r="AP29" s="24">
        <f>128508972/1000000</f>
        <v>128.508972</v>
      </c>
      <c r="AQ29" s="24">
        <f>25219/1000000</f>
        <v>2.5218999999999998E-2</v>
      </c>
      <c r="AR29" s="24">
        <f>177190566/1000000</f>
        <v>177.19056599999999</v>
      </c>
      <c r="AS29" s="24">
        <f>16552250/1000000</f>
        <v>16.552250000000001</v>
      </c>
      <c r="AT29" s="24">
        <f>8550852951/1000000</f>
        <v>8550.8529510000008</v>
      </c>
      <c r="AU29" s="24">
        <f>1588451879/1000000</f>
        <v>1588.451879</v>
      </c>
      <c r="AV29" s="24">
        <f>670034618/1000000</f>
        <v>670.03461800000002</v>
      </c>
      <c r="AW29" s="24">
        <f>27459866/1000000</f>
        <v>27.459866000000002</v>
      </c>
      <c r="AX29" s="24">
        <f>145761840/1000000</f>
        <v>145.76184000000001</v>
      </c>
      <c r="AY29" s="24">
        <f>194964649/1000000</f>
        <v>194.96464900000001</v>
      </c>
      <c r="AZ29" s="24">
        <f>47167395/1000000</f>
        <v>47.167394999999999</v>
      </c>
      <c r="BA29" s="24">
        <f>393915222/1000000</f>
        <v>393.91522200000003</v>
      </c>
      <c r="BB29" s="24">
        <f>4132384530/1000000</f>
        <v>4132.3845300000003</v>
      </c>
      <c r="BC29" s="24">
        <f>890332777/1000000</f>
        <v>890.33277699999996</v>
      </c>
      <c r="BE29" s="4">
        <f t="shared" si="0"/>
        <v>80336.631790000014</v>
      </c>
      <c r="BF29" s="8">
        <f>BE29/1000</f>
        <v>80.336631790000013</v>
      </c>
    </row>
    <row r="30" spans="1:60">
      <c r="A30" s="7">
        <v>2019</v>
      </c>
      <c r="B30" s="2">
        <f>1141659578/1000000</f>
        <v>1141.659578</v>
      </c>
      <c r="C30" s="2">
        <f>23308304634/1000000</f>
        <v>23308.304634</v>
      </c>
      <c r="D30" s="2">
        <f>154356415/1000000</f>
        <v>154.356415</v>
      </c>
      <c r="E30" s="2">
        <f>17130262/1000000</f>
        <v>17.130261999999998</v>
      </c>
      <c r="F30" s="2">
        <f>59957108/1000000</f>
        <v>59.957107999999998</v>
      </c>
      <c r="G30" s="2">
        <f>12944585/1000000</f>
        <v>12.944585</v>
      </c>
      <c r="H30" s="2">
        <f>460758618/1000000</f>
        <v>460.75861800000001</v>
      </c>
      <c r="I30" s="2">
        <f>28583/1000000</f>
        <v>2.8583000000000001E-2</v>
      </c>
      <c r="J30" s="2">
        <f>1015043061/1000000</f>
        <v>1015.043061</v>
      </c>
      <c r="K30" s="2">
        <f>36201783/1000000</f>
        <v>36.201782999999999</v>
      </c>
      <c r="L30" s="2">
        <f>439826679/1000000</f>
        <v>439.82667900000001</v>
      </c>
      <c r="M30" s="2">
        <f>31714/1000000</f>
        <v>3.1713999999999999E-2</v>
      </c>
      <c r="N30" s="2">
        <f>5934470091/1000000</f>
        <v>5934.4700910000001</v>
      </c>
      <c r="O30" s="2">
        <f>4436612965/1000000</f>
        <v>4436.6129650000003</v>
      </c>
      <c r="P30" s="2">
        <f>20136186/1000000</f>
        <v>20.136185999999999</v>
      </c>
      <c r="Q30" s="2">
        <f>996819311/1000000</f>
        <v>996.81931099999997</v>
      </c>
      <c r="R30" s="2">
        <f>1723012432/1000000</f>
        <v>1723.012432</v>
      </c>
      <c r="S30" s="2">
        <f>209891680/1000000</f>
        <v>209.89168000000001</v>
      </c>
      <c r="T30" s="2">
        <f>343910798/1000000</f>
        <v>343.910798</v>
      </c>
      <c r="U30" s="2">
        <f>0/1000000</f>
        <v>0</v>
      </c>
      <c r="V30" s="2">
        <f>4612508259/1000000</f>
        <v>4612.5082590000002</v>
      </c>
      <c r="W30" s="2">
        <f>71443478/1000000</f>
        <v>71.443477999999999</v>
      </c>
      <c r="X30" s="2">
        <f>2543921249/1000000</f>
        <v>2543.921249</v>
      </c>
      <c r="Y30" s="2">
        <f>2504860261/1000000</f>
        <v>2504.8602609999998</v>
      </c>
      <c r="Z30" s="2">
        <f>8402290/1000000</f>
        <v>8.4022900000000007</v>
      </c>
      <c r="AA30" s="2">
        <f>181206692/1000000</f>
        <v>181.206692</v>
      </c>
      <c r="AB30" s="2">
        <f>31273182/1000000</f>
        <v>31.273181999999998</v>
      </c>
      <c r="AC30" s="2">
        <f>112418837/1000000</f>
        <v>112.418837</v>
      </c>
      <c r="AD30" s="2">
        <f>4765665081/1000000</f>
        <v>4765.6650810000001</v>
      </c>
      <c r="AE30" s="2">
        <f>204556564/1000000</f>
        <v>204.55656400000001</v>
      </c>
      <c r="AF30" s="2">
        <f>15708173/1000000</f>
        <v>15.708173</v>
      </c>
      <c r="AG30" s="2">
        <f>160643783/1000000</f>
        <v>160.64378300000001</v>
      </c>
      <c r="AH30" s="2">
        <f>915854545/1000000</f>
        <v>915.85454500000003</v>
      </c>
      <c r="AI30" s="2">
        <f>38861698/1000000</f>
        <v>38.861697999999997</v>
      </c>
      <c r="AJ30" s="2">
        <f>635507241/1000000</f>
        <v>635.50724100000002</v>
      </c>
      <c r="AK30" s="2">
        <f>711718696/1000000</f>
        <v>711.71869600000002</v>
      </c>
      <c r="AL30" s="2">
        <f>511605669/1000000</f>
        <v>511.60566899999998</v>
      </c>
      <c r="AM30" s="2">
        <f>223868036/1000000</f>
        <v>223.86803599999999</v>
      </c>
      <c r="AN30" s="2">
        <f>2652140184/1000000</f>
        <v>2652.1401839999999</v>
      </c>
      <c r="AO30" s="2">
        <f>35063293/1000000</f>
        <v>35.063293000000002</v>
      </c>
      <c r="AP30" s="2">
        <f>300981829/1000000</f>
        <v>300.981829</v>
      </c>
      <c r="AQ30" s="2">
        <f>68075/1000000</f>
        <v>6.8074999999999997E-2</v>
      </c>
      <c r="AR30" s="2">
        <f>197454926/1000000</f>
        <v>197.454926</v>
      </c>
      <c r="AS30" s="2">
        <f>18637689/1000000</f>
        <v>18.637689000000002</v>
      </c>
      <c r="AT30" s="11">
        <f>9595419511/1000000</f>
        <v>9595.4195110000001</v>
      </c>
      <c r="AU30" s="2">
        <f>1510937925/1000000</f>
        <v>1510.937925</v>
      </c>
      <c r="AV30" s="2">
        <f>740419527/1000000</f>
        <v>740.41952700000002</v>
      </c>
      <c r="AW30" s="2">
        <f>765659/1000000</f>
        <v>0.76565899999999998</v>
      </c>
      <c r="AX30" s="2">
        <f>180431633/1000000</f>
        <v>180.43163300000001</v>
      </c>
      <c r="AY30" s="2">
        <f>208769535/1000000</f>
        <v>208.76953499999999</v>
      </c>
      <c r="AZ30" s="2">
        <f>42278151/1000000</f>
        <v>42.278151000000001</v>
      </c>
      <c r="BA30" s="2">
        <f>366339482/1000000</f>
        <v>366.33948199999998</v>
      </c>
      <c r="BB30" s="2">
        <f>3298462198/1000000</f>
        <v>3298.4621980000002</v>
      </c>
      <c r="BC30" s="2">
        <f>974025219/1000000</f>
        <v>974.02521899999999</v>
      </c>
      <c r="BE30" s="4">
        <f t="shared" si="0"/>
        <v>78683.315052999998</v>
      </c>
      <c r="BF30" s="8">
        <f>BE30/1000</f>
        <v>78.683315053000001</v>
      </c>
    </row>
    <row r="31" spans="1:60" s="11" customFormat="1">
      <c r="A31" s="7">
        <v>2020</v>
      </c>
      <c r="B31" s="2">
        <v>996.56992700000001</v>
      </c>
      <c r="C31" s="2">
        <v>14513.451863</v>
      </c>
      <c r="D31" s="2">
        <v>58.253352999999997</v>
      </c>
      <c r="E31" s="2">
        <v>87.486159000000001</v>
      </c>
      <c r="F31" s="2">
        <v>77.693601999999998</v>
      </c>
      <c r="G31" s="2">
        <v>7.6719280000000003</v>
      </c>
      <c r="H31" s="2">
        <v>576.13775699999997</v>
      </c>
      <c r="I31" s="2">
        <v>1.209992</v>
      </c>
      <c r="J31" s="2">
        <v>751.65312300000005</v>
      </c>
      <c r="K31" s="2">
        <v>57.071196</v>
      </c>
      <c r="L31" s="2">
        <v>420.908053</v>
      </c>
      <c r="M31" s="2">
        <v>0.11736099999999999</v>
      </c>
      <c r="N31" s="2">
        <v>3357.051543</v>
      </c>
      <c r="O31" s="2">
        <v>7030.6390899999997</v>
      </c>
      <c r="P31" s="2">
        <v>46.248863999999998</v>
      </c>
      <c r="Q31" s="2">
        <v>905.84716000000003</v>
      </c>
      <c r="R31" s="2">
        <v>1154.2842800000001</v>
      </c>
      <c r="S31" s="2">
        <v>289.36445400000002</v>
      </c>
      <c r="T31" s="2">
        <v>338.418835</v>
      </c>
      <c r="U31" s="11">
        <v>0</v>
      </c>
      <c r="V31" s="2">
        <v>3217.5431429999999</v>
      </c>
      <c r="W31" s="2">
        <v>29.739795999999998</v>
      </c>
      <c r="X31" s="2">
        <v>1740.915154</v>
      </c>
      <c r="Y31" s="2">
        <v>2475.6913589999999</v>
      </c>
      <c r="Z31" s="2">
        <v>5.3810000000000004E-3</v>
      </c>
      <c r="AA31" s="2">
        <v>151.00214299999999</v>
      </c>
      <c r="AB31" s="2">
        <v>12.262426</v>
      </c>
      <c r="AC31" s="2">
        <v>87.986530000000002</v>
      </c>
      <c r="AD31" s="2">
        <v>812.04233599999998</v>
      </c>
      <c r="AE31" s="2">
        <v>138.703193</v>
      </c>
      <c r="AF31" s="2">
        <v>12.210286</v>
      </c>
      <c r="AG31" s="2">
        <v>168.90045900000001</v>
      </c>
      <c r="AH31" s="2">
        <v>1227.813958</v>
      </c>
      <c r="AI31" s="2">
        <v>26.349533000000001</v>
      </c>
      <c r="AJ31" s="2">
        <v>591.09047599999997</v>
      </c>
      <c r="AK31" s="2">
        <v>577.16512799999998</v>
      </c>
      <c r="AL31" s="2">
        <v>557.87097300000005</v>
      </c>
      <c r="AM31" s="2">
        <v>224.69877099999999</v>
      </c>
      <c r="AN31" s="2">
        <v>2453.3942069999998</v>
      </c>
      <c r="AO31" s="2">
        <v>38.178685000000002</v>
      </c>
      <c r="AP31" s="2">
        <v>315.23966300000001</v>
      </c>
      <c r="AQ31" s="2">
        <v>3.7621000000000002E-2</v>
      </c>
      <c r="AR31" s="2">
        <v>158.548214</v>
      </c>
      <c r="AS31" s="2">
        <v>7.9360970000000002</v>
      </c>
      <c r="AT31" s="2">
        <v>9793.7948899999992</v>
      </c>
      <c r="AU31" s="2">
        <v>676.87393299999997</v>
      </c>
      <c r="AV31" s="2">
        <v>766.26131499999997</v>
      </c>
      <c r="AW31" s="2">
        <v>0.48388599999999998</v>
      </c>
      <c r="AX31" s="2">
        <v>164.19601700000001</v>
      </c>
      <c r="AY31" s="2">
        <v>222.65754799999999</v>
      </c>
      <c r="AZ31" s="2">
        <v>39.689273999999997</v>
      </c>
      <c r="BA31" s="2">
        <v>409.03898600000002</v>
      </c>
      <c r="BB31" s="2">
        <v>3306.1760949999998</v>
      </c>
      <c r="BC31" s="2">
        <v>873.95225100000005</v>
      </c>
      <c r="BE31" s="4">
        <f t="shared" si="0"/>
        <v>61948.528267000016</v>
      </c>
      <c r="BF31" s="8">
        <f>BE31/1000</f>
        <v>61.948528267000015</v>
      </c>
    </row>
    <row r="32" spans="1:60" s="25" customFormat="1">
      <c r="A32" s="1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 s="1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35">
      <c r="A33" s="2" t="s">
        <v>51</v>
      </c>
    </row>
    <row r="34" spans="1:35" ht="16">
      <c r="A34" s="2" t="s">
        <v>71</v>
      </c>
      <c r="AI34" s="17"/>
    </row>
    <row r="35" spans="1:35">
      <c r="A35" t="s">
        <v>73</v>
      </c>
    </row>
    <row r="36" spans="1:35">
      <c r="A36" t="s">
        <v>62</v>
      </c>
    </row>
    <row r="37" spans="1:35">
      <c r="A37" s="29" t="s">
        <v>79</v>
      </c>
    </row>
  </sheetData>
  <pageMargins left="0.7" right="0.7" top="0.75" bottom="0.75" header="0.3" footer="0.3"/>
  <pageSetup orientation="portrait"/>
  <ignoredErrors>
    <ignoredError sqref="BE3:BE26 BE27:BE2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37"/>
  <sheetViews>
    <sheetView zoomScaleNormal="100" zoomScalePageLayoutView="8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37" sqref="A37"/>
    </sheetView>
  </sheetViews>
  <sheetFormatPr baseColWidth="10" defaultColWidth="8.6640625" defaultRowHeight="15"/>
  <cols>
    <col min="1" max="1" width="15.6640625" style="18" customWidth="1"/>
    <col min="2" max="55" width="8.6640625" style="18"/>
    <col min="56" max="56" width="9.5" style="18" bestFit="1" customWidth="1"/>
    <col min="57" max="57" width="9" style="18" bestFit="1" customWidth="1"/>
    <col min="58" max="16384" width="8.6640625" style="18"/>
  </cols>
  <sheetData>
    <row r="1" spans="1:57">
      <c r="A1" s="9" t="s">
        <v>77</v>
      </c>
    </row>
    <row r="2" spans="1:57" ht="32">
      <c r="A2" s="12" t="s">
        <v>54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60</v>
      </c>
      <c r="I2" s="19" t="s">
        <v>44</v>
      </c>
      <c r="J2" s="19" t="s">
        <v>6</v>
      </c>
      <c r="K2" s="19" t="s">
        <v>45</v>
      </c>
      <c r="L2" s="19" t="s">
        <v>7</v>
      </c>
      <c r="M2" s="19" t="s">
        <v>8</v>
      </c>
      <c r="N2" s="19" t="s">
        <v>46</v>
      </c>
      <c r="O2" s="19" t="s">
        <v>47</v>
      </c>
      <c r="P2" s="19" t="s">
        <v>9</v>
      </c>
      <c r="Q2" s="19" t="s">
        <v>10</v>
      </c>
      <c r="R2" s="19" t="s">
        <v>11</v>
      </c>
      <c r="S2" s="19" t="s">
        <v>12</v>
      </c>
      <c r="T2" s="19" t="s">
        <v>13</v>
      </c>
      <c r="U2" s="19" t="s">
        <v>48</v>
      </c>
      <c r="V2" s="19" t="s">
        <v>14</v>
      </c>
      <c r="W2" s="19" t="s">
        <v>49</v>
      </c>
      <c r="X2" s="19" t="s">
        <v>15</v>
      </c>
      <c r="Y2" s="19" t="s">
        <v>16</v>
      </c>
      <c r="Z2" s="19" t="s">
        <v>17</v>
      </c>
      <c r="AA2" s="19" t="s">
        <v>18</v>
      </c>
      <c r="AB2" s="19" t="s">
        <v>19</v>
      </c>
      <c r="AC2" s="19" t="s">
        <v>20</v>
      </c>
      <c r="AD2" s="19" t="s">
        <v>21</v>
      </c>
      <c r="AE2" s="19" t="s">
        <v>22</v>
      </c>
      <c r="AF2" s="19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  <c r="AP2" s="19" t="s">
        <v>33</v>
      </c>
      <c r="AQ2" s="19" t="s">
        <v>34</v>
      </c>
      <c r="AR2" s="19" t="s">
        <v>35</v>
      </c>
      <c r="AS2" s="19" t="s">
        <v>36</v>
      </c>
      <c r="AT2" s="19" t="s">
        <v>37</v>
      </c>
      <c r="AU2" s="19" t="s">
        <v>38</v>
      </c>
      <c r="AV2" s="19" t="s">
        <v>61</v>
      </c>
      <c r="AW2" s="19" t="s">
        <v>39</v>
      </c>
      <c r="AX2" s="19" t="s">
        <v>40</v>
      </c>
      <c r="AY2" s="19" t="s">
        <v>41</v>
      </c>
      <c r="AZ2" s="19" t="s">
        <v>50</v>
      </c>
      <c r="BA2" s="19" t="s">
        <v>42</v>
      </c>
      <c r="BB2" s="19" t="s">
        <v>43</v>
      </c>
      <c r="BC2" s="20"/>
      <c r="BD2" s="20" t="s">
        <v>52</v>
      </c>
      <c r="BE2" s="20" t="s">
        <v>53</v>
      </c>
    </row>
    <row r="3" spans="1:57">
      <c r="A3" s="21">
        <v>1992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D3" s="23">
        <v>0</v>
      </c>
      <c r="BE3" s="23">
        <f>BD3/1000</f>
        <v>0</v>
      </c>
    </row>
    <row r="4" spans="1:57">
      <c r="A4" s="21">
        <v>1993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D4" s="23">
        <v>0</v>
      </c>
      <c r="BE4" s="23">
        <f t="shared" ref="BE4:BE31" si="0">BD4/1000</f>
        <v>0</v>
      </c>
    </row>
    <row r="5" spans="1:57">
      <c r="A5" s="21">
        <v>1994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D5" s="23">
        <v>0</v>
      </c>
      <c r="BE5" s="23">
        <f t="shared" si="0"/>
        <v>0</v>
      </c>
    </row>
    <row r="6" spans="1:57">
      <c r="A6" s="21">
        <v>1995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D6" s="23">
        <v>0</v>
      </c>
      <c r="BE6" s="23">
        <f t="shared" si="0"/>
        <v>0</v>
      </c>
    </row>
    <row r="7" spans="1:57">
      <c r="A7" s="21">
        <v>1996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D7" s="23">
        <v>0</v>
      </c>
      <c r="BE7" s="23">
        <f t="shared" si="0"/>
        <v>0</v>
      </c>
    </row>
    <row r="8" spans="1:57">
      <c r="A8" s="21">
        <v>1997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D8" s="23">
        <v>0</v>
      </c>
      <c r="BE8" s="23">
        <f t="shared" si="0"/>
        <v>0</v>
      </c>
    </row>
    <row r="9" spans="1:57">
      <c r="A9" s="21">
        <v>1998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D9" s="23">
        <v>0</v>
      </c>
      <c r="BE9" s="23">
        <f t="shared" si="0"/>
        <v>0</v>
      </c>
    </row>
    <row r="10" spans="1:57">
      <c r="A10" s="21">
        <v>1999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D10" s="23">
        <v>0</v>
      </c>
      <c r="BE10" s="23">
        <f t="shared" si="0"/>
        <v>0</v>
      </c>
    </row>
    <row r="11" spans="1:57">
      <c r="A11" s="21">
        <v>2000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D11" s="23">
        <v>0</v>
      </c>
      <c r="BE11" s="23">
        <f t="shared" si="0"/>
        <v>0</v>
      </c>
    </row>
    <row r="12" spans="1:57">
      <c r="A12" s="21">
        <v>2001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D12" s="23">
        <v>0</v>
      </c>
      <c r="BE12" s="23">
        <f t="shared" si="0"/>
        <v>0</v>
      </c>
    </row>
    <row r="13" spans="1:57">
      <c r="A13" s="21">
        <v>2002</v>
      </c>
      <c r="B13" s="23">
        <v>984.43311600000004</v>
      </c>
      <c r="C13" s="23">
        <v>372.45968499999998</v>
      </c>
      <c r="D13" s="23">
        <v>35.171871000000003</v>
      </c>
      <c r="E13" s="23">
        <v>31.700741999999998</v>
      </c>
      <c r="F13" s="23">
        <v>18.779745999999999</v>
      </c>
      <c r="G13" s="23">
        <v>1.713981</v>
      </c>
      <c r="H13" s="23">
        <v>76.160663999999997</v>
      </c>
      <c r="I13" s="23">
        <v>9.6441870000000005</v>
      </c>
      <c r="J13" s="23">
        <v>155.80820300000002</v>
      </c>
      <c r="K13" s="23">
        <v>6.3713009999999999</v>
      </c>
      <c r="L13" s="23">
        <v>127.34013</v>
      </c>
      <c r="M13" s="23">
        <v>0.14389099999999999</v>
      </c>
      <c r="N13" s="23">
        <v>52.370618999999998</v>
      </c>
      <c r="O13" s="23">
        <v>28.126965000000002</v>
      </c>
      <c r="P13" s="23">
        <v>56.024090999999999</v>
      </c>
      <c r="Q13" s="23">
        <v>2866.1547009999999</v>
      </c>
      <c r="R13" s="23">
        <v>108.710488</v>
      </c>
      <c r="S13" s="23">
        <v>28.786556000000001</v>
      </c>
      <c r="T13" s="23">
        <v>60.506318</v>
      </c>
      <c r="U13" s="23">
        <v>10.854119000000001</v>
      </c>
      <c r="V13" s="23">
        <v>65.515208999999999</v>
      </c>
      <c r="W13" s="23">
        <v>9.5531279999999992</v>
      </c>
      <c r="X13" s="23">
        <v>62.937384999999999</v>
      </c>
      <c r="Y13" s="23">
        <v>2.558586</v>
      </c>
      <c r="Z13" s="23">
        <v>271.41135100000002</v>
      </c>
      <c r="AA13" s="23">
        <v>2.0219049999999998</v>
      </c>
      <c r="AB13" s="23">
        <v>27.675611</v>
      </c>
      <c r="AC13" s="23">
        <v>18.270410999999999</v>
      </c>
      <c r="AD13" s="23">
        <v>15.240017999999999</v>
      </c>
      <c r="AE13" s="23">
        <v>30.111736999999998</v>
      </c>
      <c r="AF13" s="23">
        <v>11.183119</v>
      </c>
      <c r="AG13" s="23">
        <v>22.880700999999998</v>
      </c>
      <c r="AH13" s="23">
        <v>27.457156000000001</v>
      </c>
      <c r="AI13" s="23">
        <v>565.50879600000007</v>
      </c>
      <c r="AJ13" s="23">
        <v>97.986611999999994</v>
      </c>
      <c r="AK13" s="23">
        <v>57.776624999999996</v>
      </c>
      <c r="AL13" s="23">
        <v>40.903720999999997</v>
      </c>
      <c r="AM13" s="23">
        <v>1057.0456139999999</v>
      </c>
      <c r="AN13" s="23">
        <v>10.185013999999999</v>
      </c>
      <c r="AO13" s="23">
        <v>74.665623999999994</v>
      </c>
      <c r="AP13" s="23">
        <v>8.2947820000000014</v>
      </c>
      <c r="AQ13" s="23">
        <v>25.459491</v>
      </c>
      <c r="AR13" s="23">
        <v>6.1655089999999992</v>
      </c>
      <c r="AS13" s="23">
        <v>2524.5517930000001</v>
      </c>
      <c r="AT13" s="23">
        <v>0</v>
      </c>
      <c r="AU13" s="23">
        <v>0</v>
      </c>
      <c r="AV13" s="23">
        <v>11.469937</v>
      </c>
      <c r="AW13" s="23">
        <v>13.793398999999999</v>
      </c>
      <c r="AX13" s="23">
        <v>195.15812</v>
      </c>
      <c r="AY13" s="23">
        <v>22.887171000000002</v>
      </c>
      <c r="AZ13" s="23">
        <v>62.315266999999999</v>
      </c>
      <c r="BA13" s="23">
        <v>35.735439</v>
      </c>
      <c r="BB13" s="23">
        <v>49.343296000000002</v>
      </c>
      <c r="BD13" s="23">
        <f>SUM(B13:BB13)</f>
        <v>10457.323900999998</v>
      </c>
      <c r="BE13" s="23">
        <f t="shared" si="0"/>
        <v>10.457323900999999</v>
      </c>
    </row>
    <row r="14" spans="1:57">
      <c r="A14" s="21">
        <v>2003</v>
      </c>
      <c r="B14" s="23">
        <v>487.123695</v>
      </c>
      <c r="C14" s="23">
        <v>491.68087800000001</v>
      </c>
      <c r="D14" s="23">
        <v>30.243842999999998</v>
      </c>
      <c r="E14" s="23">
        <v>25.857966000000001</v>
      </c>
      <c r="F14" s="23">
        <v>10.954136999999999</v>
      </c>
      <c r="G14" s="23">
        <v>2.9660569999999997</v>
      </c>
      <c r="H14" s="23">
        <v>102.797113</v>
      </c>
      <c r="I14" s="23">
        <v>9.1190739999999995</v>
      </c>
      <c r="J14" s="23">
        <v>90.756446000000011</v>
      </c>
      <c r="K14" s="23">
        <v>7.4224699999999997</v>
      </c>
      <c r="L14" s="23">
        <v>64.374425000000002</v>
      </c>
      <c r="M14" s="23">
        <v>0.56844000000000006</v>
      </c>
      <c r="N14" s="23">
        <v>78.808079000000006</v>
      </c>
      <c r="O14" s="23">
        <v>30.607308</v>
      </c>
      <c r="P14" s="23">
        <v>34.307853999999999</v>
      </c>
      <c r="Q14" s="23">
        <v>2659.373024</v>
      </c>
      <c r="R14" s="23">
        <v>336.33608300000003</v>
      </c>
      <c r="S14" s="23">
        <v>87.110734999999991</v>
      </c>
      <c r="T14" s="23">
        <v>408.97663599999998</v>
      </c>
      <c r="U14" s="23">
        <v>26.141472999999998</v>
      </c>
      <c r="V14" s="23">
        <v>62.974340000000005</v>
      </c>
      <c r="W14" s="23">
        <v>26.65136</v>
      </c>
      <c r="X14" s="23">
        <v>35.787719000000003</v>
      </c>
      <c r="Y14" s="23">
        <v>1.23583</v>
      </c>
      <c r="Z14" s="23">
        <v>196.67010300000001</v>
      </c>
      <c r="AA14" s="23">
        <v>5.0856760000000003</v>
      </c>
      <c r="AB14" s="23">
        <v>33.369492999999999</v>
      </c>
      <c r="AC14" s="23">
        <v>0.225546</v>
      </c>
      <c r="AD14" s="23">
        <v>46.392800999999999</v>
      </c>
      <c r="AE14" s="23">
        <v>16.502511999999999</v>
      </c>
      <c r="AF14" s="23">
        <v>31.473059999999997</v>
      </c>
      <c r="AG14" s="23">
        <v>34.880600000000001</v>
      </c>
      <c r="AH14" s="23">
        <v>32.007298000000006</v>
      </c>
      <c r="AI14" s="23">
        <v>464.88032400000003</v>
      </c>
      <c r="AJ14" s="23">
        <v>62.516460999999993</v>
      </c>
      <c r="AK14" s="23">
        <v>27.960312999999999</v>
      </c>
      <c r="AL14" s="23">
        <v>33.633603999999998</v>
      </c>
      <c r="AM14" s="23">
        <v>1022.8964380000001</v>
      </c>
      <c r="AN14" s="23">
        <v>7.9186389999999998</v>
      </c>
      <c r="AO14" s="23">
        <v>101.974763</v>
      </c>
      <c r="AP14" s="23">
        <v>7.1629950000000004</v>
      </c>
      <c r="AQ14" s="23">
        <v>28.246811999999998</v>
      </c>
      <c r="AR14" s="23">
        <v>6.8788359999999997</v>
      </c>
      <c r="AS14" s="23">
        <v>2820.7708680000001</v>
      </c>
      <c r="AT14" s="23">
        <v>0</v>
      </c>
      <c r="AU14" s="23">
        <v>0</v>
      </c>
      <c r="AV14" s="23">
        <v>8.2228890000000003</v>
      </c>
      <c r="AW14" s="23">
        <v>15.174280999999999</v>
      </c>
      <c r="AX14" s="23">
        <v>170.50489899999999</v>
      </c>
      <c r="AY14" s="23">
        <v>42.721305999999998</v>
      </c>
      <c r="AZ14" s="23">
        <v>65.714494999999999</v>
      </c>
      <c r="BA14" s="23">
        <v>19.342938</v>
      </c>
      <c r="BB14" s="23">
        <v>41.685479999999998</v>
      </c>
      <c r="BD14" s="23">
        <f t="shared" ref="BD14:BD31" si="1">SUM(B14:BB14)</f>
        <v>10456.988415</v>
      </c>
      <c r="BE14" s="23">
        <f t="shared" si="0"/>
        <v>10.456988415</v>
      </c>
    </row>
    <row r="15" spans="1:57">
      <c r="A15" s="21">
        <v>2004</v>
      </c>
      <c r="B15" s="23">
        <v>972.12402399999996</v>
      </c>
      <c r="C15" s="23">
        <v>594.19329200000004</v>
      </c>
      <c r="D15" s="23">
        <v>44.906925999999999</v>
      </c>
      <c r="E15" s="23">
        <v>54.007626000000002</v>
      </c>
      <c r="F15" s="23">
        <v>21.983309999999999</v>
      </c>
      <c r="G15" s="23">
        <v>17.363720999999998</v>
      </c>
      <c r="H15" s="23">
        <v>117.921336</v>
      </c>
      <c r="I15" s="23">
        <v>50.969204999999995</v>
      </c>
      <c r="J15" s="23">
        <v>99.559017999999995</v>
      </c>
      <c r="K15" s="23">
        <v>30.011884999999999</v>
      </c>
      <c r="L15" s="23">
        <v>40.422416000000005</v>
      </c>
      <c r="M15" s="23">
        <v>0.74481299999999995</v>
      </c>
      <c r="N15" s="23">
        <v>64.832783000000006</v>
      </c>
      <c r="O15" s="23">
        <v>66.860788999999997</v>
      </c>
      <c r="P15" s="23">
        <v>43.254220000000004</v>
      </c>
      <c r="Q15" s="23">
        <v>3104.524328</v>
      </c>
      <c r="R15" s="23">
        <v>215.41814600000001</v>
      </c>
      <c r="S15" s="23">
        <v>54.005736999999996</v>
      </c>
      <c r="T15" s="23">
        <v>459.09082799999999</v>
      </c>
      <c r="U15" s="23">
        <v>68.120601000000008</v>
      </c>
      <c r="V15" s="23">
        <v>92.991381000000004</v>
      </c>
      <c r="W15" s="23">
        <v>23.057741</v>
      </c>
      <c r="X15" s="23">
        <v>58.515177000000001</v>
      </c>
      <c r="Y15" s="23">
        <v>1.2291999999999998</v>
      </c>
      <c r="Z15" s="23">
        <v>393.848613</v>
      </c>
      <c r="AA15" s="23">
        <v>5.4836829999999992</v>
      </c>
      <c r="AB15" s="23">
        <v>60.564117000000003</v>
      </c>
      <c r="AC15" s="23">
        <v>39.190139000000002</v>
      </c>
      <c r="AD15" s="23">
        <v>35.642329000000004</v>
      </c>
      <c r="AE15" s="23">
        <v>21.653944000000003</v>
      </c>
      <c r="AF15" s="23">
        <v>42.990637999999997</v>
      </c>
      <c r="AG15" s="23">
        <v>77.528131999999999</v>
      </c>
      <c r="AH15" s="23">
        <v>28.416318</v>
      </c>
      <c r="AI15" s="23">
        <v>523.52575999999999</v>
      </c>
      <c r="AJ15" s="23">
        <v>76.439249000000004</v>
      </c>
      <c r="AK15" s="23">
        <v>72.897719999999993</v>
      </c>
      <c r="AL15" s="23">
        <v>34.646665999999996</v>
      </c>
      <c r="AM15" s="23">
        <v>1552.233013</v>
      </c>
      <c r="AN15" s="23">
        <v>11.199107999999999</v>
      </c>
      <c r="AO15" s="23">
        <v>89.247899000000004</v>
      </c>
      <c r="AP15" s="23">
        <v>10.57516</v>
      </c>
      <c r="AQ15" s="23">
        <v>40.433703000000001</v>
      </c>
      <c r="AR15" s="23">
        <v>9.133636000000001</v>
      </c>
      <c r="AS15" s="23">
        <v>3172.002379</v>
      </c>
      <c r="AT15" s="23">
        <v>0</v>
      </c>
      <c r="AU15" s="23">
        <v>0</v>
      </c>
      <c r="AV15" s="23">
        <v>12.36124</v>
      </c>
      <c r="AW15" s="23">
        <v>23.659790999999998</v>
      </c>
      <c r="AX15" s="23">
        <v>258.09444500000001</v>
      </c>
      <c r="AY15" s="23">
        <v>63.740314000000005</v>
      </c>
      <c r="AZ15" s="23">
        <v>127.62823100000001</v>
      </c>
      <c r="BA15" s="23">
        <v>26.399404000000001</v>
      </c>
      <c r="BB15" s="23">
        <v>47.297131</v>
      </c>
      <c r="BD15" s="23">
        <f t="shared" si="1"/>
        <v>13152.941265000003</v>
      </c>
      <c r="BE15" s="23">
        <f t="shared" si="0"/>
        <v>13.152941265000003</v>
      </c>
    </row>
    <row r="16" spans="1:57">
      <c r="A16" s="21">
        <v>2005</v>
      </c>
      <c r="B16" s="23">
        <v>1160.934454</v>
      </c>
      <c r="C16" s="23">
        <v>927.87993999999992</v>
      </c>
      <c r="D16" s="23">
        <v>70.820138</v>
      </c>
      <c r="E16" s="23">
        <v>67.330170999999993</v>
      </c>
      <c r="F16" s="23">
        <v>24.928079</v>
      </c>
      <c r="G16" s="23">
        <v>7.4988080000000004</v>
      </c>
      <c r="H16" s="23">
        <v>123.860635</v>
      </c>
      <c r="I16" s="23">
        <v>9.8718250000000012</v>
      </c>
      <c r="J16" s="23">
        <v>117.05734600000001</v>
      </c>
      <c r="K16" s="23">
        <v>14.717003</v>
      </c>
      <c r="L16" s="23">
        <v>53.752155000000002</v>
      </c>
      <c r="M16" s="23">
        <v>0.29521900000000001</v>
      </c>
      <c r="N16" s="23">
        <v>103.77608500000001</v>
      </c>
      <c r="O16" s="23">
        <v>64.448650000000001</v>
      </c>
      <c r="P16" s="23">
        <v>47.866959000000001</v>
      </c>
      <c r="Q16" s="23">
        <v>3168.9202799999998</v>
      </c>
      <c r="R16" s="23">
        <v>249.14543599999999</v>
      </c>
      <c r="S16" s="23">
        <v>31.058710999999999</v>
      </c>
      <c r="T16" s="23">
        <v>514.89398300000005</v>
      </c>
      <c r="U16" s="23">
        <v>103.226321</v>
      </c>
      <c r="V16" s="23">
        <v>98.436264999999992</v>
      </c>
      <c r="W16" s="23">
        <v>30.470786</v>
      </c>
      <c r="X16" s="23">
        <v>125.043542</v>
      </c>
      <c r="Y16" s="23">
        <v>2.100355</v>
      </c>
      <c r="Z16" s="23">
        <v>632.29317900000001</v>
      </c>
      <c r="AA16" s="23">
        <v>4.0150330000000007</v>
      </c>
      <c r="AB16" s="23">
        <v>75.045570000000012</v>
      </c>
      <c r="AC16" s="23">
        <v>83.822102999999998</v>
      </c>
      <c r="AD16" s="23">
        <v>28.194237000000001</v>
      </c>
      <c r="AE16" s="23">
        <v>27.728619999999999</v>
      </c>
      <c r="AF16" s="23">
        <v>32.402527999999997</v>
      </c>
      <c r="AG16" s="23">
        <v>85.81344</v>
      </c>
      <c r="AH16" s="23">
        <v>30.849240000000002</v>
      </c>
      <c r="AI16" s="23">
        <v>527.54587600000002</v>
      </c>
      <c r="AJ16" s="23">
        <v>62.210487999999998</v>
      </c>
      <c r="AK16" s="23">
        <v>113.690313</v>
      </c>
      <c r="AL16" s="23">
        <v>81.184913999999992</v>
      </c>
      <c r="AM16" s="23">
        <v>1614.9718049999999</v>
      </c>
      <c r="AN16" s="23">
        <v>10.534162</v>
      </c>
      <c r="AO16" s="23">
        <v>157.87151999999998</v>
      </c>
      <c r="AP16" s="23">
        <v>21.137132999999999</v>
      </c>
      <c r="AQ16" s="23">
        <v>37.808011</v>
      </c>
      <c r="AR16" s="23">
        <v>8.8315040000000007</v>
      </c>
      <c r="AS16" s="23">
        <v>3881.7293099999997</v>
      </c>
      <c r="AT16" s="23">
        <v>0</v>
      </c>
      <c r="AU16" s="23">
        <v>0</v>
      </c>
      <c r="AV16" s="23">
        <v>11.867647999999999</v>
      </c>
      <c r="AW16" s="23">
        <v>27.758728000000001</v>
      </c>
      <c r="AX16" s="23">
        <v>260.71659200000005</v>
      </c>
      <c r="AY16" s="23">
        <v>62.486856000000003</v>
      </c>
      <c r="AZ16" s="23">
        <v>96.363821000000002</v>
      </c>
      <c r="BA16" s="23">
        <v>29.093154999999999</v>
      </c>
      <c r="BB16" s="23">
        <v>44.70373</v>
      </c>
      <c r="BD16" s="23">
        <f t="shared" si="1"/>
        <v>15169.002661999997</v>
      </c>
      <c r="BE16" s="23">
        <f t="shared" si="0"/>
        <v>15.169002661999997</v>
      </c>
    </row>
    <row r="17" spans="1:57">
      <c r="A17" s="21">
        <v>2006</v>
      </c>
      <c r="B17" s="23">
        <v>1101.8237220000001</v>
      </c>
      <c r="C17" s="23">
        <v>1550.235993</v>
      </c>
      <c r="D17" s="23">
        <v>115.53735800000001</v>
      </c>
      <c r="E17" s="23">
        <v>26.891085</v>
      </c>
      <c r="F17" s="23">
        <v>18.104295999999998</v>
      </c>
      <c r="G17" s="23">
        <v>6.5234739999999993</v>
      </c>
      <c r="H17" s="23">
        <v>147.51246900000001</v>
      </c>
      <c r="I17" s="23">
        <v>13.619116</v>
      </c>
      <c r="J17" s="23">
        <v>120.06563300000001</v>
      </c>
      <c r="K17" s="23">
        <v>25.088870999999997</v>
      </c>
      <c r="L17" s="23">
        <v>60.253872999999999</v>
      </c>
      <c r="M17" s="23">
        <v>0.108899</v>
      </c>
      <c r="N17" s="23">
        <v>138.00489199999998</v>
      </c>
      <c r="O17" s="23">
        <v>70.719051000000007</v>
      </c>
      <c r="P17" s="23">
        <v>47.628574999999998</v>
      </c>
      <c r="Q17" s="23">
        <v>4103.7820689999999</v>
      </c>
      <c r="R17" s="23">
        <v>551.49818500000003</v>
      </c>
      <c r="S17" s="23">
        <v>8.8475640000000002</v>
      </c>
      <c r="T17" s="23">
        <v>137.26792700000001</v>
      </c>
      <c r="U17" s="23">
        <v>76.924038999999993</v>
      </c>
      <c r="V17" s="23">
        <v>135.28965700000001</v>
      </c>
      <c r="W17" s="23">
        <v>21.229805000000002</v>
      </c>
      <c r="X17" s="23">
        <v>64.741875000000007</v>
      </c>
      <c r="Y17" s="23">
        <v>5.7086420000000002</v>
      </c>
      <c r="Z17" s="23">
        <v>526.01376600000003</v>
      </c>
      <c r="AA17" s="23">
        <v>4.0286039999999996</v>
      </c>
      <c r="AB17" s="23">
        <v>67.840341999999993</v>
      </c>
      <c r="AC17" s="23">
        <v>434.85610600000001</v>
      </c>
      <c r="AD17" s="23">
        <v>44.737462000000001</v>
      </c>
      <c r="AE17" s="23">
        <v>45.738193000000003</v>
      </c>
      <c r="AF17" s="23">
        <v>43.130544999999998</v>
      </c>
      <c r="AG17" s="23">
        <v>90.146957999999998</v>
      </c>
      <c r="AH17" s="23">
        <v>35.607932000000005</v>
      </c>
      <c r="AI17" s="23">
        <v>875.55157599999995</v>
      </c>
      <c r="AJ17" s="23">
        <v>64.743315999999993</v>
      </c>
      <c r="AK17" s="23">
        <v>126.85888300000001</v>
      </c>
      <c r="AL17" s="23">
        <v>129.16508099999999</v>
      </c>
      <c r="AM17" s="23">
        <v>2230.79801</v>
      </c>
      <c r="AN17" s="23">
        <v>11.684653999999998</v>
      </c>
      <c r="AO17" s="23">
        <v>96.897797999999995</v>
      </c>
      <c r="AP17" s="23">
        <v>9.5259640000000001</v>
      </c>
      <c r="AQ17" s="23">
        <v>39.246150999999998</v>
      </c>
      <c r="AR17" s="23">
        <v>19.945456</v>
      </c>
      <c r="AS17" s="23">
        <v>4461.6838129999996</v>
      </c>
      <c r="AT17" s="23">
        <v>0</v>
      </c>
      <c r="AU17" s="23">
        <v>0</v>
      </c>
      <c r="AV17" s="23">
        <v>12.091430000000001</v>
      </c>
      <c r="AW17" s="23">
        <v>108.56353100000001</v>
      </c>
      <c r="AX17" s="23">
        <v>362.817632</v>
      </c>
      <c r="AY17" s="23">
        <v>53.201665000000006</v>
      </c>
      <c r="AZ17" s="23">
        <v>160.66671499999998</v>
      </c>
      <c r="BA17" s="23">
        <v>51.633652000000005</v>
      </c>
      <c r="BB17" s="23">
        <v>47.583947000000002</v>
      </c>
      <c r="BD17" s="23">
        <f t="shared" si="1"/>
        <v>18702.166251999992</v>
      </c>
      <c r="BE17" s="23">
        <f t="shared" si="0"/>
        <v>18.702166251999991</v>
      </c>
    </row>
    <row r="18" spans="1:57">
      <c r="A18" s="21">
        <v>2007</v>
      </c>
      <c r="B18" s="23">
        <v>1652.50892</v>
      </c>
      <c r="C18" s="23">
        <v>1280.1566870000001</v>
      </c>
      <c r="D18" s="23">
        <v>289.410571</v>
      </c>
      <c r="E18" s="23">
        <v>53.858468999999999</v>
      </c>
      <c r="F18" s="23">
        <v>33.139512000000003</v>
      </c>
      <c r="G18" s="23">
        <v>6.9303270000000001</v>
      </c>
      <c r="H18" s="23">
        <v>161.60783700000002</v>
      </c>
      <c r="I18" s="23">
        <v>5.5715640000000004</v>
      </c>
      <c r="J18" s="23">
        <v>132.92022299999999</v>
      </c>
      <c r="K18" s="23">
        <v>19.747922000000003</v>
      </c>
      <c r="L18" s="23">
        <v>71.107490999999996</v>
      </c>
      <c r="M18" s="23">
        <v>0.36703199999999997</v>
      </c>
      <c r="N18" s="23">
        <v>140.02381299999999</v>
      </c>
      <c r="O18" s="23">
        <v>112.90711300000001</v>
      </c>
      <c r="P18" s="23">
        <v>58.934055999999998</v>
      </c>
      <c r="Q18" s="23">
        <v>5347.0832359999995</v>
      </c>
      <c r="R18" s="23">
        <v>236.3997</v>
      </c>
      <c r="S18" s="23">
        <v>6.1128260000000001</v>
      </c>
      <c r="T18" s="23">
        <v>167.63524899999999</v>
      </c>
      <c r="U18" s="23">
        <v>66.940294999999992</v>
      </c>
      <c r="V18" s="23">
        <v>477.65644299999997</v>
      </c>
      <c r="W18" s="23">
        <v>20.000988</v>
      </c>
      <c r="X18" s="23">
        <v>73.539745000000011</v>
      </c>
      <c r="Y18" s="23">
        <v>6.6153560000000002</v>
      </c>
      <c r="Z18" s="23">
        <v>584.21723899999995</v>
      </c>
      <c r="AA18" s="23">
        <v>7.5257060000000005</v>
      </c>
      <c r="AB18" s="23">
        <v>75.769497000000001</v>
      </c>
      <c r="AC18" s="23">
        <v>510.49864499999995</v>
      </c>
      <c r="AD18" s="23">
        <v>31.958583999999998</v>
      </c>
      <c r="AE18" s="23">
        <v>51.503211</v>
      </c>
      <c r="AF18" s="23">
        <v>31.901354999999999</v>
      </c>
      <c r="AG18" s="23">
        <v>102.657391</v>
      </c>
      <c r="AH18" s="23">
        <v>49.793601000000002</v>
      </c>
      <c r="AI18" s="23">
        <v>1343.0107479999999</v>
      </c>
      <c r="AJ18" s="23">
        <v>114.949714</v>
      </c>
      <c r="AK18" s="23">
        <v>127.89439299999999</v>
      </c>
      <c r="AL18" s="23">
        <v>69.308772000000005</v>
      </c>
      <c r="AM18" s="23">
        <v>2786.672986</v>
      </c>
      <c r="AN18" s="23">
        <v>16.050053000000002</v>
      </c>
      <c r="AO18" s="23">
        <v>152.90230099999999</v>
      </c>
      <c r="AP18" s="23">
        <v>9.4733169999999998</v>
      </c>
      <c r="AQ18" s="23">
        <v>55.420538999999998</v>
      </c>
      <c r="AR18" s="23">
        <v>20.693618000000001</v>
      </c>
      <c r="AS18" s="23">
        <v>5517.2199220000002</v>
      </c>
      <c r="AT18" s="23">
        <v>0</v>
      </c>
      <c r="AU18" s="23">
        <v>0</v>
      </c>
      <c r="AV18" s="23">
        <v>29.002897999999998</v>
      </c>
      <c r="AW18" s="23">
        <v>287.594314</v>
      </c>
      <c r="AX18" s="23">
        <v>403.05505000000005</v>
      </c>
      <c r="AY18" s="23">
        <v>80.34880299999999</v>
      </c>
      <c r="AZ18" s="23">
        <v>173.986966</v>
      </c>
      <c r="BA18" s="23">
        <v>69.394926999999996</v>
      </c>
      <c r="BB18" s="23">
        <v>105.241269</v>
      </c>
      <c r="BD18" s="23">
        <f t="shared" si="1"/>
        <v>23229.221194000002</v>
      </c>
      <c r="BE18" s="23">
        <f t="shared" si="0"/>
        <v>23.229221194000001</v>
      </c>
    </row>
    <row r="19" spans="1:57">
      <c r="A19" s="21">
        <v>2008</v>
      </c>
      <c r="B19" s="23">
        <v>1243.2394689999999</v>
      </c>
      <c r="C19" s="23">
        <v>2116.986519</v>
      </c>
      <c r="D19" s="23">
        <v>846.23280999999997</v>
      </c>
      <c r="E19" s="23">
        <v>62.177867999999997</v>
      </c>
      <c r="F19" s="23">
        <v>24.492570000000001</v>
      </c>
      <c r="G19" s="23">
        <v>7.2783720000000001</v>
      </c>
      <c r="H19" s="23">
        <v>254.10631900000001</v>
      </c>
      <c r="I19" s="23">
        <v>12.247223999999999</v>
      </c>
      <c r="J19" s="23">
        <v>125.04947</v>
      </c>
      <c r="K19" s="23">
        <v>23.302776000000001</v>
      </c>
      <c r="L19" s="23">
        <v>62.515459999999997</v>
      </c>
      <c r="M19" s="23">
        <v>0.42434500000000003</v>
      </c>
      <c r="N19" s="23">
        <v>184.60090200000002</v>
      </c>
      <c r="O19" s="23">
        <v>130.26004699999999</v>
      </c>
      <c r="P19" s="23">
        <v>140.838808</v>
      </c>
      <c r="Q19" s="23">
        <v>6030.8334219999997</v>
      </c>
      <c r="R19" s="23">
        <v>184.51482899999999</v>
      </c>
      <c r="S19" s="23">
        <v>14.872460999999999</v>
      </c>
      <c r="T19" s="23">
        <v>301.58090599999997</v>
      </c>
      <c r="U19" s="23">
        <v>143.30501800000002</v>
      </c>
      <c r="V19" s="23">
        <v>283.88899299999997</v>
      </c>
      <c r="W19" s="23">
        <v>28.878319999999999</v>
      </c>
      <c r="X19" s="23">
        <v>101.802826</v>
      </c>
      <c r="Y19" s="23">
        <v>2.076775</v>
      </c>
      <c r="Z19" s="23">
        <v>474.37408699999997</v>
      </c>
      <c r="AA19" s="23">
        <v>1.339723</v>
      </c>
      <c r="AB19" s="23">
        <v>156.630742</v>
      </c>
      <c r="AC19" s="23">
        <v>721.16166199999998</v>
      </c>
      <c r="AD19" s="23">
        <v>70.938504999999992</v>
      </c>
      <c r="AE19" s="23">
        <v>44.943925</v>
      </c>
      <c r="AF19" s="23">
        <v>30.921727000000001</v>
      </c>
      <c r="AG19" s="23">
        <v>106.60383</v>
      </c>
      <c r="AH19" s="23">
        <v>51.293165000000002</v>
      </c>
      <c r="AI19" s="23">
        <v>1518.769078</v>
      </c>
      <c r="AJ19" s="23">
        <v>213.41761400000001</v>
      </c>
      <c r="AK19" s="23">
        <v>280.33126699999997</v>
      </c>
      <c r="AL19" s="23">
        <v>50.007173999999999</v>
      </c>
      <c r="AM19" s="23">
        <v>4101.984676</v>
      </c>
      <c r="AN19" s="23">
        <v>20.449259000000001</v>
      </c>
      <c r="AO19" s="23">
        <v>137.10369800000001</v>
      </c>
      <c r="AP19" s="23">
        <v>24.980630000000001</v>
      </c>
      <c r="AQ19" s="23">
        <v>59.360501000000006</v>
      </c>
      <c r="AR19" s="23">
        <v>64.345393000000001</v>
      </c>
      <c r="AS19" s="23">
        <v>6494.6961259999998</v>
      </c>
      <c r="AT19" s="23">
        <v>0</v>
      </c>
      <c r="AU19" s="23">
        <v>0</v>
      </c>
      <c r="AV19" s="23">
        <v>12.120383</v>
      </c>
      <c r="AW19" s="23">
        <v>117.125699</v>
      </c>
      <c r="AX19" s="23">
        <v>502.52007099999997</v>
      </c>
      <c r="AY19" s="23">
        <v>88.525002000000001</v>
      </c>
      <c r="AZ19" s="23">
        <v>169.338435</v>
      </c>
      <c r="BA19" s="23">
        <v>78.704324</v>
      </c>
      <c r="BB19" s="23">
        <v>92.883747999999997</v>
      </c>
      <c r="BD19" s="23">
        <f t="shared" si="1"/>
        <v>28010.376952999992</v>
      </c>
      <c r="BE19" s="23">
        <f t="shared" si="0"/>
        <v>28.010376952999991</v>
      </c>
    </row>
    <row r="20" spans="1:57">
      <c r="A20" s="21">
        <v>2009</v>
      </c>
      <c r="B20" s="23">
        <v>1108.7690259999999</v>
      </c>
      <c r="C20" s="23">
        <v>1422.8730659999999</v>
      </c>
      <c r="D20" s="23">
        <v>398.33699799999999</v>
      </c>
      <c r="E20" s="23">
        <v>93.254655</v>
      </c>
      <c r="F20" s="23">
        <v>26.003754000000001</v>
      </c>
      <c r="G20" s="23">
        <v>8.6971019999999992</v>
      </c>
      <c r="H20" s="23">
        <v>206.24236000000002</v>
      </c>
      <c r="I20" s="23">
        <v>6.3874279999999999</v>
      </c>
      <c r="J20" s="23">
        <v>153.64176399999999</v>
      </c>
      <c r="K20" s="23">
        <v>31.485494000000003</v>
      </c>
      <c r="L20" s="23">
        <v>62.698756999999993</v>
      </c>
      <c r="M20" s="23">
        <v>1.9313939999999998</v>
      </c>
      <c r="N20" s="23">
        <v>277.07410999999996</v>
      </c>
      <c r="O20" s="23">
        <v>79.85605799999999</v>
      </c>
      <c r="P20" s="23">
        <v>196.69189900000001</v>
      </c>
      <c r="Q20" s="23">
        <v>5257.5855579999998</v>
      </c>
      <c r="R20" s="23">
        <v>305.86004500000001</v>
      </c>
      <c r="S20" s="23">
        <v>6.7350769999999995</v>
      </c>
      <c r="T20" s="23">
        <v>275.975303</v>
      </c>
      <c r="U20" s="23">
        <v>78.725710000000007</v>
      </c>
      <c r="V20" s="23">
        <v>170.82254499999999</v>
      </c>
      <c r="W20" s="23">
        <v>33.650712999999996</v>
      </c>
      <c r="X20" s="23">
        <v>94.859487999999999</v>
      </c>
      <c r="Y20" s="23">
        <v>1.555485</v>
      </c>
      <c r="Z20" s="23">
        <v>654.37659900000006</v>
      </c>
      <c r="AA20" s="23">
        <v>16.63044</v>
      </c>
      <c r="AB20" s="23">
        <v>94.980163000000005</v>
      </c>
      <c r="AC20" s="23">
        <v>666.05672400000003</v>
      </c>
      <c r="AD20" s="23">
        <v>165.86856299999999</v>
      </c>
      <c r="AE20" s="23">
        <v>40.423565000000004</v>
      </c>
      <c r="AF20" s="23">
        <v>36.804653000000002</v>
      </c>
      <c r="AG20" s="23">
        <v>56.280371000000002</v>
      </c>
      <c r="AH20" s="23">
        <v>70.031102000000004</v>
      </c>
      <c r="AI20" s="23">
        <v>1606.1011409999999</v>
      </c>
      <c r="AJ20" s="23">
        <v>189.83155299999999</v>
      </c>
      <c r="AK20" s="23">
        <v>202.31490399999998</v>
      </c>
      <c r="AL20" s="23">
        <v>58.243071</v>
      </c>
      <c r="AM20" s="23">
        <v>3658.0075320000001</v>
      </c>
      <c r="AN20" s="23">
        <v>34.145955000000001</v>
      </c>
      <c r="AO20" s="23">
        <v>175.94493699999998</v>
      </c>
      <c r="AP20" s="23">
        <v>34.093631000000002</v>
      </c>
      <c r="AQ20" s="23">
        <v>42.534392999999994</v>
      </c>
      <c r="AR20" s="23">
        <v>4.0994679999999999</v>
      </c>
      <c r="AS20" s="23">
        <v>4460.5517129999998</v>
      </c>
      <c r="AT20" s="23">
        <v>0</v>
      </c>
      <c r="AU20" s="23">
        <v>0</v>
      </c>
      <c r="AV20" s="23">
        <v>14.574775000000001</v>
      </c>
      <c r="AW20" s="23">
        <v>124.884361</v>
      </c>
      <c r="AX20" s="23">
        <v>502.11089499999997</v>
      </c>
      <c r="AY20" s="23">
        <v>119.081883</v>
      </c>
      <c r="AZ20" s="23">
        <v>158.12432000000001</v>
      </c>
      <c r="BA20" s="23">
        <v>58.817708000000003</v>
      </c>
      <c r="BB20" s="23">
        <v>85.480698999999987</v>
      </c>
      <c r="BD20" s="23">
        <f t="shared" si="1"/>
        <v>23630.108908000002</v>
      </c>
      <c r="BE20" s="23">
        <f t="shared" si="0"/>
        <v>23.630108908</v>
      </c>
    </row>
    <row r="21" spans="1:57">
      <c r="A21" s="21">
        <v>2010</v>
      </c>
      <c r="B21" s="23">
        <v>1194.3254459999998</v>
      </c>
      <c r="C21" s="23">
        <v>1293.490947</v>
      </c>
      <c r="D21" s="23">
        <v>462.53482000000002</v>
      </c>
      <c r="E21" s="23">
        <v>48.496946999999999</v>
      </c>
      <c r="F21" s="23">
        <v>46.587532000000003</v>
      </c>
      <c r="G21" s="23">
        <v>14.386303</v>
      </c>
      <c r="H21" s="23">
        <v>162.84520699999999</v>
      </c>
      <c r="I21" s="23">
        <v>9.9758290000000009</v>
      </c>
      <c r="J21" s="23">
        <v>132.27039500000001</v>
      </c>
      <c r="K21" s="23">
        <v>10.339635999999999</v>
      </c>
      <c r="L21" s="23">
        <v>89.670007999999996</v>
      </c>
      <c r="M21" s="23">
        <v>1.2592380000000001</v>
      </c>
      <c r="N21" s="23">
        <v>254.42801500000002</v>
      </c>
      <c r="O21" s="23">
        <v>93.267328999999989</v>
      </c>
      <c r="P21" s="23">
        <v>122.793059</v>
      </c>
      <c r="Q21" s="23">
        <v>6832.5421940000006</v>
      </c>
      <c r="R21" s="23">
        <v>272.13742200000002</v>
      </c>
      <c r="S21" s="23">
        <v>2.3845670000000001</v>
      </c>
      <c r="T21" s="23">
        <v>773.15983800000004</v>
      </c>
      <c r="U21" s="23">
        <v>115.617732</v>
      </c>
      <c r="V21" s="23">
        <v>242.998852</v>
      </c>
      <c r="W21" s="23">
        <v>29.253786999999999</v>
      </c>
      <c r="X21" s="23">
        <v>85.061951999999991</v>
      </c>
      <c r="Y21" s="23">
        <v>3.40158</v>
      </c>
      <c r="Z21" s="23">
        <v>375.34878500000002</v>
      </c>
      <c r="AA21" s="23">
        <v>11.330245</v>
      </c>
      <c r="AB21" s="23">
        <v>191.351777</v>
      </c>
      <c r="AC21" s="23">
        <v>665.53397599999994</v>
      </c>
      <c r="AD21" s="23">
        <v>115.99445399999999</v>
      </c>
      <c r="AE21" s="23">
        <v>37.001180000000005</v>
      </c>
      <c r="AF21" s="23">
        <v>37.274320000000003</v>
      </c>
      <c r="AG21" s="23">
        <v>84.343006000000003</v>
      </c>
      <c r="AH21" s="23">
        <v>40.027844999999999</v>
      </c>
      <c r="AI21" s="23">
        <v>1947.613644</v>
      </c>
      <c r="AJ21" s="23">
        <v>224.01968199999999</v>
      </c>
      <c r="AK21" s="23">
        <v>110.184585</v>
      </c>
      <c r="AL21" s="23">
        <v>48.886203000000002</v>
      </c>
      <c r="AM21" s="23">
        <v>4060.5481250000003</v>
      </c>
      <c r="AN21" s="23">
        <v>30.608173999999998</v>
      </c>
      <c r="AO21" s="23">
        <v>218.78292599999997</v>
      </c>
      <c r="AP21" s="23">
        <v>10.681705999999998</v>
      </c>
      <c r="AQ21" s="23">
        <v>61.057483000000005</v>
      </c>
      <c r="AR21" s="23">
        <v>1.4578789999999999</v>
      </c>
      <c r="AS21" s="23">
        <v>5631.6335730000001</v>
      </c>
      <c r="AT21" s="23">
        <v>0</v>
      </c>
      <c r="AU21" s="23">
        <v>0</v>
      </c>
      <c r="AV21" s="23">
        <v>22.178798</v>
      </c>
      <c r="AW21" s="23">
        <v>157.620745</v>
      </c>
      <c r="AX21" s="23">
        <v>572.78084999999999</v>
      </c>
      <c r="AY21" s="23">
        <v>93.513813999999996</v>
      </c>
      <c r="AZ21" s="23">
        <v>163.49976899999999</v>
      </c>
      <c r="BA21" s="23">
        <v>56.415126000000001</v>
      </c>
      <c r="BB21" s="23">
        <v>67.565121000000005</v>
      </c>
      <c r="BD21" s="23">
        <f t="shared" si="1"/>
        <v>27330.482425999999</v>
      </c>
      <c r="BE21" s="23">
        <f t="shared" si="0"/>
        <v>27.330482426</v>
      </c>
    </row>
    <row r="22" spans="1:57">
      <c r="A22" s="21">
        <v>2011</v>
      </c>
      <c r="B22" s="23">
        <v>1596.9751350000001</v>
      </c>
      <c r="C22" s="23">
        <v>1503.2225490000001</v>
      </c>
      <c r="D22" s="23">
        <v>617.574838</v>
      </c>
      <c r="E22" s="23">
        <v>44.273591000000003</v>
      </c>
      <c r="F22" s="23">
        <v>33.260219999999997</v>
      </c>
      <c r="G22" s="23">
        <v>32.788843999999997</v>
      </c>
      <c r="H22" s="23">
        <v>131.405294</v>
      </c>
      <c r="I22" s="23">
        <v>11.462669999999999</v>
      </c>
      <c r="J22" s="23">
        <v>220.567654</v>
      </c>
      <c r="K22" s="23">
        <v>12.335445999999999</v>
      </c>
      <c r="L22" s="23">
        <v>35.450336</v>
      </c>
      <c r="M22" s="23">
        <v>1.0952780000000002</v>
      </c>
      <c r="N22" s="23">
        <v>227.293001</v>
      </c>
      <c r="O22" s="23">
        <v>165.92538999999999</v>
      </c>
      <c r="P22" s="23">
        <v>129.1755</v>
      </c>
      <c r="Q22" s="23">
        <v>6228.2285069999998</v>
      </c>
      <c r="R22" s="23">
        <v>285.39425</v>
      </c>
      <c r="S22" s="23">
        <v>4.308872</v>
      </c>
      <c r="T22" s="23">
        <v>689.89063299999998</v>
      </c>
      <c r="U22" s="23">
        <v>82.056033999999997</v>
      </c>
      <c r="V22" s="23">
        <v>205.15105</v>
      </c>
      <c r="W22" s="23">
        <v>29.366112000000001</v>
      </c>
      <c r="X22" s="23">
        <v>256.16026899999997</v>
      </c>
      <c r="Y22" s="23">
        <v>11.838657000000001</v>
      </c>
      <c r="Z22" s="23">
        <v>461.44178400000004</v>
      </c>
      <c r="AA22" s="23">
        <v>13.181171000000001</v>
      </c>
      <c r="AB22" s="23">
        <v>195.20782399999999</v>
      </c>
      <c r="AC22" s="23">
        <v>307.238676</v>
      </c>
      <c r="AD22" s="23">
        <v>56.283901999999998</v>
      </c>
      <c r="AE22" s="23">
        <v>56.973281999999998</v>
      </c>
      <c r="AF22" s="23">
        <v>55.077611999999995</v>
      </c>
      <c r="AG22" s="23">
        <v>243.31096599999998</v>
      </c>
      <c r="AH22" s="23">
        <v>46.369940999999997</v>
      </c>
      <c r="AI22" s="23">
        <v>2823.3070659999998</v>
      </c>
      <c r="AJ22" s="23">
        <v>459.24248799999998</v>
      </c>
      <c r="AK22" s="23">
        <v>136.56415200000001</v>
      </c>
      <c r="AL22" s="23">
        <v>48.152287000000001</v>
      </c>
      <c r="AM22" s="23">
        <v>4904.7890520000001</v>
      </c>
      <c r="AN22" s="23">
        <v>119.651782</v>
      </c>
      <c r="AO22" s="23">
        <v>265.15082799999999</v>
      </c>
      <c r="AP22" s="23">
        <v>13.056829</v>
      </c>
      <c r="AQ22" s="23">
        <v>102.791973</v>
      </c>
      <c r="AR22" s="23">
        <v>6.0815429999999999</v>
      </c>
      <c r="AS22" s="23">
        <v>7271.2283949999992</v>
      </c>
      <c r="AT22" s="23">
        <v>0</v>
      </c>
      <c r="AU22" s="23">
        <v>0</v>
      </c>
      <c r="AV22" s="23">
        <v>20.075202999999998</v>
      </c>
      <c r="AW22" s="23">
        <v>209.68903899999998</v>
      </c>
      <c r="AX22" s="23">
        <v>597.00768299999993</v>
      </c>
      <c r="AY22" s="23">
        <v>94.038055999999997</v>
      </c>
      <c r="AZ22" s="23">
        <v>260.183381</v>
      </c>
      <c r="BA22" s="23">
        <v>129.78463500000001</v>
      </c>
      <c r="BB22" s="23">
        <v>61.598378000000004</v>
      </c>
      <c r="BD22" s="23">
        <f t="shared" si="1"/>
        <v>31512.678058000001</v>
      </c>
      <c r="BE22" s="23">
        <f t="shared" si="0"/>
        <v>31.512678058000002</v>
      </c>
    </row>
    <row r="23" spans="1:57">
      <c r="A23" s="21">
        <v>2012</v>
      </c>
      <c r="B23" s="23">
        <v>1363.163393</v>
      </c>
      <c r="C23" s="23">
        <v>1490.5794640000001</v>
      </c>
      <c r="D23" s="23">
        <v>572.96455700000001</v>
      </c>
      <c r="E23" s="23">
        <v>47.983957000000004</v>
      </c>
      <c r="F23" s="23">
        <v>47.276772000000001</v>
      </c>
      <c r="G23" s="23">
        <v>19.939674</v>
      </c>
      <c r="H23" s="23">
        <v>188.087985</v>
      </c>
      <c r="I23" s="23">
        <v>7.7652219999999996</v>
      </c>
      <c r="J23" s="23">
        <v>253.04341700000001</v>
      </c>
      <c r="K23" s="23">
        <v>8.5158400000000007</v>
      </c>
      <c r="L23" s="23">
        <v>36.551673999999998</v>
      </c>
      <c r="M23" s="23">
        <v>0.95437300000000003</v>
      </c>
      <c r="N23" s="23">
        <v>237.20062100000001</v>
      </c>
      <c r="O23" s="23">
        <v>199.54924800000001</v>
      </c>
      <c r="P23" s="23">
        <v>118.84164</v>
      </c>
      <c r="Q23" s="23">
        <v>5498.3195289999994</v>
      </c>
      <c r="R23" s="23">
        <v>233.16153500000001</v>
      </c>
      <c r="S23" s="23">
        <v>5.8638589999999997</v>
      </c>
      <c r="T23" s="23">
        <v>1274.6720680000001</v>
      </c>
      <c r="U23" s="23">
        <v>0</v>
      </c>
      <c r="V23" s="23">
        <v>319.04846199999997</v>
      </c>
      <c r="W23" s="23">
        <v>27.458508999999999</v>
      </c>
      <c r="X23" s="23">
        <v>154.62223699999998</v>
      </c>
      <c r="Y23" s="23">
        <v>21.095196000000001</v>
      </c>
      <c r="Z23" s="23">
        <v>568.58371399999999</v>
      </c>
      <c r="AA23" s="23">
        <v>16.514237000000001</v>
      </c>
      <c r="AB23" s="23">
        <v>241.08909500000001</v>
      </c>
      <c r="AC23" s="23">
        <v>549.02203299999996</v>
      </c>
      <c r="AD23" s="23">
        <v>64.275029000000004</v>
      </c>
      <c r="AE23" s="23">
        <v>63.951197999999998</v>
      </c>
      <c r="AF23" s="23">
        <v>59.745089</v>
      </c>
      <c r="AG23" s="23">
        <v>291.59386999999998</v>
      </c>
      <c r="AH23" s="23">
        <v>95.986857999999998</v>
      </c>
      <c r="AI23" s="23">
        <v>2170.396557</v>
      </c>
      <c r="AJ23" s="23">
        <v>351.608971</v>
      </c>
      <c r="AK23" s="23">
        <v>184.614633</v>
      </c>
      <c r="AL23" s="23">
        <v>37.367471000000002</v>
      </c>
      <c r="AM23" s="23">
        <v>5029.3352210000003</v>
      </c>
      <c r="AN23" s="23">
        <v>30.489992000000001</v>
      </c>
      <c r="AO23" s="23">
        <v>149.11851899999999</v>
      </c>
      <c r="AP23" s="23">
        <v>14.968779</v>
      </c>
      <c r="AQ23" s="23">
        <v>100.735979</v>
      </c>
      <c r="AR23" s="23">
        <v>16.734552999999998</v>
      </c>
      <c r="AS23" s="23">
        <v>7552.7364629999993</v>
      </c>
      <c r="AT23" s="23">
        <v>32.540784000000002</v>
      </c>
      <c r="AU23" s="23">
        <v>55.491289999999999</v>
      </c>
      <c r="AV23" s="23">
        <v>40.226860000000002</v>
      </c>
      <c r="AW23" s="23">
        <v>370.55016499999999</v>
      </c>
      <c r="AX23" s="23">
        <v>614.86567700000001</v>
      </c>
      <c r="AY23" s="23">
        <v>100.125293</v>
      </c>
      <c r="AZ23" s="23">
        <v>245.38998100000001</v>
      </c>
      <c r="BA23" s="23">
        <v>146.78883000000002</v>
      </c>
      <c r="BB23" s="23">
        <v>53.478276000000001</v>
      </c>
      <c r="BD23" s="23">
        <f t="shared" si="1"/>
        <v>31374.984649000009</v>
      </c>
      <c r="BE23" s="23">
        <f t="shared" si="0"/>
        <v>31.374984649000009</v>
      </c>
    </row>
    <row r="24" spans="1:57">
      <c r="A24" s="21">
        <v>2013</v>
      </c>
      <c r="B24" s="23">
        <v>1848.703921</v>
      </c>
      <c r="C24" s="23">
        <v>1443.4385240000001</v>
      </c>
      <c r="D24" s="23">
        <v>605.36425400000007</v>
      </c>
      <c r="E24" s="23">
        <v>82.090828999999999</v>
      </c>
      <c r="F24" s="23">
        <v>77.598602999999997</v>
      </c>
      <c r="G24" s="23">
        <v>16.711424999999998</v>
      </c>
      <c r="H24" s="23">
        <v>167.57653300000001</v>
      </c>
      <c r="I24" s="23">
        <v>9.1342809999999997</v>
      </c>
      <c r="J24" s="23">
        <v>335.73708699999997</v>
      </c>
      <c r="K24" s="23">
        <v>4.1033500000000007</v>
      </c>
      <c r="L24" s="23">
        <v>41.460706999999999</v>
      </c>
      <c r="M24" s="23">
        <v>3.4910140000000003</v>
      </c>
      <c r="N24" s="23">
        <v>222.39787699999999</v>
      </c>
      <c r="O24" s="23">
        <v>169.80631099999999</v>
      </c>
      <c r="P24" s="23">
        <v>164.48326399999999</v>
      </c>
      <c r="Q24" s="23">
        <v>5175.3457870000002</v>
      </c>
      <c r="R24" s="23">
        <v>756.139906</v>
      </c>
      <c r="S24" s="23">
        <v>13.476312</v>
      </c>
      <c r="T24" s="23">
        <v>688.50773600000002</v>
      </c>
      <c r="U24" s="23">
        <v>0</v>
      </c>
      <c r="V24" s="23">
        <v>307.98352499999999</v>
      </c>
      <c r="W24" s="23">
        <v>34.135358999999994</v>
      </c>
      <c r="X24" s="23">
        <v>79.462980000000002</v>
      </c>
      <c r="Y24" s="23">
        <v>6.6437330000000001</v>
      </c>
      <c r="Z24" s="23">
        <v>635.6888550000001</v>
      </c>
      <c r="AA24" s="23">
        <v>0.57114399999999999</v>
      </c>
      <c r="AB24" s="23">
        <v>173.20734199999998</v>
      </c>
      <c r="AC24" s="23">
        <v>864.51803900000004</v>
      </c>
      <c r="AD24" s="23">
        <v>64.007569000000004</v>
      </c>
      <c r="AE24" s="23">
        <v>54.498745</v>
      </c>
      <c r="AF24" s="23">
        <v>49.893003</v>
      </c>
      <c r="AG24" s="23">
        <v>245.48475099999999</v>
      </c>
      <c r="AH24" s="23">
        <v>42.054670000000002</v>
      </c>
      <c r="AI24" s="23">
        <v>2483.740957</v>
      </c>
      <c r="AJ24" s="23">
        <v>303.01649900000001</v>
      </c>
      <c r="AK24" s="23">
        <v>235.24440899999999</v>
      </c>
      <c r="AL24" s="23">
        <v>46.091405000000002</v>
      </c>
      <c r="AM24" s="23">
        <v>6388.8325760000007</v>
      </c>
      <c r="AN24" s="23">
        <v>25.191268999999998</v>
      </c>
      <c r="AO24" s="23">
        <v>229.20806599999997</v>
      </c>
      <c r="AP24" s="23">
        <v>12.189931</v>
      </c>
      <c r="AQ24" s="23">
        <v>82.411287000000002</v>
      </c>
      <c r="AR24" s="23">
        <v>15.959166</v>
      </c>
      <c r="AS24" s="23">
        <v>7293.0597049999997</v>
      </c>
      <c r="AT24" s="23">
        <v>13.417224000000001</v>
      </c>
      <c r="AU24" s="23">
        <v>88.268450000000001</v>
      </c>
      <c r="AV24" s="23">
        <v>22.674774000000003</v>
      </c>
      <c r="AW24" s="23">
        <v>1007.5238449999999</v>
      </c>
      <c r="AX24" s="23">
        <v>870.17808200000002</v>
      </c>
      <c r="AY24" s="23">
        <v>122.74038900000001</v>
      </c>
      <c r="AZ24" s="23">
        <v>411.95349399999998</v>
      </c>
      <c r="BA24" s="23">
        <v>141.14884499999999</v>
      </c>
      <c r="BB24" s="23">
        <v>60.525717999999998</v>
      </c>
      <c r="BD24" s="23">
        <f t="shared" si="1"/>
        <v>34237.093526999997</v>
      </c>
      <c r="BE24" s="23">
        <f t="shared" si="0"/>
        <v>34.237093526999999</v>
      </c>
    </row>
    <row r="25" spans="1:57">
      <c r="A25" s="21">
        <v>2014</v>
      </c>
      <c r="B25" s="23">
        <v>2616.9932049999998</v>
      </c>
      <c r="C25" s="23">
        <v>2039.1250479999999</v>
      </c>
      <c r="D25" s="23">
        <v>780.95152099999996</v>
      </c>
      <c r="E25" s="23">
        <v>52.866146000000001</v>
      </c>
      <c r="F25" s="23">
        <v>72.304388000000003</v>
      </c>
      <c r="G25" s="23">
        <v>5.59877</v>
      </c>
      <c r="H25" s="23">
        <v>239.07926700000002</v>
      </c>
      <c r="I25" s="23">
        <v>7.2836020000000001</v>
      </c>
      <c r="J25" s="23">
        <v>301.07047299999999</v>
      </c>
      <c r="K25" s="23">
        <v>32.322365999999995</v>
      </c>
      <c r="L25" s="23">
        <v>66.499540999999994</v>
      </c>
      <c r="M25" s="23">
        <v>3.4527939999999999</v>
      </c>
      <c r="N25" s="23">
        <v>321.466589</v>
      </c>
      <c r="O25" s="23">
        <v>181.84883099999999</v>
      </c>
      <c r="P25" s="23">
        <v>110.874793</v>
      </c>
      <c r="Q25" s="23">
        <v>6472.5845760000002</v>
      </c>
      <c r="R25" s="23">
        <v>574.79479000000003</v>
      </c>
      <c r="S25" s="23">
        <v>5.3275960000000007</v>
      </c>
      <c r="T25" s="23">
        <v>1668.97597</v>
      </c>
      <c r="U25" s="23">
        <v>0</v>
      </c>
      <c r="V25" s="23">
        <v>417.34742899999998</v>
      </c>
      <c r="W25" s="23">
        <v>41.538614000000003</v>
      </c>
      <c r="X25" s="23">
        <v>65.185635000000005</v>
      </c>
      <c r="Y25" s="23">
        <v>2.90428</v>
      </c>
      <c r="Z25" s="23">
        <v>1640.898833</v>
      </c>
      <c r="AA25" s="23">
        <v>2.4495649999999998</v>
      </c>
      <c r="AB25" s="23">
        <v>184.43721199999999</v>
      </c>
      <c r="AC25" s="23">
        <v>531.85579199999995</v>
      </c>
      <c r="AD25" s="23">
        <v>46.800265000000003</v>
      </c>
      <c r="AE25" s="23">
        <v>50.669581000000001</v>
      </c>
      <c r="AF25" s="23">
        <v>38.462372999999999</v>
      </c>
      <c r="AG25" s="23">
        <v>149.23917299999999</v>
      </c>
      <c r="AH25" s="23">
        <v>35.219286000000004</v>
      </c>
      <c r="AI25" s="23">
        <v>2102.225551</v>
      </c>
      <c r="AJ25" s="23">
        <v>375.16356999999999</v>
      </c>
      <c r="AK25" s="23">
        <v>342.74171100000001</v>
      </c>
      <c r="AL25" s="23">
        <v>58.515875000000001</v>
      </c>
      <c r="AM25" s="23">
        <v>5967.7885379999998</v>
      </c>
      <c r="AN25" s="23">
        <v>21.219488999999999</v>
      </c>
      <c r="AO25" s="23">
        <v>172.583179</v>
      </c>
      <c r="AP25" s="23">
        <v>12.687752999999999</v>
      </c>
      <c r="AQ25" s="23">
        <v>87.913405999999995</v>
      </c>
      <c r="AR25" s="23">
        <v>35.653737999999997</v>
      </c>
      <c r="AS25" s="23">
        <v>6368.1961329999995</v>
      </c>
      <c r="AT25" s="23">
        <v>46.614515000000004</v>
      </c>
      <c r="AU25" s="23">
        <v>77.177678</v>
      </c>
      <c r="AV25" s="23">
        <v>25.717762</v>
      </c>
      <c r="AW25" s="23">
        <v>1024.6637679999999</v>
      </c>
      <c r="AX25" s="23">
        <v>831.40237400000001</v>
      </c>
      <c r="AY25" s="23">
        <v>78.262340999999992</v>
      </c>
      <c r="AZ25" s="23">
        <v>302.17004800000001</v>
      </c>
      <c r="BA25" s="23">
        <v>114.121914</v>
      </c>
      <c r="BB25" s="23">
        <v>48.699474000000002</v>
      </c>
      <c r="BD25" s="23">
        <f t="shared" si="1"/>
        <v>36853.947120999997</v>
      </c>
      <c r="BE25" s="23">
        <f t="shared" si="0"/>
        <v>36.853947120999997</v>
      </c>
    </row>
    <row r="26" spans="1:57">
      <c r="A26" s="21">
        <v>2015</v>
      </c>
      <c r="B26" s="23">
        <v>1875.734479</v>
      </c>
      <c r="C26" s="23">
        <v>1166.1616670000001</v>
      </c>
      <c r="D26" s="23">
        <v>631.46251800000005</v>
      </c>
      <c r="E26" s="23">
        <v>39.041969999999999</v>
      </c>
      <c r="F26" s="23">
        <v>53.875343000000001</v>
      </c>
      <c r="G26" s="23">
        <v>5.6501919999999997</v>
      </c>
      <c r="H26" s="23">
        <v>0</v>
      </c>
      <c r="I26" s="23">
        <v>7.3216599999999996</v>
      </c>
      <c r="J26" s="23">
        <v>224.96169800000001</v>
      </c>
      <c r="K26" s="23">
        <v>34.309874000000001</v>
      </c>
      <c r="L26" s="23">
        <v>56.591527999999997</v>
      </c>
      <c r="M26" s="23">
        <v>1.5070779999999999</v>
      </c>
      <c r="N26" s="23">
        <v>249.22023200000001</v>
      </c>
      <c r="O26" s="23">
        <v>136.18937399999999</v>
      </c>
      <c r="P26" s="23">
        <v>144.71102099999999</v>
      </c>
      <c r="Q26" s="23">
        <v>4752.9836850000002</v>
      </c>
      <c r="R26" s="23">
        <v>161.96437299999999</v>
      </c>
      <c r="S26" s="23">
        <v>3.497538</v>
      </c>
      <c r="T26" s="23">
        <v>1555.249376</v>
      </c>
      <c r="U26" s="23">
        <v>0</v>
      </c>
      <c r="V26" s="23">
        <v>203.872443</v>
      </c>
      <c r="W26" s="23">
        <v>37.899622000000001</v>
      </c>
      <c r="X26" s="23">
        <v>135.35011399999999</v>
      </c>
      <c r="Y26" s="23">
        <v>2.1353200000000001</v>
      </c>
      <c r="Z26" s="23">
        <v>943.43665699999997</v>
      </c>
      <c r="AA26" s="23">
        <v>0.88189700000000004</v>
      </c>
      <c r="AB26" s="23">
        <v>135.80755099999999</v>
      </c>
      <c r="AC26" s="23">
        <v>242.95164500000001</v>
      </c>
      <c r="AD26" s="23">
        <v>54.553730999999999</v>
      </c>
      <c r="AE26" s="23">
        <v>37.201602000000001</v>
      </c>
      <c r="AF26" s="23">
        <v>72.426079000000001</v>
      </c>
      <c r="AG26" s="23">
        <v>126.28066699999999</v>
      </c>
      <c r="AH26" s="23">
        <v>58.435310999999999</v>
      </c>
      <c r="AI26" s="23">
        <v>1625.200707</v>
      </c>
      <c r="AJ26" s="23">
        <v>264.20399500000002</v>
      </c>
      <c r="AK26" s="23">
        <v>127.60360300000001</v>
      </c>
      <c r="AL26" s="23">
        <v>71.493156999999997</v>
      </c>
      <c r="AM26" s="23">
        <v>3437.9527840000001</v>
      </c>
      <c r="AN26" s="23">
        <v>14.287710000000001</v>
      </c>
      <c r="AO26" s="23">
        <v>196.42841100000001</v>
      </c>
      <c r="AP26" s="23">
        <v>18.542808999999998</v>
      </c>
      <c r="AQ26" s="23">
        <v>77.325723999999994</v>
      </c>
      <c r="AR26" s="23">
        <v>45.026584</v>
      </c>
      <c r="AS26" s="23">
        <v>5458.2283600000001</v>
      </c>
      <c r="AT26" s="23">
        <v>19.613531999999999</v>
      </c>
      <c r="AU26" s="23">
        <v>59.514997000000001</v>
      </c>
      <c r="AV26" s="23">
        <v>28.521750999999998</v>
      </c>
      <c r="AW26" s="23">
        <v>311.81980900000002</v>
      </c>
      <c r="AX26" s="23">
        <v>602.41201699999999</v>
      </c>
      <c r="AY26" s="23">
        <v>88.315068999999994</v>
      </c>
      <c r="AZ26" s="23">
        <v>172.803054</v>
      </c>
      <c r="BA26" s="23">
        <v>84.170834999999997</v>
      </c>
      <c r="BB26" s="23">
        <v>37.834783000000002</v>
      </c>
      <c r="BD26" s="23">
        <f t="shared" si="1"/>
        <v>25892.965935999993</v>
      </c>
      <c r="BE26" s="23">
        <f t="shared" si="0"/>
        <v>25.892965935999992</v>
      </c>
    </row>
    <row r="27" spans="1:57">
      <c r="A27" s="21">
        <v>2016</v>
      </c>
      <c r="B27" s="23">
        <v>2191.23</v>
      </c>
      <c r="C27" s="23">
        <v>1251.28</v>
      </c>
      <c r="D27" s="23">
        <v>235.13</v>
      </c>
      <c r="E27" s="23">
        <v>42.43</v>
      </c>
      <c r="F27" s="23">
        <v>35.39</v>
      </c>
      <c r="G27" s="23">
        <v>8.41</v>
      </c>
      <c r="H27" s="23">
        <v>291.26</v>
      </c>
      <c r="I27" s="23">
        <v>8.69</v>
      </c>
      <c r="J27" s="23">
        <v>189.77</v>
      </c>
      <c r="K27" s="23">
        <v>9.42</v>
      </c>
      <c r="L27" s="23">
        <v>32.82</v>
      </c>
      <c r="M27" s="23">
        <v>1.35</v>
      </c>
      <c r="N27" s="23">
        <v>130.88999999999999</v>
      </c>
      <c r="O27" s="23">
        <v>82.75</v>
      </c>
      <c r="P27" s="23">
        <v>132.54</v>
      </c>
      <c r="Q27" s="23">
        <v>3482.7</v>
      </c>
      <c r="R27" s="23">
        <v>278.44</v>
      </c>
      <c r="S27" s="23">
        <v>3.05</v>
      </c>
      <c r="T27" s="23">
        <v>826.25</v>
      </c>
      <c r="U27" s="23">
        <v>0</v>
      </c>
      <c r="V27" s="23">
        <v>85.02</v>
      </c>
      <c r="W27" s="23">
        <v>40</v>
      </c>
      <c r="X27" s="23">
        <v>84.19</v>
      </c>
      <c r="Y27" s="23">
        <v>3.55</v>
      </c>
      <c r="Z27" s="23">
        <v>396.92</v>
      </c>
      <c r="AA27" s="23">
        <v>2.84</v>
      </c>
      <c r="AB27" s="23">
        <v>158.03</v>
      </c>
      <c r="AC27" s="23">
        <v>190.27</v>
      </c>
      <c r="AD27" s="23">
        <v>41.97</v>
      </c>
      <c r="AE27" s="23">
        <v>46.61</v>
      </c>
      <c r="AF27" s="23">
        <v>73.06</v>
      </c>
      <c r="AG27" s="23">
        <v>116.25</v>
      </c>
      <c r="AH27" s="23">
        <v>86.96</v>
      </c>
      <c r="AI27" s="23">
        <v>1932.38</v>
      </c>
      <c r="AJ27" s="23">
        <v>149.44</v>
      </c>
      <c r="AK27" s="23">
        <v>212.95</v>
      </c>
      <c r="AL27" s="23">
        <v>66.3</v>
      </c>
      <c r="AM27" s="23">
        <v>1894.93</v>
      </c>
      <c r="AN27" s="23">
        <v>74.67</v>
      </c>
      <c r="AO27" s="23">
        <v>184.33</v>
      </c>
      <c r="AP27" s="23">
        <v>12.43</v>
      </c>
      <c r="AQ27" s="23">
        <v>63.18</v>
      </c>
      <c r="AR27" s="23">
        <v>38.83</v>
      </c>
      <c r="AS27" s="23">
        <v>4605.16</v>
      </c>
      <c r="AT27" s="23">
        <v>0</v>
      </c>
      <c r="AU27" s="23">
        <v>55.49</v>
      </c>
      <c r="AV27" s="23">
        <v>25.61</v>
      </c>
      <c r="AW27" s="23">
        <v>229.44</v>
      </c>
      <c r="AX27" s="23">
        <v>537.01</v>
      </c>
      <c r="AY27" s="23">
        <v>69.06</v>
      </c>
      <c r="AZ27" s="23">
        <v>157.57</v>
      </c>
      <c r="BA27" s="23">
        <v>81.63</v>
      </c>
      <c r="BB27" s="23">
        <v>30.06</v>
      </c>
      <c r="BD27" s="23">
        <f t="shared" si="1"/>
        <v>20979.940000000002</v>
      </c>
      <c r="BE27" s="23">
        <f t="shared" si="0"/>
        <v>20.979940000000003</v>
      </c>
    </row>
    <row r="28" spans="1:57">
      <c r="A28" s="21">
        <v>2017</v>
      </c>
      <c r="B28" s="23">
        <v>1059.8406170000001</v>
      </c>
      <c r="C28" s="23">
        <v>809.44486800000004</v>
      </c>
      <c r="D28" s="23">
        <v>250.13587000000001</v>
      </c>
      <c r="E28" s="23">
        <v>93.045278999999994</v>
      </c>
      <c r="F28" s="23">
        <v>60.978397000000001</v>
      </c>
      <c r="G28" s="23">
        <v>8.1327599999999993</v>
      </c>
      <c r="H28" s="23">
        <v>319.964133</v>
      </c>
      <c r="I28" s="23">
        <v>9.1463929999999998</v>
      </c>
      <c r="J28" s="23">
        <v>158.84578300000001</v>
      </c>
      <c r="K28" s="23">
        <v>11.178603000000001</v>
      </c>
      <c r="L28" s="23">
        <v>31.338484999999999</v>
      </c>
      <c r="M28" s="23">
        <v>1.375097</v>
      </c>
      <c r="N28" s="23">
        <v>117.378013</v>
      </c>
      <c r="O28" s="23">
        <v>76.260998999999998</v>
      </c>
      <c r="P28" s="23">
        <v>157.467862</v>
      </c>
      <c r="Q28" s="23">
        <v>3991.832766</v>
      </c>
      <c r="R28" s="23">
        <v>111.93615</v>
      </c>
      <c r="S28" s="23">
        <v>5.0212539999999999</v>
      </c>
      <c r="T28" s="23">
        <v>877.15240900000003</v>
      </c>
      <c r="U28" s="23">
        <v>0</v>
      </c>
      <c r="V28" s="23">
        <v>89.006489999999999</v>
      </c>
      <c r="W28" s="23">
        <v>39.235768999999998</v>
      </c>
      <c r="X28" s="23">
        <v>103.022431</v>
      </c>
      <c r="Y28" s="23">
        <v>3.751655</v>
      </c>
      <c r="Z28" s="23">
        <v>454.45334400000002</v>
      </c>
      <c r="AA28" s="23">
        <v>1.901616</v>
      </c>
      <c r="AB28" s="23">
        <v>138.34063699999999</v>
      </c>
      <c r="AC28" s="23">
        <v>134.952674</v>
      </c>
      <c r="AD28" s="23">
        <v>53.367175000000003</v>
      </c>
      <c r="AE28" s="23">
        <v>27.880839999999999</v>
      </c>
      <c r="AF28" s="23">
        <v>62.015549999999998</v>
      </c>
      <c r="AG28" s="23">
        <v>127.77739</v>
      </c>
      <c r="AH28" s="23">
        <v>61.421605</v>
      </c>
      <c r="AI28" s="23">
        <v>2219.6618229999999</v>
      </c>
      <c r="AJ28" s="23">
        <v>179.126068</v>
      </c>
      <c r="AK28" s="23">
        <v>118.561677</v>
      </c>
      <c r="AL28" s="23">
        <v>44.082048999999998</v>
      </c>
      <c r="AM28" s="23">
        <v>2170.0690730000001</v>
      </c>
      <c r="AN28" s="23">
        <v>66.140568999999999</v>
      </c>
      <c r="AO28" s="23">
        <v>207.93405000000001</v>
      </c>
      <c r="AP28" s="23">
        <v>15.488847</v>
      </c>
      <c r="AQ28" s="23">
        <v>79.185252000000006</v>
      </c>
      <c r="AR28" s="23">
        <v>70.594916999999995</v>
      </c>
      <c r="AS28" s="23">
        <v>5020.0307460000004</v>
      </c>
      <c r="AT28" s="23">
        <v>13.574310000000001</v>
      </c>
      <c r="AU28" s="23">
        <v>69.654352000000003</v>
      </c>
      <c r="AV28" s="23">
        <v>24.073435</v>
      </c>
      <c r="AW28" s="23">
        <v>481.81085400000001</v>
      </c>
      <c r="AX28" s="23">
        <v>543.57512499999996</v>
      </c>
      <c r="AY28" s="23">
        <v>107.869624</v>
      </c>
      <c r="AZ28" s="23">
        <v>145.24206799999999</v>
      </c>
      <c r="BA28" s="23">
        <v>85.137107999999998</v>
      </c>
      <c r="BB28" s="23">
        <v>39.926034999999999</v>
      </c>
      <c r="BD28" s="23">
        <f>SUM(B28:BB28)</f>
        <v>21149.340895999994</v>
      </c>
      <c r="BE28" s="23">
        <f t="shared" si="0"/>
        <v>21.149340895999995</v>
      </c>
    </row>
    <row r="29" spans="1:57">
      <c r="A29" s="21">
        <v>2018</v>
      </c>
      <c r="B29" s="23">
        <f>1261067304/1000000</f>
        <v>1261.0673039999999</v>
      </c>
      <c r="C29" s="23">
        <f>525185650/1000000</f>
        <v>525.18565000000001</v>
      </c>
      <c r="D29" s="23">
        <f>254193813/1000000</f>
        <v>254.19381300000001</v>
      </c>
      <c r="E29" s="23">
        <f>81908861/1000000</f>
        <v>81.908861000000002</v>
      </c>
      <c r="F29" s="23">
        <f>59499908/1000000</f>
        <v>59.499907999999998</v>
      </c>
      <c r="G29" s="27">
        <f>14547966/1000000</f>
        <v>14.547966000000001</v>
      </c>
      <c r="H29" s="23">
        <f>309432880/1000000</f>
        <v>309.43288000000001</v>
      </c>
      <c r="I29" s="23">
        <f>8560372/1000000</f>
        <v>8.5603719999999992</v>
      </c>
      <c r="J29" s="23">
        <f>193228289/1000000</f>
        <v>193.22828899999999</v>
      </c>
      <c r="K29" s="23">
        <f>9881566/1000000</f>
        <v>9.8815659999999994</v>
      </c>
      <c r="L29" s="23">
        <f>52659158/1000000</f>
        <v>52.659157999999998</v>
      </c>
      <c r="M29" s="23">
        <f>2777625/1000000</f>
        <v>2.777625</v>
      </c>
      <c r="N29" s="23">
        <f>100419567/1000000</f>
        <v>100.419567</v>
      </c>
      <c r="O29" s="23">
        <f>78002318/1000000</f>
        <v>78.002318000000002</v>
      </c>
      <c r="P29" s="23">
        <f>112742445/1000000</f>
        <v>112.742445</v>
      </c>
      <c r="Q29" s="23">
        <f>5050861159/1000000</f>
        <v>5050.861159</v>
      </c>
      <c r="R29" s="23">
        <f>139398852/1000000</f>
        <v>139.39885200000001</v>
      </c>
      <c r="S29" s="23">
        <f>8190789/1000000</f>
        <v>8.1907890000000005</v>
      </c>
      <c r="T29" s="23">
        <f>1308252189/1000000</f>
        <v>1308.252189</v>
      </c>
      <c r="U29" s="23">
        <v>0</v>
      </c>
      <c r="V29" s="23">
        <f>113008360/1000000</f>
        <v>113.00836</v>
      </c>
      <c r="W29" s="23">
        <f>41287417/1000000</f>
        <v>41.287416999999998</v>
      </c>
      <c r="X29" s="23">
        <f>127052793/1000000</f>
        <v>127.05279299999999</v>
      </c>
      <c r="Y29" s="23">
        <f>18555456/1000000</f>
        <v>18.555456</v>
      </c>
      <c r="Z29" s="23">
        <f>365543647/1000000</f>
        <v>365.54364700000002</v>
      </c>
      <c r="AA29" s="23">
        <f>2311991/1000000</f>
        <v>2.3119909999999999</v>
      </c>
      <c r="AB29" s="23">
        <f>196684431/1000000</f>
        <v>196.68443099999999</v>
      </c>
      <c r="AC29" s="23">
        <f>243781564/1000000</f>
        <v>243.781564</v>
      </c>
      <c r="AD29" s="23">
        <f>113570830/1000000</f>
        <v>113.57083</v>
      </c>
      <c r="AE29" s="23">
        <f>17240448/1000000</f>
        <v>17.240448000000001</v>
      </c>
      <c r="AF29" s="23">
        <f>78851438/1000000</f>
        <v>78.851438000000002</v>
      </c>
      <c r="AG29" s="23">
        <f>88378841/1000000</f>
        <v>88.378840999999994</v>
      </c>
      <c r="AH29" s="23">
        <f>123359194/1000000</f>
        <v>123.359194</v>
      </c>
      <c r="AI29" s="23">
        <f>3010614746/1000000</f>
        <v>3010.6147460000002</v>
      </c>
      <c r="AJ29" s="23">
        <f>184452651/1000000</f>
        <v>184.452651</v>
      </c>
      <c r="AK29" s="23">
        <f>209608949/1000000</f>
        <v>209.608949</v>
      </c>
      <c r="AL29" s="23">
        <f>61726976/1000000</f>
        <v>61.726976000000001</v>
      </c>
      <c r="AM29" s="23">
        <f>2686445220/1000000</f>
        <v>2686.4452200000001</v>
      </c>
      <c r="AN29" s="23">
        <f>25240682/1000000</f>
        <v>25.240682</v>
      </c>
      <c r="AO29" s="23">
        <f>289129293/1000000</f>
        <v>289.12929300000002</v>
      </c>
      <c r="AP29" s="23">
        <f>14379285/1000000</f>
        <v>14.379284999999999</v>
      </c>
      <c r="AQ29" s="23">
        <f>71426452/1000000</f>
        <v>71.426451999999998</v>
      </c>
      <c r="AR29" s="23">
        <f>49454787/1000000</f>
        <v>49.454787000000003</v>
      </c>
      <c r="AS29" s="23">
        <f>5517377246/1000000</f>
        <v>5517.377246</v>
      </c>
      <c r="AT29" s="23">
        <f>23460993/1000000</f>
        <v>23.460992999999998</v>
      </c>
      <c r="AU29" s="23">
        <f>95298955/1000000</f>
        <v>95.298955000000007</v>
      </c>
      <c r="AV29" s="23">
        <f>33393894/1000000</f>
        <v>33.393894000000003</v>
      </c>
      <c r="AW29" s="23">
        <f>642288039/1000000</f>
        <v>642.28803900000003</v>
      </c>
      <c r="AX29" s="23">
        <f>597607230/1000000</f>
        <v>597.60722999999996</v>
      </c>
      <c r="AY29" s="23">
        <f>87488073/1000000</f>
        <v>87.488073</v>
      </c>
      <c r="AZ29" s="23">
        <f>331906936/1000000</f>
        <v>331.90693599999997</v>
      </c>
      <c r="BA29" s="23">
        <f>195379265/1000000</f>
        <v>195.379265</v>
      </c>
      <c r="BB29" s="23">
        <f>33737878/1000000</f>
        <v>33.737878000000002</v>
      </c>
      <c r="BD29" s="23">
        <f t="shared" si="1"/>
        <v>25260.854671000001</v>
      </c>
      <c r="BE29" s="23">
        <f t="shared" si="0"/>
        <v>25.260854671000001</v>
      </c>
    </row>
    <row r="30" spans="1:57">
      <c r="A30" s="21">
        <v>2019</v>
      </c>
      <c r="B30" s="23">
        <f>999323369/1000000</f>
        <v>999.32336899999996</v>
      </c>
      <c r="C30" s="23">
        <f>536171052/1000000</f>
        <v>536.17105200000003</v>
      </c>
      <c r="D30" s="23">
        <f>267015376/1000000</f>
        <v>267.015376</v>
      </c>
      <c r="E30" s="23">
        <f>104498251/1000000</f>
        <v>104.498251</v>
      </c>
      <c r="F30" s="23">
        <f>66900568/1000000</f>
        <v>66.900568000000007</v>
      </c>
      <c r="G30" s="23">
        <f>2451935/1000000</f>
        <v>2.4519350000000002</v>
      </c>
      <c r="H30" s="23">
        <f>278448180/1000000</f>
        <v>278.44817999999998</v>
      </c>
      <c r="I30" s="23">
        <f>7771326/1000000</f>
        <v>7.7713260000000002</v>
      </c>
      <c r="J30" s="23">
        <f>200426845/1000000</f>
        <v>200.42684499999999</v>
      </c>
      <c r="K30" s="23">
        <f>36993495/1000000</f>
        <v>36.993495000000003</v>
      </c>
      <c r="L30" s="23">
        <f>84647384/1000000</f>
        <v>84.647384000000002</v>
      </c>
      <c r="M30" s="23">
        <f>1512989/1000000</f>
        <v>1.5129889999999999</v>
      </c>
      <c r="N30" s="23">
        <f>105327403/1000000</f>
        <v>105.327403</v>
      </c>
      <c r="O30" s="23">
        <f>131006401/1000000</f>
        <v>131.00640100000001</v>
      </c>
      <c r="P30" s="23">
        <f>154082649/1000000</f>
        <v>154.082649</v>
      </c>
      <c r="Q30" s="23">
        <f>5485805241/1000000</f>
        <v>5485.805241</v>
      </c>
      <c r="R30" s="23">
        <f>214768336/1000000</f>
        <v>214.76833600000001</v>
      </c>
      <c r="S30" s="23">
        <f>14321999/1000000</f>
        <v>14.321999</v>
      </c>
      <c r="T30" s="23">
        <f>1020996072/1000000</f>
        <v>1020.996072</v>
      </c>
      <c r="U30" s="23">
        <f>0/1000000</f>
        <v>0</v>
      </c>
      <c r="V30" s="23">
        <f>129351458/1000000</f>
        <v>129.35145800000001</v>
      </c>
      <c r="W30" s="23">
        <f>44993579/1000000</f>
        <v>44.993578999999997</v>
      </c>
      <c r="X30" s="23">
        <f>125294738/1000000</f>
        <v>125.294738</v>
      </c>
      <c r="Y30" s="23">
        <f>1244382/1000000</f>
        <v>1.2443820000000001</v>
      </c>
      <c r="Z30" s="23">
        <f>391025030/1000000</f>
        <v>391.02503000000002</v>
      </c>
      <c r="AA30" s="23">
        <f>1212467/1000000</f>
        <v>1.212467</v>
      </c>
      <c r="AB30" s="23">
        <f>113842887/1000000</f>
        <v>113.842887</v>
      </c>
      <c r="AC30" s="23">
        <f>413437765/1000000</f>
        <v>413.43776500000001</v>
      </c>
      <c r="AD30" s="23">
        <f>66366126/1000000</f>
        <v>66.366125999999994</v>
      </c>
      <c r="AE30" s="23">
        <f>22826186/1000000</f>
        <v>22.826186</v>
      </c>
      <c r="AF30" s="23">
        <f>67939075/1000000</f>
        <v>67.939075000000003</v>
      </c>
      <c r="AG30" s="23">
        <f>90942431/1000000</f>
        <v>90.942430999999999</v>
      </c>
      <c r="AH30" s="23">
        <f>87173772/1000000</f>
        <v>87.173772</v>
      </c>
      <c r="AI30" s="23">
        <f>3479286418/1000000</f>
        <v>3479.2864180000001</v>
      </c>
      <c r="AJ30" s="23">
        <f>195738474/1000000</f>
        <v>195.738474</v>
      </c>
      <c r="AK30" s="23">
        <f>194641678/1000000</f>
        <v>194.64167800000001</v>
      </c>
      <c r="AL30" s="23">
        <f>75939682/1000000</f>
        <v>75.939682000000005</v>
      </c>
      <c r="AM30" s="23">
        <f>3178325594/1000000</f>
        <v>3178.3255939999999</v>
      </c>
      <c r="AN30" s="23">
        <f>18862948/1000000</f>
        <v>18.862947999999999</v>
      </c>
      <c r="AO30" s="23">
        <f>198312460/1000000</f>
        <v>198.31245999999999</v>
      </c>
      <c r="AP30" s="23">
        <f>18275615/1000000</f>
        <v>18.275614999999998</v>
      </c>
      <c r="AQ30" s="23">
        <f>78360706/1000000</f>
        <v>78.360705999999993</v>
      </c>
      <c r="AR30" s="23">
        <f>105431065/1000000</f>
        <v>105.431065</v>
      </c>
      <c r="AS30" s="23">
        <f>5333693528/1000000</f>
        <v>5333.6935279999998</v>
      </c>
      <c r="AT30" s="23">
        <f>22314219/1000000</f>
        <v>22.314219000000001</v>
      </c>
      <c r="AU30" s="23">
        <f>74409821/1000000</f>
        <v>74.409820999999994</v>
      </c>
      <c r="AV30" s="23">
        <f>19751621/1000000</f>
        <v>19.751621</v>
      </c>
      <c r="AW30" s="23">
        <f>430791517/1000000</f>
        <v>430.791517</v>
      </c>
      <c r="AX30" s="23">
        <f>461074751/1000000</f>
        <v>461.07475099999999</v>
      </c>
      <c r="AY30" s="23">
        <f>104498938/1000000</f>
        <v>104.498938</v>
      </c>
      <c r="AZ30" s="23">
        <f>332201587/1000000</f>
        <v>332.20158700000002</v>
      </c>
      <c r="BA30" s="23">
        <f>99307986/1000000</f>
        <v>99.307986</v>
      </c>
      <c r="BB30" s="23">
        <f>39145993/1000000</f>
        <v>39.145992999999997</v>
      </c>
      <c r="BD30" s="23">
        <f t="shared" si="1"/>
        <v>25728.483368000001</v>
      </c>
      <c r="BE30" s="23">
        <f t="shared" si="0"/>
        <v>25.728483368000003</v>
      </c>
    </row>
    <row r="31" spans="1:57" s="22" customFormat="1">
      <c r="A31" s="21">
        <v>2020</v>
      </c>
      <c r="B31" s="23">
        <v>726.28670499999998</v>
      </c>
      <c r="C31" s="23">
        <v>470.520734</v>
      </c>
      <c r="D31" s="23">
        <v>197.55355399999999</v>
      </c>
      <c r="E31" s="23">
        <v>48.679397000000002</v>
      </c>
      <c r="F31" s="23">
        <v>72.270407000000006</v>
      </c>
      <c r="G31" s="23">
        <v>5.4053699999999996</v>
      </c>
      <c r="H31" s="23">
        <v>208.06726900000001</v>
      </c>
      <c r="I31" s="23">
        <v>6.6702459999999997</v>
      </c>
      <c r="J31" s="23">
        <v>194.36539400000001</v>
      </c>
      <c r="K31" s="23">
        <v>22.329871000000001</v>
      </c>
      <c r="L31" s="23">
        <v>46.145949999999999</v>
      </c>
      <c r="M31" s="23">
        <v>1.4105719999999999</v>
      </c>
      <c r="N31" s="23">
        <v>102.455696</v>
      </c>
      <c r="O31" s="23">
        <v>152.90638899999999</v>
      </c>
      <c r="P31" s="23">
        <v>195.16466800000001</v>
      </c>
      <c r="Q31" s="23">
        <v>4759.0774300000003</v>
      </c>
      <c r="R31" s="23">
        <v>96.894475</v>
      </c>
      <c r="S31" s="23">
        <v>18.679076999999999</v>
      </c>
      <c r="T31" s="23">
        <v>907.31521199999997</v>
      </c>
      <c r="U31" s="23">
        <v>0</v>
      </c>
      <c r="V31" s="23">
        <v>91.495636000000005</v>
      </c>
      <c r="W31" s="23">
        <v>41.677754</v>
      </c>
      <c r="X31" s="23">
        <v>135.64793499999999</v>
      </c>
      <c r="Y31" s="23">
        <v>3.6700900000000001</v>
      </c>
      <c r="Z31" s="23">
        <v>370.78670299999999</v>
      </c>
      <c r="AA31" s="23">
        <v>2.1920679999999999</v>
      </c>
      <c r="AB31" s="23">
        <v>93.152923000000001</v>
      </c>
      <c r="AC31" s="23">
        <v>316.45104700000002</v>
      </c>
      <c r="AD31" s="23">
        <v>34.809235999999999</v>
      </c>
      <c r="AE31" s="23">
        <v>13.214745000000001</v>
      </c>
      <c r="AF31" s="23">
        <v>99.265170999999995</v>
      </c>
      <c r="AG31" s="23">
        <v>127.97411</v>
      </c>
      <c r="AH31" s="23">
        <v>49.612969</v>
      </c>
      <c r="AI31" s="23">
        <v>2298.58698</v>
      </c>
      <c r="AJ31" s="23">
        <v>129.01093900000001</v>
      </c>
      <c r="AK31" s="23">
        <v>60.146056000000002</v>
      </c>
      <c r="AL31" s="23">
        <v>143.872197</v>
      </c>
      <c r="AM31" s="23">
        <v>2788.4200599999999</v>
      </c>
      <c r="AN31" s="23">
        <v>27.402397000000001</v>
      </c>
      <c r="AO31" s="23">
        <v>280.13710900000001</v>
      </c>
      <c r="AP31" s="23">
        <v>17.062460999999999</v>
      </c>
      <c r="AQ31" s="23">
        <v>73.828322</v>
      </c>
      <c r="AR31" s="23">
        <v>58.945822999999997</v>
      </c>
      <c r="AS31" s="23">
        <v>4454.7351500000004</v>
      </c>
      <c r="AT31" s="23">
        <v>40.244002999999999</v>
      </c>
      <c r="AU31" s="23">
        <v>71.709834999999998</v>
      </c>
      <c r="AV31" s="23">
        <v>21.406120000000001</v>
      </c>
      <c r="AW31" s="23">
        <v>319.56405000000001</v>
      </c>
      <c r="AX31" s="23">
        <v>433.87782700000002</v>
      </c>
      <c r="AY31" s="23">
        <v>94.995133999999993</v>
      </c>
      <c r="AZ31" s="23">
        <v>245.762979</v>
      </c>
      <c r="BA31" s="23">
        <v>71.820751999999999</v>
      </c>
      <c r="BB31" s="23">
        <v>46.428939999999997</v>
      </c>
      <c r="BD31" s="23">
        <f t="shared" si="1"/>
        <v>21290.105936999997</v>
      </c>
      <c r="BE31" s="23">
        <f t="shared" si="0"/>
        <v>21.290105936999996</v>
      </c>
    </row>
    <row r="32" spans="1:57" ht="1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2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E32" s="22"/>
    </row>
    <row r="33" spans="1:1">
      <c r="A33" s="23" t="s">
        <v>58</v>
      </c>
    </row>
    <row r="34" spans="1:1">
      <c r="A34" s="23" t="s">
        <v>70</v>
      </c>
    </row>
    <row r="35" spans="1:1">
      <c r="A35" s="18" t="s">
        <v>73</v>
      </c>
    </row>
    <row r="36" spans="1:1">
      <c r="A36" s="18" t="s">
        <v>59</v>
      </c>
    </row>
    <row r="37" spans="1:1">
      <c r="A37" s="29" t="s">
        <v>79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7"/>
  <sheetViews>
    <sheetView zoomScaleNormal="100" zoomScalePageLayoutView="8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37" sqref="A37"/>
    </sheetView>
  </sheetViews>
  <sheetFormatPr baseColWidth="10" defaultColWidth="8.6640625" defaultRowHeight="15"/>
  <cols>
    <col min="1" max="1" width="14.33203125" customWidth="1"/>
    <col min="56" max="56" width="11.1640625" customWidth="1"/>
  </cols>
  <sheetData>
    <row r="1" spans="1:57">
      <c r="A1" s="9" t="s">
        <v>78</v>
      </c>
    </row>
    <row r="2" spans="1:57" s="1" customFormat="1" ht="32">
      <c r="A2" s="12" t="s">
        <v>54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60</v>
      </c>
      <c r="I2" s="13" t="s">
        <v>44</v>
      </c>
      <c r="J2" s="13" t="s">
        <v>6</v>
      </c>
      <c r="K2" s="13" t="s">
        <v>45</v>
      </c>
      <c r="L2" s="13" t="s">
        <v>7</v>
      </c>
      <c r="M2" s="13" t="s">
        <v>8</v>
      </c>
      <c r="N2" s="13" t="s">
        <v>46</v>
      </c>
      <c r="O2" s="13" t="s">
        <v>47</v>
      </c>
      <c r="P2" s="13" t="s">
        <v>9</v>
      </c>
      <c r="Q2" s="13" t="s">
        <v>10</v>
      </c>
      <c r="R2" s="13" t="s">
        <v>11</v>
      </c>
      <c r="S2" s="13" t="s">
        <v>12</v>
      </c>
      <c r="T2" s="13" t="s">
        <v>13</v>
      </c>
      <c r="U2" s="13" t="s">
        <v>48</v>
      </c>
      <c r="V2" s="13" t="s">
        <v>14</v>
      </c>
      <c r="W2" s="13" t="s">
        <v>49</v>
      </c>
      <c r="X2" s="13" t="s">
        <v>15</v>
      </c>
      <c r="Y2" s="13" t="s">
        <v>16</v>
      </c>
      <c r="Z2" s="13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3" t="s">
        <v>22</v>
      </c>
      <c r="AF2" s="13" t="s">
        <v>23</v>
      </c>
      <c r="AG2" s="13" t="s">
        <v>24</v>
      </c>
      <c r="AH2" s="13" t="s">
        <v>25</v>
      </c>
      <c r="AI2" s="13" t="s">
        <v>26</v>
      </c>
      <c r="AJ2" s="13" t="s">
        <v>27</v>
      </c>
      <c r="AK2" s="13" t="s">
        <v>28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35</v>
      </c>
      <c r="AS2" s="13" t="s">
        <v>36</v>
      </c>
      <c r="AT2" s="13" t="s">
        <v>37</v>
      </c>
      <c r="AU2" s="13" t="s">
        <v>38</v>
      </c>
      <c r="AV2" s="13" t="s">
        <v>75</v>
      </c>
      <c r="AW2" s="13" t="s">
        <v>39</v>
      </c>
      <c r="AX2" s="13" t="s">
        <v>40</v>
      </c>
      <c r="AY2" s="13" t="s">
        <v>41</v>
      </c>
      <c r="AZ2" s="13" t="s">
        <v>50</v>
      </c>
      <c r="BA2" s="13" t="s">
        <v>42</v>
      </c>
      <c r="BB2" s="13" t="s">
        <v>43</v>
      </c>
      <c r="BC2" s="14"/>
      <c r="BD2" s="14" t="s">
        <v>52</v>
      </c>
      <c r="BE2" s="14" t="s">
        <v>53</v>
      </c>
    </row>
    <row r="3" spans="1:57">
      <c r="A3" s="7">
        <v>1992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/>
      <c r="BD3" s="28">
        <v>0</v>
      </c>
      <c r="BE3" s="2">
        <f>BD3/1000</f>
        <v>0</v>
      </c>
    </row>
    <row r="4" spans="1:57">
      <c r="A4" s="7">
        <v>1993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/>
      <c r="BD4" s="28">
        <v>0</v>
      </c>
      <c r="BE4" s="2">
        <f t="shared" ref="BE4:BE31" si="0">BD4/1000</f>
        <v>0</v>
      </c>
    </row>
    <row r="5" spans="1:57">
      <c r="A5" s="7">
        <v>1994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/>
      <c r="BD5" s="28">
        <v>0</v>
      </c>
      <c r="BE5" s="2">
        <f t="shared" si="0"/>
        <v>0</v>
      </c>
    </row>
    <row r="6" spans="1:57">
      <c r="A6" s="7">
        <v>1995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/>
      <c r="BD6" s="28">
        <v>0</v>
      </c>
      <c r="BE6" s="2">
        <f t="shared" si="0"/>
        <v>0</v>
      </c>
    </row>
    <row r="7" spans="1:57">
      <c r="A7" s="7">
        <v>1996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/>
      <c r="BD7" s="28">
        <v>0</v>
      </c>
      <c r="BE7" s="2">
        <f t="shared" si="0"/>
        <v>0</v>
      </c>
    </row>
    <row r="8" spans="1:57">
      <c r="A8" s="7">
        <v>1997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8">
        <v>0</v>
      </c>
      <c r="BE8" s="2">
        <f t="shared" si="0"/>
        <v>0</v>
      </c>
    </row>
    <row r="9" spans="1:57">
      <c r="A9" s="7">
        <v>1998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/>
      <c r="BD9" s="28">
        <v>0</v>
      </c>
      <c r="BE9" s="2">
        <f t="shared" si="0"/>
        <v>0</v>
      </c>
    </row>
    <row r="10" spans="1:57">
      <c r="A10" s="7">
        <v>1999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/>
      <c r="BD10" s="28">
        <v>0</v>
      </c>
      <c r="BE10" s="2">
        <f t="shared" si="0"/>
        <v>0</v>
      </c>
    </row>
    <row r="11" spans="1:57">
      <c r="A11" s="7">
        <v>2000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/>
      <c r="BD11" s="28">
        <v>0</v>
      </c>
      <c r="BE11" s="2">
        <f t="shared" si="0"/>
        <v>0</v>
      </c>
    </row>
    <row r="12" spans="1:57">
      <c r="A12" s="7">
        <v>2001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/>
      <c r="BD12" s="28">
        <v>0</v>
      </c>
      <c r="BE12" s="2">
        <f t="shared" si="0"/>
        <v>0</v>
      </c>
    </row>
    <row r="13" spans="1:57">
      <c r="A13" s="7">
        <v>2002</v>
      </c>
      <c r="B13" s="2">
        <v>2559.9580180000003</v>
      </c>
      <c r="C13" s="2">
        <v>3275.3408369999997</v>
      </c>
      <c r="D13" s="2">
        <v>0.78754599999999997</v>
      </c>
      <c r="E13" s="2">
        <v>30.197589999999998</v>
      </c>
      <c r="F13" s="2">
        <v>2.936925</v>
      </c>
      <c r="G13" s="2">
        <v>0.49073100000000003</v>
      </c>
      <c r="H13" s="2">
        <v>14.131153000000001</v>
      </c>
      <c r="I13" s="2">
        <v>2.6199999999999997E-4</v>
      </c>
      <c r="J13" s="2">
        <v>114.65679</v>
      </c>
      <c r="K13" s="2">
        <v>1.2570129999999999</v>
      </c>
      <c r="L13" s="2">
        <v>1.534314</v>
      </c>
      <c r="M13" s="2">
        <v>0</v>
      </c>
      <c r="N13" s="2">
        <v>251.27442400000001</v>
      </c>
      <c r="O13" s="2">
        <v>12.473266000000001</v>
      </c>
      <c r="P13" s="2">
        <v>2.1149000000000001E-2</v>
      </c>
      <c r="Q13" s="2">
        <v>91.854382999999999</v>
      </c>
      <c r="R13" s="2">
        <v>382.72609699999998</v>
      </c>
      <c r="S13" s="2">
        <v>4.8539999999999998E-3</v>
      </c>
      <c r="T13" s="2">
        <v>3.6851349999999998</v>
      </c>
      <c r="U13" s="2">
        <v>1157.5853830000001</v>
      </c>
      <c r="V13" s="2">
        <v>231.94337000000002</v>
      </c>
      <c r="W13" s="2">
        <v>0</v>
      </c>
      <c r="X13" s="2">
        <v>11.535848</v>
      </c>
      <c r="Y13" s="2">
        <v>0</v>
      </c>
      <c r="Z13" s="2">
        <v>5.7977999999999996</v>
      </c>
      <c r="AA13" s="2">
        <v>0</v>
      </c>
      <c r="AB13" s="2">
        <v>55.586404000000002</v>
      </c>
      <c r="AC13" s="2">
        <v>1.2180789999999999</v>
      </c>
      <c r="AD13" s="2">
        <v>11.319532000000001</v>
      </c>
      <c r="AE13" s="2">
        <v>0.60514200000000007</v>
      </c>
      <c r="AF13" s="2">
        <v>1.7302949999999999</v>
      </c>
      <c r="AG13" s="2">
        <v>9.7661799999999985</v>
      </c>
      <c r="AH13" s="2">
        <v>4.6710370000000001</v>
      </c>
      <c r="AI13" s="2">
        <v>122.14832800000001</v>
      </c>
      <c r="AJ13" s="2">
        <v>22.578190000000003</v>
      </c>
      <c r="AK13" s="2">
        <v>28.930213999999999</v>
      </c>
      <c r="AL13" s="2">
        <v>8.2999999999999998E-5</v>
      </c>
      <c r="AM13" s="2">
        <v>121.308269</v>
      </c>
      <c r="AN13" s="2">
        <v>5.1912539999999998</v>
      </c>
      <c r="AO13" s="2">
        <v>1.0716729999999999</v>
      </c>
      <c r="AP13" s="2">
        <v>1.3521E-2</v>
      </c>
      <c r="AQ13" s="2">
        <v>0.15712599999999999</v>
      </c>
      <c r="AR13" s="2">
        <v>1.559612</v>
      </c>
      <c r="AS13" s="2">
        <v>1268.7657409999999</v>
      </c>
      <c r="AT13" s="2">
        <v>0</v>
      </c>
      <c r="AU13" s="2">
        <v>0</v>
      </c>
      <c r="AV13" s="2">
        <v>11.089326</v>
      </c>
      <c r="AW13" s="2">
        <v>5.3497240000000001</v>
      </c>
      <c r="AX13" s="2">
        <v>38.296714000000001</v>
      </c>
      <c r="AY13" s="2">
        <v>5.6026950000000006</v>
      </c>
      <c r="AZ13" s="2">
        <v>6.6198610000000002</v>
      </c>
      <c r="BA13" s="2">
        <v>46.092257999999994</v>
      </c>
      <c r="BB13" s="2">
        <v>159.59250299999999</v>
      </c>
      <c r="BC13" s="2"/>
      <c r="BD13" s="28">
        <f t="shared" ref="BD13:BD31" si="1">SUM(B13:BB13)</f>
        <v>10079.456648999996</v>
      </c>
      <c r="BE13" s="2">
        <f t="shared" si="0"/>
        <v>10.079456648999995</v>
      </c>
    </row>
    <row r="14" spans="1:57">
      <c r="A14" s="7">
        <v>2003</v>
      </c>
      <c r="B14" s="2">
        <v>5126.3933660000002</v>
      </c>
      <c r="C14" s="2">
        <v>4506.2009099999996</v>
      </c>
      <c r="D14" s="2">
        <v>0.682952</v>
      </c>
      <c r="E14" s="2">
        <v>14.221041</v>
      </c>
      <c r="F14" s="2">
        <v>0.95099500000000003</v>
      </c>
      <c r="G14" s="2">
        <v>1.734586</v>
      </c>
      <c r="H14" s="2">
        <v>36.757705999999999</v>
      </c>
      <c r="I14" s="2">
        <v>3.5300000000000002E-4</v>
      </c>
      <c r="J14" s="2">
        <v>115.222488</v>
      </c>
      <c r="K14" s="2">
        <v>2.3125289999999996</v>
      </c>
      <c r="L14" s="2">
        <v>2.8378239999999999</v>
      </c>
      <c r="M14" s="2">
        <v>6.4000000000000005E-4</v>
      </c>
      <c r="N14" s="2">
        <v>814.65869199999997</v>
      </c>
      <c r="O14" s="2">
        <v>26.241575999999998</v>
      </c>
      <c r="P14" s="2">
        <v>0.14869199999999999</v>
      </c>
      <c r="Q14" s="2">
        <v>152.82099199999999</v>
      </c>
      <c r="R14" s="2">
        <v>411.88653200000005</v>
      </c>
      <c r="S14" s="2">
        <v>4.64E-4</v>
      </c>
      <c r="T14" s="2">
        <v>4.7380589999999998</v>
      </c>
      <c r="U14" s="2">
        <v>1441.8214129999999</v>
      </c>
      <c r="V14" s="2">
        <v>300.60334</v>
      </c>
      <c r="W14" s="2">
        <v>1.5487649999999999</v>
      </c>
      <c r="X14" s="2">
        <v>10.451920999999999</v>
      </c>
      <c r="Y14" s="2">
        <v>0</v>
      </c>
      <c r="Z14" s="2">
        <v>8.7357019999999999</v>
      </c>
      <c r="AA14" s="2">
        <v>1.0300000000000001E-3</v>
      </c>
      <c r="AB14" s="2">
        <v>41.954580999999997</v>
      </c>
      <c r="AC14" s="2">
        <v>40.946314999999998</v>
      </c>
      <c r="AD14" s="2">
        <v>6.9560300000000002</v>
      </c>
      <c r="AE14" s="2">
        <v>8.797000000000001E-3</v>
      </c>
      <c r="AF14" s="2">
        <v>28.390044</v>
      </c>
      <c r="AG14" s="2">
        <v>7.7072010000000004</v>
      </c>
      <c r="AH14" s="2">
        <v>3.1260029999999999</v>
      </c>
      <c r="AI14" s="2">
        <v>160.971507</v>
      </c>
      <c r="AJ14" s="2">
        <v>26.591792999999999</v>
      </c>
      <c r="AK14" s="2">
        <v>36.951144999999997</v>
      </c>
      <c r="AL14" s="2">
        <v>1.0000000000000002E-6</v>
      </c>
      <c r="AM14" s="2">
        <v>71.658792000000005</v>
      </c>
      <c r="AN14" s="2">
        <v>7.1169400000000005</v>
      </c>
      <c r="AO14" s="2">
        <v>6.2826330000000006</v>
      </c>
      <c r="AP14" s="2">
        <v>3.3083000000000001E-2</v>
      </c>
      <c r="AQ14" s="2">
        <v>9.6000000000000002E-5</v>
      </c>
      <c r="AR14" s="2">
        <v>6.6243059999999998</v>
      </c>
      <c r="AS14" s="2">
        <v>1839.9932249999999</v>
      </c>
      <c r="AT14" s="2">
        <v>0</v>
      </c>
      <c r="AU14" s="2">
        <v>0</v>
      </c>
      <c r="AV14" s="2">
        <v>14.533067000000001</v>
      </c>
      <c r="AW14" s="2">
        <v>22.113599000000001</v>
      </c>
      <c r="AX14" s="2">
        <v>17.044964</v>
      </c>
      <c r="AY14" s="2">
        <v>3.5033260000000004</v>
      </c>
      <c r="AZ14" s="2">
        <v>27.567110999999997</v>
      </c>
      <c r="BA14" s="2">
        <v>47.881549</v>
      </c>
      <c r="BB14" s="2">
        <v>167.08017000000001</v>
      </c>
      <c r="BC14" s="2"/>
      <c r="BD14" s="28">
        <f t="shared" si="1"/>
        <v>15566.008846000001</v>
      </c>
      <c r="BE14" s="2">
        <f t="shared" si="0"/>
        <v>15.566008846000001</v>
      </c>
    </row>
    <row r="15" spans="1:57">
      <c r="A15" s="7">
        <v>2004</v>
      </c>
      <c r="B15" s="2">
        <v>7926.4878650000001</v>
      </c>
      <c r="C15" s="2">
        <v>4796.7999749999999</v>
      </c>
      <c r="D15" s="2">
        <v>1.6372979999999999</v>
      </c>
      <c r="E15" s="2">
        <v>74.230525</v>
      </c>
      <c r="F15" s="2">
        <v>0.61153800000000003</v>
      </c>
      <c r="G15" s="2">
        <v>0.318687</v>
      </c>
      <c r="H15" s="2">
        <v>108.454807</v>
      </c>
      <c r="I15" s="2">
        <v>0</v>
      </c>
      <c r="J15" s="2">
        <v>148.905979</v>
      </c>
      <c r="K15" s="2">
        <v>6.2452999999999994</v>
      </c>
      <c r="L15" s="2">
        <v>222.585779</v>
      </c>
      <c r="M15" s="2">
        <v>0</v>
      </c>
      <c r="N15" s="2">
        <v>1569.0609790000001</v>
      </c>
      <c r="O15" s="2">
        <v>99.584852999999995</v>
      </c>
      <c r="P15" s="2">
        <v>0.51433399999999996</v>
      </c>
      <c r="Q15" s="2">
        <v>187.93572799999998</v>
      </c>
      <c r="R15" s="2">
        <v>996.649809</v>
      </c>
      <c r="S15" s="2">
        <v>0.51053999999999999</v>
      </c>
      <c r="T15" s="2">
        <v>14.386456000000001</v>
      </c>
      <c r="U15" s="2">
        <v>1705.876565</v>
      </c>
      <c r="V15" s="2">
        <v>400.28579399999995</v>
      </c>
      <c r="W15" s="2">
        <v>0.12430500000000001</v>
      </c>
      <c r="X15" s="2">
        <v>14.794646999999999</v>
      </c>
      <c r="Y15" s="2">
        <v>2.9251000000000003E-2</v>
      </c>
      <c r="Z15" s="2">
        <v>16.969228999999999</v>
      </c>
      <c r="AA15" s="2">
        <v>5.4699999999999996E-4</v>
      </c>
      <c r="AB15" s="2">
        <v>16.519461</v>
      </c>
      <c r="AC15" s="2">
        <v>416.75816800000001</v>
      </c>
      <c r="AD15" s="2">
        <v>14.081299</v>
      </c>
      <c r="AE15" s="2">
        <v>4.4545000000000001E-2</v>
      </c>
      <c r="AF15" s="2">
        <v>106.75491500000001</v>
      </c>
      <c r="AG15" s="2">
        <v>50.399327</v>
      </c>
      <c r="AH15" s="2">
        <v>6.6542820000000003</v>
      </c>
      <c r="AI15" s="2">
        <v>214.0821</v>
      </c>
      <c r="AJ15" s="2">
        <v>44.286107999999999</v>
      </c>
      <c r="AK15" s="2">
        <v>46.576322000000005</v>
      </c>
      <c r="AL15" s="2">
        <v>1.1576000000000001E-2</v>
      </c>
      <c r="AM15" s="2">
        <v>463.216342</v>
      </c>
      <c r="AN15" s="2">
        <v>16.026199000000002</v>
      </c>
      <c r="AO15" s="2">
        <v>3.9410799999999995</v>
      </c>
      <c r="AP15" s="2">
        <v>2.7784E-2</v>
      </c>
      <c r="AQ15" s="2">
        <v>1.603283</v>
      </c>
      <c r="AR15" s="2">
        <v>7.8112110000000001</v>
      </c>
      <c r="AS15" s="2">
        <v>2960.2034270000004</v>
      </c>
      <c r="AT15" s="2">
        <v>0</v>
      </c>
      <c r="AU15" s="2">
        <v>0</v>
      </c>
      <c r="AV15" s="2">
        <v>14.632978</v>
      </c>
      <c r="AW15" s="2">
        <v>46.471917000000005</v>
      </c>
      <c r="AX15" s="2">
        <v>34.131276</v>
      </c>
      <c r="AY15" s="2">
        <v>11.641230999999999</v>
      </c>
      <c r="AZ15" s="2">
        <v>68.26908499999999</v>
      </c>
      <c r="BA15" s="2">
        <v>171.10489100000001</v>
      </c>
      <c r="BB15" s="2">
        <v>141.17812900000001</v>
      </c>
      <c r="BC15" s="2"/>
      <c r="BD15" s="28">
        <f t="shared" si="1"/>
        <v>23149.427726000005</v>
      </c>
      <c r="BE15" s="2">
        <f t="shared" si="0"/>
        <v>23.149427726000006</v>
      </c>
    </row>
    <row r="16" spans="1:57">
      <c r="A16" s="7">
        <v>2005</v>
      </c>
      <c r="B16" s="2">
        <v>10834.884758999999</v>
      </c>
      <c r="C16" s="2">
        <v>8846.5052590000014</v>
      </c>
      <c r="D16" s="2">
        <v>0.57274199999999997</v>
      </c>
      <c r="E16" s="2">
        <v>179.67443799999998</v>
      </c>
      <c r="F16" s="2">
        <v>2.162331</v>
      </c>
      <c r="G16" s="2">
        <v>0.32708200000000004</v>
      </c>
      <c r="H16" s="2">
        <v>85.085257999999996</v>
      </c>
      <c r="I16" s="2">
        <v>0</v>
      </c>
      <c r="J16" s="2">
        <v>66.753332</v>
      </c>
      <c r="K16" s="2">
        <v>8.9903759999999995</v>
      </c>
      <c r="L16" s="2">
        <v>191.08337499999999</v>
      </c>
      <c r="M16" s="2">
        <v>5.8299999999999997E-4</v>
      </c>
      <c r="N16" s="2">
        <v>2278.0298970000003</v>
      </c>
      <c r="O16" s="2">
        <v>175.77199199999998</v>
      </c>
      <c r="P16" s="2">
        <v>0.5360649999999999</v>
      </c>
      <c r="Q16" s="2">
        <v>211.135885</v>
      </c>
      <c r="R16" s="2">
        <v>1437.8339739999999</v>
      </c>
      <c r="S16" s="2">
        <v>0.40840800000000005</v>
      </c>
      <c r="T16" s="2">
        <v>85.708980000000011</v>
      </c>
      <c r="U16" s="2">
        <v>2614.461953</v>
      </c>
      <c r="V16" s="2">
        <v>351.67800799999998</v>
      </c>
      <c r="W16" s="2">
        <v>0.170378</v>
      </c>
      <c r="X16" s="2">
        <v>3.0020540000000002</v>
      </c>
      <c r="Y16" s="2">
        <v>0</v>
      </c>
      <c r="Z16" s="2">
        <v>17.652134</v>
      </c>
      <c r="AA16" s="2">
        <v>0.33085100000000001</v>
      </c>
      <c r="AB16" s="2">
        <v>14.170059</v>
      </c>
      <c r="AC16" s="2">
        <v>941.71884699999998</v>
      </c>
      <c r="AD16" s="2">
        <v>13.997353</v>
      </c>
      <c r="AE16" s="2">
        <v>2.0677289999999999</v>
      </c>
      <c r="AF16" s="2">
        <v>79.250222999999991</v>
      </c>
      <c r="AG16" s="2">
        <v>4.0574970000000006</v>
      </c>
      <c r="AH16" s="2">
        <v>8.2773819999999994</v>
      </c>
      <c r="AI16" s="2">
        <v>277.448396</v>
      </c>
      <c r="AJ16" s="2">
        <v>73.527324000000007</v>
      </c>
      <c r="AK16" s="2">
        <v>76.388556999999992</v>
      </c>
      <c r="AL16" s="2">
        <v>6.4999999999999997E-4</v>
      </c>
      <c r="AM16" s="2">
        <v>526.87925800000005</v>
      </c>
      <c r="AN16" s="2">
        <v>11.532033999999999</v>
      </c>
      <c r="AO16" s="2">
        <v>7.879753</v>
      </c>
      <c r="AP16" s="2">
        <v>9.776E-3</v>
      </c>
      <c r="AQ16" s="2">
        <v>1.360541</v>
      </c>
      <c r="AR16" s="2">
        <v>3.0743119999999999</v>
      </c>
      <c r="AS16" s="2">
        <v>3443.0519080000004</v>
      </c>
      <c r="AT16" s="2">
        <v>0</v>
      </c>
      <c r="AU16" s="2">
        <v>0</v>
      </c>
      <c r="AV16" s="2">
        <v>23.180994999999999</v>
      </c>
      <c r="AW16" s="2">
        <v>31.873717000000003</v>
      </c>
      <c r="AX16" s="2">
        <v>44.087778999999998</v>
      </c>
      <c r="AY16" s="2">
        <v>20.001905000000001</v>
      </c>
      <c r="AZ16" s="2">
        <v>170.71767700000001</v>
      </c>
      <c r="BA16" s="2">
        <v>252.062365</v>
      </c>
      <c r="BB16" s="2">
        <v>157.91782700000002</v>
      </c>
      <c r="BC16" s="2"/>
      <c r="BD16" s="28">
        <f t="shared" si="1"/>
        <v>33577.293977999994</v>
      </c>
      <c r="BE16" s="2">
        <f t="shared" si="0"/>
        <v>33.577293977999993</v>
      </c>
    </row>
    <row r="17" spans="1:57">
      <c r="A17" s="7">
        <v>2006</v>
      </c>
      <c r="B17" s="2">
        <v>16088.929738000001</v>
      </c>
      <c r="C17" s="2">
        <v>12174.574006000001</v>
      </c>
      <c r="D17" s="2">
        <v>0.63347500000000001</v>
      </c>
      <c r="E17" s="2">
        <v>253.60982900000002</v>
      </c>
      <c r="F17" s="2">
        <v>1.0554600000000001</v>
      </c>
      <c r="G17" s="2">
        <v>1.7463949999999999</v>
      </c>
      <c r="H17" s="2">
        <v>125.48850899999999</v>
      </c>
      <c r="I17" s="2">
        <v>3.4400000000000001E-4</v>
      </c>
      <c r="J17" s="2">
        <v>199.662643</v>
      </c>
      <c r="K17" s="2">
        <v>8.6088760000000004</v>
      </c>
      <c r="L17" s="2">
        <v>260.31300800000002</v>
      </c>
      <c r="M17" s="2">
        <v>6.8300000000000001E-4</v>
      </c>
      <c r="N17" s="2">
        <v>2791.64167</v>
      </c>
      <c r="O17" s="2">
        <v>368.55011100000002</v>
      </c>
      <c r="P17" s="2">
        <v>0.383907</v>
      </c>
      <c r="Q17" s="2">
        <v>216.76881600000002</v>
      </c>
      <c r="R17" s="2">
        <v>2537.5916639999996</v>
      </c>
      <c r="S17" s="2">
        <v>0.70811400000000002</v>
      </c>
      <c r="T17" s="2">
        <v>131.823476</v>
      </c>
      <c r="U17" s="2">
        <v>1943.4817209999999</v>
      </c>
      <c r="V17" s="2">
        <v>816.76081199999999</v>
      </c>
      <c r="W17" s="2">
        <v>0.445849</v>
      </c>
      <c r="X17" s="2">
        <v>12.281279000000001</v>
      </c>
      <c r="Y17" s="2">
        <v>6.4000000000000011E-5</v>
      </c>
      <c r="Z17" s="2">
        <v>24.415592999999998</v>
      </c>
      <c r="AA17" s="2">
        <v>1.2803280000000001</v>
      </c>
      <c r="AB17" s="2">
        <v>1.9280840000000001</v>
      </c>
      <c r="AC17" s="2">
        <v>1693.945966</v>
      </c>
      <c r="AD17" s="2">
        <v>23.810034000000002</v>
      </c>
      <c r="AE17" s="2">
        <v>0.98593300000000006</v>
      </c>
      <c r="AF17" s="2">
        <v>114.239749</v>
      </c>
      <c r="AG17" s="2">
        <v>402.01619599999998</v>
      </c>
      <c r="AH17" s="2">
        <v>7.326333</v>
      </c>
      <c r="AI17" s="2">
        <v>359.40634</v>
      </c>
      <c r="AJ17" s="2">
        <v>79.772227999999998</v>
      </c>
      <c r="AK17" s="2">
        <v>121.857253</v>
      </c>
      <c r="AL17" s="2">
        <v>0.92709599999999992</v>
      </c>
      <c r="AM17" s="2">
        <v>277.74727899999999</v>
      </c>
      <c r="AN17" s="2">
        <v>21.887574999999998</v>
      </c>
      <c r="AO17" s="2">
        <v>9.3605579999999993</v>
      </c>
      <c r="AP17" s="2">
        <v>0.59799600000000008</v>
      </c>
      <c r="AQ17" s="2">
        <v>0.97899399999999992</v>
      </c>
      <c r="AR17" s="2">
        <v>3.0648360000000001</v>
      </c>
      <c r="AS17" s="2">
        <v>4085.3580569999995</v>
      </c>
      <c r="AT17" s="2">
        <v>0</v>
      </c>
      <c r="AU17" s="2">
        <v>0</v>
      </c>
      <c r="AV17" s="2">
        <v>24.822265999999999</v>
      </c>
      <c r="AW17" s="2">
        <v>21.598694000000002</v>
      </c>
      <c r="AX17" s="2">
        <v>50.532891000000006</v>
      </c>
      <c r="AY17" s="2">
        <v>17.784982000000003</v>
      </c>
      <c r="AZ17" s="2">
        <v>152.67810800000001</v>
      </c>
      <c r="BA17" s="2">
        <v>270.35633300000001</v>
      </c>
      <c r="BB17" s="2">
        <v>139.093424</v>
      </c>
      <c r="BC17" s="2"/>
      <c r="BD17" s="28">
        <f t="shared" si="1"/>
        <v>45842.833574999997</v>
      </c>
      <c r="BE17" s="2">
        <f t="shared" si="0"/>
        <v>45.842833575</v>
      </c>
    </row>
    <row r="18" spans="1:57">
      <c r="A18" s="7">
        <v>2007</v>
      </c>
      <c r="B18" s="2">
        <v>18431.957977999999</v>
      </c>
      <c r="C18" s="2">
        <v>12925.965219</v>
      </c>
      <c r="D18" s="2">
        <v>5.12094</v>
      </c>
      <c r="E18" s="2">
        <v>188.83818099999999</v>
      </c>
      <c r="F18" s="2">
        <v>1.517733</v>
      </c>
      <c r="G18" s="2">
        <v>0.67362599999999995</v>
      </c>
      <c r="H18" s="2">
        <v>40.636513000000001</v>
      </c>
      <c r="I18" s="2">
        <v>4.9999999999999996E-5</v>
      </c>
      <c r="J18" s="2">
        <v>160.01756900000001</v>
      </c>
      <c r="K18" s="2">
        <v>6.611853</v>
      </c>
      <c r="L18" s="2">
        <v>84.069390999999996</v>
      </c>
      <c r="M18" s="2">
        <v>1.7730000000000001E-3</v>
      </c>
      <c r="N18" s="2">
        <v>2836.6961119999996</v>
      </c>
      <c r="O18" s="2">
        <v>460.17598799999996</v>
      </c>
      <c r="P18" s="2">
        <v>1.6394919999999999</v>
      </c>
      <c r="Q18" s="2">
        <v>239.73933299999999</v>
      </c>
      <c r="R18" s="2">
        <v>1697.2833460000002</v>
      </c>
      <c r="S18" s="2">
        <v>2.5186800000000003</v>
      </c>
      <c r="T18" s="2">
        <v>87.130421999999996</v>
      </c>
      <c r="U18" s="2">
        <v>4171.239208</v>
      </c>
      <c r="V18" s="2">
        <v>1095.733303</v>
      </c>
      <c r="W18" s="2">
        <v>8.6882609999999989</v>
      </c>
      <c r="X18" s="2">
        <v>92.356842999999998</v>
      </c>
      <c r="Y18" s="2">
        <v>0.17299399999999998</v>
      </c>
      <c r="Z18" s="2">
        <v>28.111587</v>
      </c>
      <c r="AA18" s="2">
        <v>1.24366</v>
      </c>
      <c r="AB18" s="2">
        <v>3.2772489999999999</v>
      </c>
      <c r="AC18" s="2">
        <v>1547.495236</v>
      </c>
      <c r="AD18" s="2">
        <v>29.662011</v>
      </c>
      <c r="AE18" s="2">
        <v>0.75894700000000004</v>
      </c>
      <c r="AF18" s="2">
        <v>35.895378000000001</v>
      </c>
      <c r="AG18" s="2">
        <v>569.38082700000007</v>
      </c>
      <c r="AH18" s="2">
        <v>5.0249540000000001</v>
      </c>
      <c r="AI18" s="2">
        <v>423.89183800000001</v>
      </c>
      <c r="AJ18" s="2">
        <v>124.248069</v>
      </c>
      <c r="AK18" s="2">
        <v>157.65860000000001</v>
      </c>
      <c r="AL18" s="2">
        <v>4.5163000000000002E-2</v>
      </c>
      <c r="AM18" s="2">
        <v>537.08032100000003</v>
      </c>
      <c r="AN18" s="2">
        <v>23.634315999999998</v>
      </c>
      <c r="AO18" s="2">
        <v>22.530569</v>
      </c>
      <c r="AP18" s="2">
        <v>4.4601950000000006</v>
      </c>
      <c r="AQ18" s="2">
        <v>5.7054260000000001</v>
      </c>
      <c r="AR18" s="2">
        <v>1.72279</v>
      </c>
      <c r="AS18" s="2">
        <v>6618.094263</v>
      </c>
      <c r="AT18" s="2">
        <v>0</v>
      </c>
      <c r="AU18" s="2">
        <v>0</v>
      </c>
      <c r="AV18" s="2">
        <v>19.332267000000002</v>
      </c>
      <c r="AW18" s="2">
        <v>26.104611999999999</v>
      </c>
      <c r="AX18" s="2">
        <v>30.318413999999997</v>
      </c>
      <c r="AY18" s="2">
        <v>19.898323999999999</v>
      </c>
      <c r="AZ18" s="2">
        <v>203.599842</v>
      </c>
      <c r="BA18" s="2">
        <v>394.86219299999999</v>
      </c>
      <c r="BB18" s="2">
        <v>142.76929699999999</v>
      </c>
      <c r="BC18" s="2"/>
      <c r="BD18" s="28">
        <f t="shared" si="1"/>
        <v>53515.591156000039</v>
      </c>
      <c r="BE18" s="2">
        <f t="shared" si="0"/>
        <v>53.515591156000042</v>
      </c>
    </row>
    <row r="19" spans="1:57">
      <c r="A19" s="7">
        <v>2008</v>
      </c>
      <c r="B19" s="2">
        <v>20032.288951999999</v>
      </c>
      <c r="C19" s="2">
        <v>19497.727584</v>
      </c>
      <c r="D19" s="2">
        <v>32.832684999999998</v>
      </c>
      <c r="E19" s="2">
        <v>219.71338100000003</v>
      </c>
      <c r="F19" s="2">
        <v>0.63435900000000001</v>
      </c>
      <c r="G19" s="2">
        <v>0.121419</v>
      </c>
      <c r="H19" s="2">
        <v>70.580412999999993</v>
      </c>
      <c r="I19" s="2">
        <v>0</v>
      </c>
      <c r="J19" s="2">
        <v>479.19063699999998</v>
      </c>
      <c r="K19" s="2">
        <v>21.438597000000001</v>
      </c>
      <c r="L19" s="2">
        <v>41.604208</v>
      </c>
      <c r="M19" s="2">
        <v>0</v>
      </c>
      <c r="N19" s="2">
        <v>3731.7014099999997</v>
      </c>
      <c r="O19" s="2">
        <v>1583.860124</v>
      </c>
      <c r="P19" s="2">
        <v>1.7915489999999998</v>
      </c>
      <c r="Q19" s="2">
        <v>428.93910299999999</v>
      </c>
      <c r="R19" s="2">
        <v>2267.8718819999999</v>
      </c>
      <c r="S19" s="2">
        <v>2.4738509999999998</v>
      </c>
      <c r="T19" s="2">
        <v>81.656178999999995</v>
      </c>
      <c r="U19" s="2">
        <v>6325.8894620000001</v>
      </c>
      <c r="V19" s="2">
        <v>1792.6127510000001</v>
      </c>
      <c r="W19" s="2">
        <v>3.1641650000000001</v>
      </c>
      <c r="X19" s="2">
        <v>25.302690999999999</v>
      </c>
      <c r="Y19" s="2">
        <v>1.2425619999999999</v>
      </c>
      <c r="Z19" s="2">
        <v>34.722717000000003</v>
      </c>
      <c r="AA19" s="2">
        <v>1.697862</v>
      </c>
      <c r="AB19" s="2">
        <v>5.9356989999999996</v>
      </c>
      <c r="AC19" s="2">
        <v>2588.9933329999999</v>
      </c>
      <c r="AD19" s="2">
        <v>65.171536000000003</v>
      </c>
      <c r="AE19" s="2">
        <v>8.1113239999999998</v>
      </c>
      <c r="AF19" s="2">
        <v>62.951572999999996</v>
      </c>
      <c r="AG19" s="2">
        <v>1044.13841</v>
      </c>
      <c r="AH19" s="2">
        <v>5.705495</v>
      </c>
      <c r="AI19" s="2">
        <v>461.05883600000004</v>
      </c>
      <c r="AJ19" s="2">
        <v>125.88237399999998</v>
      </c>
      <c r="AK19" s="2">
        <v>282.17809500000004</v>
      </c>
      <c r="AL19" s="2">
        <v>6.7877000000000007E-2</v>
      </c>
      <c r="AM19" s="2">
        <v>508.38098099999996</v>
      </c>
      <c r="AN19" s="2">
        <v>29.578975</v>
      </c>
      <c r="AO19" s="2">
        <v>4.9699559999999998</v>
      </c>
      <c r="AP19" s="2">
        <v>3.6840190000000002</v>
      </c>
      <c r="AQ19" s="2">
        <v>5.3166079999999996</v>
      </c>
      <c r="AR19" s="2">
        <v>0.18856799999999999</v>
      </c>
      <c r="AS19" s="2">
        <v>9234.9729540000008</v>
      </c>
      <c r="AT19" s="2">
        <v>0</v>
      </c>
      <c r="AU19" s="2">
        <v>0</v>
      </c>
      <c r="AV19" s="2">
        <v>11.279707999999999</v>
      </c>
      <c r="AW19" s="2">
        <v>30.899652</v>
      </c>
      <c r="AX19" s="2">
        <v>90.308470999999997</v>
      </c>
      <c r="AY19" s="2">
        <v>17.060338999999999</v>
      </c>
      <c r="AZ19" s="2">
        <v>131.588471</v>
      </c>
      <c r="BA19" s="2">
        <v>522.49795600000004</v>
      </c>
      <c r="BB19" s="2">
        <v>148.21384400000002</v>
      </c>
      <c r="BC19" s="2"/>
      <c r="BD19" s="28">
        <f t="shared" si="1"/>
        <v>72068.19359699999</v>
      </c>
      <c r="BE19" s="2">
        <f t="shared" si="0"/>
        <v>72.06819359699999</v>
      </c>
    </row>
    <row r="20" spans="1:57">
      <c r="A20" s="7">
        <v>2009</v>
      </c>
      <c r="B20" s="2">
        <v>11150.475831</v>
      </c>
      <c r="C20" s="2">
        <v>9703.0609170000007</v>
      </c>
      <c r="D20" s="2">
        <v>0.474194</v>
      </c>
      <c r="E20" s="2">
        <v>132.73753599999998</v>
      </c>
      <c r="F20" s="2">
        <v>2.2330769999999998</v>
      </c>
      <c r="G20" s="2">
        <v>0.96907700000000008</v>
      </c>
      <c r="H20" s="2">
        <v>62.760509000000006</v>
      </c>
      <c r="I20" s="2">
        <v>1.93E-4</v>
      </c>
      <c r="J20" s="2">
        <v>397.66776399999998</v>
      </c>
      <c r="K20" s="2">
        <v>14.645378000000001</v>
      </c>
      <c r="L20" s="2">
        <v>65.367343999999989</v>
      </c>
      <c r="M20" s="2">
        <v>2.496E-3</v>
      </c>
      <c r="N20" s="2">
        <v>1738.8122519999999</v>
      </c>
      <c r="O20" s="2">
        <v>1136.4476119999999</v>
      </c>
      <c r="P20" s="2">
        <v>0.10957799999999999</v>
      </c>
      <c r="Q20" s="2">
        <v>752.542778</v>
      </c>
      <c r="R20" s="2">
        <v>1055.071473</v>
      </c>
      <c r="S20" s="2">
        <v>0.422234</v>
      </c>
      <c r="T20" s="2">
        <v>214.75555900000001</v>
      </c>
      <c r="U20" s="2">
        <v>4684.8219130000007</v>
      </c>
      <c r="V20" s="2">
        <v>713.88611000000003</v>
      </c>
      <c r="W20" s="2">
        <v>6.6395050000000007</v>
      </c>
      <c r="X20" s="2">
        <v>6.2395590000000007</v>
      </c>
      <c r="Y20" s="2">
        <v>1.6171829999999998</v>
      </c>
      <c r="Z20" s="2">
        <v>29.661843000000001</v>
      </c>
      <c r="AA20" s="2">
        <v>1.682823</v>
      </c>
      <c r="AB20" s="2">
        <v>3.959133</v>
      </c>
      <c r="AC20" s="2">
        <v>3173.884051</v>
      </c>
      <c r="AD20" s="2">
        <v>54.821973</v>
      </c>
      <c r="AE20" s="2">
        <v>16.989941999999999</v>
      </c>
      <c r="AF20" s="2">
        <v>37.048735999999998</v>
      </c>
      <c r="AG20" s="2">
        <v>853.928225</v>
      </c>
      <c r="AH20" s="2">
        <v>6.0256850000000002</v>
      </c>
      <c r="AI20" s="2">
        <v>375.01370200000002</v>
      </c>
      <c r="AJ20" s="2">
        <v>177.55436899999998</v>
      </c>
      <c r="AK20" s="2">
        <v>312.38101799999998</v>
      </c>
      <c r="AL20" s="2">
        <v>4.8016999999999997E-2</v>
      </c>
      <c r="AM20" s="2">
        <v>896.52583300000003</v>
      </c>
      <c r="AN20" s="2">
        <v>25.698018999999999</v>
      </c>
      <c r="AO20" s="2">
        <v>41.975233000000003</v>
      </c>
      <c r="AP20" s="2">
        <v>3.1238000000000002E-2</v>
      </c>
      <c r="AQ20" s="2">
        <v>10.541270000000001</v>
      </c>
      <c r="AR20" s="2">
        <v>0.55022399999999994</v>
      </c>
      <c r="AS20" s="2">
        <v>8693.253032999999</v>
      </c>
      <c r="AT20" s="2">
        <v>0</v>
      </c>
      <c r="AU20" s="2">
        <v>0</v>
      </c>
      <c r="AV20" s="2">
        <v>15.107887999999999</v>
      </c>
      <c r="AW20" s="2">
        <v>36.372517000000002</v>
      </c>
      <c r="AX20" s="2">
        <v>107.52372800000001</v>
      </c>
      <c r="AY20" s="2">
        <v>20.103286000000001</v>
      </c>
      <c r="AZ20" s="2">
        <v>195.96835400000001</v>
      </c>
      <c r="BA20" s="2">
        <v>1272.4643349999999</v>
      </c>
      <c r="BB20" s="2">
        <v>140.84982200000002</v>
      </c>
      <c r="BC20" s="2"/>
      <c r="BD20" s="28">
        <f t="shared" si="1"/>
        <v>48341.724368999989</v>
      </c>
      <c r="BE20" s="2">
        <f t="shared" si="0"/>
        <v>48.341724368999991</v>
      </c>
    </row>
    <row r="21" spans="1:57">
      <c r="A21" s="7">
        <v>2010</v>
      </c>
      <c r="B21" s="2">
        <v>14943.690199000001</v>
      </c>
      <c r="C21" s="2">
        <v>12273.944969</v>
      </c>
      <c r="D21" s="2">
        <v>0.30118499999999998</v>
      </c>
      <c r="E21" s="2">
        <v>170.45607700000002</v>
      </c>
      <c r="F21" s="2">
        <v>2.4115569999999997</v>
      </c>
      <c r="G21" s="2">
        <v>3.458396</v>
      </c>
      <c r="H21" s="2">
        <v>110.52862500000001</v>
      </c>
      <c r="I21" s="2">
        <v>1.206E-2</v>
      </c>
      <c r="J21" s="2">
        <v>460.90357499999999</v>
      </c>
      <c r="K21" s="2">
        <v>25.164044999999998</v>
      </c>
      <c r="L21" s="2">
        <v>495.79704000000004</v>
      </c>
      <c r="M21" s="2">
        <v>2.4088999999999999E-2</v>
      </c>
      <c r="N21" s="2">
        <v>3122.3465329999999</v>
      </c>
      <c r="O21" s="2">
        <v>2505.7164269999998</v>
      </c>
      <c r="P21" s="2">
        <v>0.69079500000000005</v>
      </c>
      <c r="Q21" s="2">
        <v>917.93018999999993</v>
      </c>
      <c r="R21" s="2">
        <v>598.65702499999998</v>
      </c>
      <c r="S21" s="2">
        <v>1.0541210000000001</v>
      </c>
      <c r="T21" s="2">
        <v>273.97031100000004</v>
      </c>
      <c r="U21" s="2">
        <v>6671.9070159999992</v>
      </c>
      <c r="V21" s="2">
        <v>969.74422100000004</v>
      </c>
      <c r="W21" s="2">
        <v>14.998146999999999</v>
      </c>
      <c r="X21" s="2">
        <v>54.997397000000007</v>
      </c>
      <c r="Y21" s="2">
        <v>3.86287</v>
      </c>
      <c r="Z21" s="2">
        <v>39.207733000000005</v>
      </c>
      <c r="AA21" s="2">
        <v>4.5289320000000002</v>
      </c>
      <c r="AB21" s="2">
        <v>22.482685</v>
      </c>
      <c r="AC21" s="2">
        <v>4515.6148930000008</v>
      </c>
      <c r="AD21" s="2">
        <v>105.382497</v>
      </c>
      <c r="AE21" s="2">
        <v>31.475698000000005</v>
      </c>
      <c r="AF21" s="2">
        <v>70.410719999999998</v>
      </c>
      <c r="AG21" s="2">
        <v>967.03335000000004</v>
      </c>
      <c r="AH21" s="2">
        <v>10.099302</v>
      </c>
      <c r="AI21" s="2">
        <v>452.32198499999998</v>
      </c>
      <c r="AJ21" s="2">
        <v>201.077529</v>
      </c>
      <c r="AK21" s="2">
        <v>481.49547899999999</v>
      </c>
      <c r="AL21" s="2">
        <v>0.17064499999999999</v>
      </c>
      <c r="AM21" s="2">
        <v>1071.6223970000001</v>
      </c>
      <c r="AN21" s="2">
        <v>38.673596999999994</v>
      </c>
      <c r="AO21" s="2">
        <v>51.160113000000003</v>
      </c>
      <c r="AP21" s="2">
        <v>1.1280999999999999E-2</v>
      </c>
      <c r="AQ21" s="2">
        <v>10.770079000000001</v>
      </c>
      <c r="AR21" s="2">
        <v>1.6973019999999999</v>
      </c>
      <c r="AS21" s="2">
        <v>14896.422261</v>
      </c>
      <c r="AT21" s="2">
        <v>0</v>
      </c>
      <c r="AU21" s="2">
        <v>0</v>
      </c>
      <c r="AV21" s="2">
        <v>2.504232</v>
      </c>
      <c r="AW21" s="2">
        <v>61.619157999999999</v>
      </c>
      <c r="AX21" s="2">
        <v>124.90037599999999</v>
      </c>
      <c r="AY21" s="2">
        <v>26.567283</v>
      </c>
      <c r="AZ21" s="2">
        <v>406.94518299999999</v>
      </c>
      <c r="BA21" s="2">
        <v>2578.40733</v>
      </c>
      <c r="BB21" s="2">
        <v>246.058323</v>
      </c>
      <c r="BC21" s="2"/>
      <c r="BD21" s="28">
        <f t="shared" si="1"/>
        <v>70041.227233000027</v>
      </c>
      <c r="BE21" s="2">
        <f t="shared" si="0"/>
        <v>70.041227233000029</v>
      </c>
    </row>
    <row r="22" spans="1:57">
      <c r="A22" s="7">
        <v>2011</v>
      </c>
      <c r="B22" s="2">
        <v>14912.502639999999</v>
      </c>
      <c r="C22" s="2">
        <v>13833.01204</v>
      </c>
      <c r="D22" s="2">
        <v>2.018589</v>
      </c>
      <c r="E22" s="2">
        <v>294.17188100000004</v>
      </c>
      <c r="F22" s="2">
        <v>3.6540529999999998</v>
      </c>
      <c r="G22" s="2">
        <v>13.748216000000001</v>
      </c>
      <c r="H22" s="2">
        <v>162.103105</v>
      </c>
      <c r="I22" s="2">
        <v>1.2062000000000002E-2</v>
      </c>
      <c r="J22" s="2">
        <v>662.94923500000004</v>
      </c>
      <c r="K22" s="2">
        <v>28.137863999999997</v>
      </c>
      <c r="L22" s="2">
        <v>265.31891200000001</v>
      </c>
      <c r="M22" s="2">
        <v>6.8739999999999999E-3</v>
      </c>
      <c r="N22" s="2">
        <v>4672.2910860000002</v>
      </c>
      <c r="O22" s="2">
        <v>3161.987572</v>
      </c>
      <c r="P22" s="2">
        <v>0.17602300000000001</v>
      </c>
      <c r="Q22" s="2">
        <v>1518.3401759999999</v>
      </c>
      <c r="R22" s="2">
        <v>1672.9474399999999</v>
      </c>
      <c r="S22" s="2">
        <v>0.870583</v>
      </c>
      <c r="T22" s="2">
        <v>292.05910899999998</v>
      </c>
      <c r="U22" s="2">
        <v>9541.5335190000005</v>
      </c>
      <c r="V22" s="2">
        <v>577.97572400000001</v>
      </c>
      <c r="W22" s="2">
        <v>54.101423000000004</v>
      </c>
      <c r="X22" s="2">
        <v>15.567159</v>
      </c>
      <c r="Y22" s="2">
        <v>4.1126909999999999</v>
      </c>
      <c r="Z22" s="2">
        <v>59.690990999999997</v>
      </c>
      <c r="AA22" s="2">
        <v>7.4109259999999999</v>
      </c>
      <c r="AB22" s="2">
        <v>41.244693999999996</v>
      </c>
      <c r="AC22" s="2">
        <v>2063.5752830000001</v>
      </c>
      <c r="AD22" s="2">
        <v>103.38856</v>
      </c>
      <c r="AE22" s="2">
        <v>46.036472000000003</v>
      </c>
      <c r="AF22" s="2">
        <v>149.59471699999997</v>
      </c>
      <c r="AG22" s="2">
        <v>1517.0371250000001</v>
      </c>
      <c r="AH22" s="2">
        <v>9.686573000000001</v>
      </c>
      <c r="AI22" s="2">
        <v>475.62750299999999</v>
      </c>
      <c r="AJ22" s="2">
        <v>257.24119899999999</v>
      </c>
      <c r="AK22" s="2">
        <v>224.48118700000001</v>
      </c>
      <c r="AL22" s="2">
        <v>2.1051160000000002</v>
      </c>
      <c r="AM22" s="2">
        <v>1583.680065</v>
      </c>
      <c r="AN22" s="2">
        <v>78.129350000000002</v>
      </c>
      <c r="AO22" s="2">
        <v>68.708685000000003</v>
      </c>
      <c r="AP22" s="2">
        <v>0.321691</v>
      </c>
      <c r="AQ22" s="2">
        <v>28.002729000000002</v>
      </c>
      <c r="AR22" s="2">
        <v>5.796227</v>
      </c>
      <c r="AS22" s="2">
        <v>32095.190401000003</v>
      </c>
      <c r="AT22" s="2">
        <v>0</v>
      </c>
      <c r="AU22" s="2">
        <v>0</v>
      </c>
      <c r="AV22" s="2">
        <v>0.34379599999999999</v>
      </c>
      <c r="AW22" s="2">
        <v>76.598624000000001</v>
      </c>
      <c r="AX22" s="2">
        <v>219.46249800000001</v>
      </c>
      <c r="AY22" s="2">
        <v>40.249338999999999</v>
      </c>
      <c r="AZ22" s="2">
        <v>489.89690100000001</v>
      </c>
      <c r="BA22" s="2">
        <v>2775.9401659999999</v>
      </c>
      <c r="BB22" s="2">
        <v>464.054686</v>
      </c>
      <c r="BC22" s="2"/>
      <c r="BD22" s="28">
        <f t="shared" si="1"/>
        <v>94573.09348000001</v>
      </c>
      <c r="BE22" s="2">
        <f t="shared" si="0"/>
        <v>94.573093480000011</v>
      </c>
    </row>
    <row r="23" spans="1:57">
      <c r="A23" s="7">
        <v>2012</v>
      </c>
      <c r="B23" s="2">
        <v>10201.299947000001</v>
      </c>
      <c r="C23" s="2">
        <v>10030.26455</v>
      </c>
      <c r="D23" s="2">
        <v>2.7522310000000001</v>
      </c>
      <c r="E23" s="2">
        <v>221.682016</v>
      </c>
      <c r="F23" s="2">
        <v>2.3640879999999997</v>
      </c>
      <c r="G23" s="2">
        <v>10.677713000000001</v>
      </c>
      <c r="H23" s="2">
        <v>142.55557199999998</v>
      </c>
      <c r="I23" s="2">
        <v>1.1149999999999999E-3</v>
      </c>
      <c r="J23" s="2">
        <v>890.43177100000003</v>
      </c>
      <c r="K23" s="2">
        <v>48.619399000000001</v>
      </c>
      <c r="L23" s="2">
        <v>220.729086</v>
      </c>
      <c r="M23" s="2">
        <v>6.1809999999999999E-3</v>
      </c>
      <c r="N23" s="2">
        <v>4555.4073639999997</v>
      </c>
      <c r="O23" s="2">
        <v>3527.0951840000002</v>
      </c>
      <c r="P23" s="2">
        <v>0.61741499999999994</v>
      </c>
      <c r="Q23" s="2">
        <v>1320.7367240000001</v>
      </c>
      <c r="R23" s="2">
        <v>1822.8033330000001</v>
      </c>
      <c r="S23" s="2">
        <v>1.259387</v>
      </c>
      <c r="T23" s="2">
        <v>309.36554599999999</v>
      </c>
      <c r="U23" s="2">
        <v>0</v>
      </c>
      <c r="V23" s="2">
        <v>618.09416800000008</v>
      </c>
      <c r="W23" s="2">
        <v>84.712710999999999</v>
      </c>
      <c r="X23" s="2">
        <v>10.994622000000001</v>
      </c>
      <c r="Y23" s="2">
        <v>6.6334599999999995</v>
      </c>
      <c r="Z23" s="2">
        <v>52.407938999999999</v>
      </c>
      <c r="AA23" s="2">
        <v>5.4179029999999999</v>
      </c>
      <c r="AB23" s="2">
        <v>229.94536600000001</v>
      </c>
      <c r="AC23" s="2">
        <v>6375.9016700000002</v>
      </c>
      <c r="AD23" s="2">
        <v>114.44266399999999</v>
      </c>
      <c r="AE23" s="2">
        <v>47.503176000000003</v>
      </c>
      <c r="AF23" s="2">
        <v>331.68536399999999</v>
      </c>
      <c r="AG23" s="2">
        <v>1468.673986</v>
      </c>
      <c r="AH23" s="2">
        <v>10.713018</v>
      </c>
      <c r="AI23" s="2">
        <v>558.41593599999999</v>
      </c>
      <c r="AJ23" s="2">
        <v>403.32047900000003</v>
      </c>
      <c r="AK23" s="2">
        <v>241.26760200000001</v>
      </c>
      <c r="AL23" s="2">
        <v>37.163477999999998</v>
      </c>
      <c r="AM23" s="2">
        <v>1273.7930099999999</v>
      </c>
      <c r="AN23" s="2">
        <v>71.465453999999994</v>
      </c>
      <c r="AO23" s="2">
        <v>51.356315000000002</v>
      </c>
      <c r="AP23" s="2">
        <v>0.26271500000000003</v>
      </c>
      <c r="AQ23" s="2">
        <v>502.90923799999996</v>
      </c>
      <c r="AR23" s="2">
        <v>3.1039289999999999</v>
      </c>
      <c r="AS23" s="2">
        <v>44653.737209999999</v>
      </c>
      <c r="AT23" s="2">
        <v>499.46532100000002</v>
      </c>
      <c r="AU23" s="2">
        <v>1554.266756</v>
      </c>
      <c r="AV23" s="2">
        <v>100.38109100000001</v>
      </c>
      <c r="AW23" s="2">
        <v>84.811310000000006</v>
      </c>
      <c r="AX23" s="2">
        <v>176.976451</v>
      </c>
      <c r="AY23" s="2">
        <v>42.874600999999998</v>
      </c>
      <c r="AZ23" s="2">
        <v>379.281002</v>
      </c>
      <c r="BA23" s="2">
        <v>2686.5602950000002</v>
      </c>
      <c r="BB23" s="2">
        <v>584.42660100000001</v>
      </c>
      <c r="BC23" s="2"/>
      <c r="BD23" s="28">
        <f t="shared" si="1"/>
        <v>96571.633462999991</v>
      </c>
      <c r="BE23" s="2">
        <f t="shared" si="0"/>
        <v>96.571633462999998</v>
      </c>
    </row>
    <row r="24" spans="1:57">
      <c r="A24" s="7">
        <v>2013</v>
      </c>
      <c r="B24" s="2">
        <v>4960.4832029999998</v>
      </c>
      <c r="C24" s="2">
        <v>8922.8948609999989</v>
      </c>
      <c r="D24" s="2">
        <v>3.2209189999999999</v>
      </c>
      <c r="E24" s="2">
        <v>278.32266199999998</v>
      </c>
      <c r="F24" s="2">
        <v>6.218871</v>
      </c>
      <c r="G24" s="2">
        <v>9.306830999999999</v>
      </c>
      <c r="H24" s="2">
        <v>257.13304199999999</v>
      </c>
      <c r="I24" s="2">
        <v>1.6000000000000001E-4</v>
      </c>
      <c r="J24" s="2">
        <v>366.16854699999999</v>
      </c>
      <c r="K24" s="2">
        <v>40.649155999999998</v>
      </c>
      <c r="L24" s="2">
        <v>103.500226</v>
      </c>
      <c r="M24" s="2">
        <v>7.7950000000000007E-3</v>
      </c>
      <c r="N24" s="2">
        <v>5712.1906239999998</v>
      </c>
      <c r="O24" s="2">
        <v>2745.6551100000001</v>
      </c>
      <c r="P24" s="2">
        <v>0.273727</v>
      </c>
      <c r="Q24" s="2">
        <v>1851.6067599999999</v>
      </c>
      <c r="R24" s="2">
        <v>2469.91795</v>
      </c>
      <c r="S24" s="2">
        <v>50.934221999999998</v>
      </c>
      <c r="T24" s="2">
        <v>315.68754999999999</v>
      </c>
      <c r="U24" s="2">
        <v>0</v>
      </c>
      <c r="V24" s="2">
        <v>898.64350100000001</v>
      </c>
      <c r="W24" s="2">
        <v>77.977807999999996</v>
      </c>
      <c r="X24" s="2">
        <v>84.091701999999998</v>
      </c>
      <c r="Y24" s="2">
        <v>16.827742999999998</v>
      </c>
      <c r="Z24" s="2">
        <v>52.782890000000002</v>
      </c>
      <c r="AA24" s="2">
        <v>13.412649</v>
      </c>
      <c r="AB24" s="2">
        <v>164.41751499999998</v>
      </c>
      <c r="AC24" s="2">
        <v>2038.9280040000001</v>
      </c>
      <c r="AD24" s="2">
        <v>173.90631500000001</v>
      </c>
      <c r="AE24" s="2">
        <v>38.420984999999995</v>
      </c>
      <c r="AF24" s="2">
        <v>152.467771</v>
      </c>
      <c r="AG24" s="2">
        <v>1728.5216840000001</v>
      </c>
      <c r="AH24" s="2">
        <v>12.868086000000002</v>
      </c>
      <c r="AI24" s="2">
        <v>531.42814999999996</v>
      </c>
      <c r="AJ24" s="2">
        <v>454.87474500000002</v>
      </c>
      <c r="AK24" s="2">
        <v>257.700065</v>
      </c>
      <c r="AL24" s="2">
        <v>15.875364999999999</v>
      </c>
      <c r="AM24" s="2">
        <v>1546.6028799999999</v>
      </c>
      <c r="AN24" s="2">
        <v>108.449744</v>
      </c>
      <c r="AO24" s="2">
        <v>39.730170999999999</v>
      </c>
      <c r="AP24" s="2">
        <v>0.40184599999999998</v>
      </c>
      <c r="AQ24" s="2">
        <v>1452.659069</v>
      </c>
      <c r="AR24" s="2">
        <v>16.339552000000001</v>
      </c>
      <c r="AS24" s="2">
        <v>48388.425446000001</v>
      </c>
      <c r="AT24" s="2">
        <v>2468.3443689999999</v>
      </c>
      <c r="AU24" s="2">
        <v>2100.0231679999997</v>
      </c>
      <c r="AV24" s="2">
        <v>115.071552</v>
      </c>
      <c r="AW24" s="2">
        <v>117.94363300000001</v>
      </c>
      <c r="AX24" s="2">
        <v>176.72945899999999</v>
      </c>
      <c r="AY24" s="2">
        <v>71.925434999999993</v>
      </c>
      <c r="AZ24" s="2">
        <v>552.54824499999995</v>
      </c>
      <c r="BA24" s="2">
        <v>3047.8662330000002</v>
      </c>
      <c r="BB24" s="2">
        <v>687.83870400000001</v>
      </c>
      <c r="BC24" s="2"/>
      <c r="BD24" s="28">
        <f t="shared" si="1"/>
        <v>95698.216699999961</v>
      </c>
      <c r="BE24" s="2">
        <f t="shared" si="0"/>
        <v>95.698216699999961</v>
      </c>
    </row>
    <row r="25" spans="1:57">
      <c r="A25" s="7">
        <v>2014</v>
      </c>
      <c r="B25" s="2">
        <v>4794.5972660000007</v>
      </c>
      <c r="C25" s="2">
        <v>5837.7520180000001</v>
      </c>
      <c r="D25" s="2">
        <v>5.5340689999999997</v>
      </c>
      <c r="E25" s="2">
        <v>323.786091</v>
      </c>
      <c r="F25" s="2">
        <v>6.2943350000000002</v>
      </c>
      <c r="G25" s="2">
        <v>4.1430950000000006</v>
      </c>
      <c r="H25" s="2">
        <v>215.99830600000001</v>
      </c>
      <c r="I25" s="2">
        <v>3.0199999999999997E-3</v>
      </c>
      <c r="J25" s="2">
        <v>688.87683099999992</v>
      </c>
      <c r="K25" s="2">
        <v>29.2728</v>
      </c>
      <c r="L25" s="2">
        <v>108.34170999999999</v>
      </c>
      <c r="M25" s="2">
        <v>8.9500000000000014E-3</v>
      </c>
      <c r="N25" s="2">
        <v>5479.0179950000002</v>
      </c>
      <c r="O25" s="2">
        <v>2815.7421079999999</v>
      </c>
      <c r="P25" s="2">
        <v>1.684901</v>
      </c>
      <c r="Q25" s="2">
        <v>1159.329156</v>
      </c>
      <c r="R25" s="2">
        <v>3217.1902479999999</v>
      </c>
      <c r="S25" s="2">
        <v>322.73329000000001</v>
      </c>
      <c r="T25" s="2">
        <v>489.90460999999999</v>
      </c>
      <c r="U25" s="2">
        <v>0</v>
      </c>
      <c r="V25" s="2">
        <v>1607.5765730000001</v>
      </c>
      <c r="W25" s="2">
        <v>37.932265999999998</v>
      </c>
      <c r="X25" s="2">
        <v>41.344713999999996</v>
      </c>
      <c r="Y25" s="2">
        <v>49.956236000000004</v>
      </c>
      <c r="Z25" s="2">
        <v>77.033018999999996</v>
      </c>
      <c r="AA25" s="2">
        <v>12.080518999999999</v>
      </c>
      <c r="AB25" s="2">
        <v>288.43857299999996</v>
      </c>
      <c r="AC25" s="2">
        <v>726.37028699999996</v>
      </c>
      <c r="AD25" s="2">
        <v>118.095732</v>
      </c>
      <c r="AE25" s="2">
        <v>34.142956000000005</v>
      </c>
      <c r="AF25" s="2">
        <v>95.650517000000008</v>
      </c>
      <c r="AG25" s="2">
        <v>1170.5795210000001</v>
      </c>
      <c r="AH25" s="2">
        <v>14.051338999999999</v>
      </c>
      <c r="AI25" s="2">
        <v>517.91221099999996</v>
      </c>
      <c r="AJ25" s="2">
        <v>1649.8050779999999</v>
      </c>
      <c r="AK25" s="2">
        <v>317.34135700000002</v>
      </c>
      <c r="AL25" s="2">
        <v>79.07359799999999</v>
      </c>
      <c r="AM25" s="2">
        <v>2658.3548270000001</v>
      </c>
      <c r="AN25" s="2">
        <v>91.871609000000007</v>
      </c>
      <c r="AO25" s="2">
        <v>46.996061999999995</v>
      </c>
      <c r="AP25" s="2">
        <v>0.19665299999999999</v>
      </c>
      <c r="AQ25" s="2">
        <v>1683.1802380000001</v>
      </c>
      <c r="AR25" s="2">
        <v>29.824358</v>
      </c>
      <c r="AS25" s="2">
        <v>44571.243677999999</v>
      </c>
      <c r="AT25" s="2">
        <v>4329.2421020000002</v>
      </c>
      <c r="AU25" s="2">
        <v>1521.2833370000001</v>
      </c>
      <c r="AV25" s="2">
        <v>46.111006000000003</v>
      </c>
      <c r="AW25" s="2">
        <v>166.441462</v>
      </c>
      <c r="AX25" s="2">
        <v>210.367424</v>
      </c>
      <c r="AY25" s="2">
        <v>111.569259</v>
      </c>
      <c r="AZ25" s="2">
        <v>435.90817999999996</v>
      </c>
      <c r="BA25" s="2">
        <v>3071.3796459999999</v>
      </c>
      <c r="BB25" s="2">
        <v>836.63308999999992</v>
      </c>
      <c r="BC25" s="2"/>
      <c r="BD25" s="28">
        <f t="shared" si="1"/>
        <v>92148.198226000008</v>
      </c>
      <c r="BE25" s="2">
        <f t="shared" si="0"/>
        <v>92.148198226000005</v>
      </c>
    </row>
    <row r="26" spans="1:57" s="10" customFormat="1">
      <c r="A26" s="7">
        <v>2015</v>
      </c>
      <c r="B26" s="2">
        <v>3537.247687</v>
      </c>
      <c r="C26" s="2">
        <v>2917.0542949999999</v>
      </c>
      <c r="D26" s="2">
        <v>5.1113239999999998</v>
      </c>
      <c r="E26" s="2">
        <v>220.334339</v>
      </c>
      <c r="F26" s="2">
        <v>3.6437740000000001</v>
      </c>
      <c r="G26" s="2">
        <v>8.6826620000000005</v>
      </c>
      <c r="H26" s="2">
        <v>1061.613873</v>
      </c>
      <c r="I26" s="2">
        <v>2.2853270000000001</v>
      </c>
      <c r="J26" s="2">
        <v>142.88750400000001</v>
      </c>
      <c r="K26" s="2">
        <v>3.167198</v>
      </c>
      <c r="L26" s="2">
        <v>1359.8489050000001</v>
      </c>
      <c r="M26" s="2">
        <v>1.232469</v>
      </c>
      <c r="N26" s="2">
        <v>313.69166300000001</v>
      </c>
      <c r="O26" s="2">
        <v>156.395183</v>
      </c>
      <c r="P26" s="2">
        <v>35.617517999999997</v>
      </c>
      <c r="Q26" s="2">
        <v>1479.9211069999999</v>
      </c>
      <c r="R26" s="2">
        <v>174.78971899999999</v>
      </c>
      <c r="S26" s="2">
        <v>0.115179</v>
      </c>
      <c r="T26" s="2">
        <v>319.045615</v>
      </c>
      <c r="U26" s="2">
        <v>0</v>
      </c>
      <c r="V26" s="2">
        <v>353.02006399999999</v>
      </c>
      <c r="W26" s="2">
        <v>0.95663100000000001</v>
      </c>
      <c r="X26" s="2">
        <v>108.261286</v>
      </c>
      <c r="Y26" s="2">
        <v>5.2381999999999998E-2</v>
      </c>
      <c r="Z26" s="2">
        <v>594.30615299999999</v>
      </c>
      <c r="AA26" s="2">
        <v>344.15889600000003</v>
      </c>
      <c r="AB26" s="2">
        <v>47.175347000000002</v>
      </c>
      <c r="AC26" s="2">
        <v>167.148641</v>
      </c>
      <c r="AD26" s="2">
        <v>324.92778900000002</v>
      </c>
      <c r="AE26" s="2">
        <v>63.966462999999997</v>
      </c>
      <c r="AF26" s="2">
        <v>4.6769020000000001</v>
      </c>
      <c r="AG26" s="2">
        <v>1.200677</v>
      </c>
      <c r="AH26" s="2">
        <v>405.48815500000001</v>
      </c>
      <c r="AI26" s="2">
        <v>1065.227212</v>
      </c>
      <c r="AJ26" s="2">
        <v>97.771100000000004</v>
      </c>
      <c r="AK26" s="2">
        <v>85.802378000000004</v>
      </c>
      <c r="AL26" s="2">
        <v>4.243633</v>
      </c>
      <c r="AM26" s="2">
        <v>2003.7745990000001</v>
      </c>
      <c r="AN26" s="2">
        <v>46.853298000000002</v>
      </c>
      <c r="AO26" s="2">
        <v>74.961400999999995</v>
      </c>
      <c r="AP26" s="2">
        <v>6.0534439999999998</v>
      </c>
      <c r="AQ26" s="2">
        <v>40.008060999999998</v>
      </c>
      <c r="AR26" s="2">
        <v>0.90216600000000002</v>
      </c>
      <c r="AS26" s="2">
        <v>7441.3535160000001</v>
      </c>
      <c r="AT26" s="2">
        <v>0.200076</v>
      </c>
      <c r="AU26" s="2">
        <v>9.5653389999999998</v>
      </c>
      <c r="AV26" s="2">
        <v>22.848025</v>
      </c>
      <c r="AW26" s="2">
        <v>14.806789</v>
      </c>
      <c r="AX26" s="2">
        <v>563.43198400000006</v>
      </c>
      <c r="AY26" s="2">
        <v>66.576685999999995</v>
      </c>
      <c r="AZ26" s="2">
        <v>108.29968</v>
      </c>
      <c r="BA26" s="2">
        <v>48.580609000000003</v>
      </c>
      <c r="BB26" s="2">
        <v>69.000482000000005</v>
      </c>
      <c r="BC26" s="2"/>
      <c r="BD26" s="28">
        <f t="shared" si="1"/>
        <v>25928.285205</v>
      </c>
      <c r="BE26" s="2">
        <f t="shared" si="0"/>
        <v>25.928285205000002</v>
      </c>
    </row>
    <row r="27" spans="1:57">
      <c r="A27" s="7">
        <v>2016</v>
      </c>
      <c r="B27" s="2">
        <v>3418.7550000000001</v>
      </c>
      <c r="C27" s="2">
        <v>2976.7660000000001</v>
      </c>
      <c r="D27" s="2">
        <v>7.2729999999999997</v>
      </c>
      <c r="E27" s="2">
        <v>444.44099999999997</v>
      </c>
      <c r="F27" s="2">
        <v>5.1319999999999997</v>
      </c>
      <c r="G27" s="2">
        <v>6.7889999999999997</v>
      </c>
      <c r="H27" s="2">
        <v>1200.548</v>
      </c>
      <c r="I27" s="2">
        <v>4.173</v>
      </c>
      <c r="J27" s="2">
        <v>161.06299999999999</v>
      </c>
      <c r="K27" s="2">
        <v>1.0580000000000001</v>
      </c>
      <c r="L27" s="2">
        <v>957.48400000000004</v>
      </c>
      <c r="M27" s="2">
        <v>2.6949999999999998</v>
      </c>
      <c r="N27" s="2">
        <v>137.50899999999999</v>
      </c>
      <c r="O27" s="2">
        <v>178.398</v>
      </c>
      <c r="P27" s="2">
        <v>28.280999999999999</v>
      </c>
      <c r="Q27" s="2">
        <v>1561.61</v>
      </c>
      <c r="R27" s="2">
        <v>210.13300000000001</v>
      </c>
      <c r="S27" s="2">
        <v>0.48399999999999999</v>
      </c>
      <c r="T27" s="2">
        <v>247.095</v>
      </c>
      <c r="U27" s="2">
        <v>0</v>
      </c>
      <c r="V27" s="2">
        <v>114.358</v>
      </c>
      <c r="W27" s="2">
        <v>1.0209999999999999</v>
      </c>
      <c r="X27" s="2">
        <v>11.425000000000001</v>
      </c>
      <c r="Y27" s="2">
        <v>0.17699999999999999</v>
      </c>
      <c r="Z27" s="2">
        <v>570.41300000000001</v>
      </c>
      <c r="AA27" s="2">
        <v>319.85700000000003</v>
      </c>
      <c r="AB27" s="2">
        <v>67.781000000000006</v>
      </c>
      <c r="AC27" s="2">
        <v>245.27699999999999</v>
      </c>
      <c r="AD27" s="2">
        <v>453.39100000000002</v>
      </c>
      <c r="AE27" s="2">
        <v>77.569000000000003</v>
      </c>
      <c r="AF27" s="2">
        <v>4.484</v>
      </c>
      <c r="AG27" s="2">
        <v>52.363999999999997</v>
      </c>
      <c r="AH27" s="2">
        <v>346.60500000000002</v>
      </c>
      <c r="AI27" s="2">
        <v>1058.9880000000001</v>
      </c>
      <c r="AJ27" s="2">
        <v>108.928</v>
      </c>
      <c r="AK27" s="2">
        <v>92.287000000000006</v>
      </c>
      <c r="AL27" s="2">
        <v>6.3239999999999998</v>
      </c>
      <c r="AM27" s="2">
        <v>4376.5839999999998</v>
      </c>
      <c r="AN27" s="2">
        <v>26.507999999999999</v>
      </c>
      <c r="AO27" s="2">
        <v>56.375</v>
      </c>
      <c r="AP27" s="2">
        <v>6.39</v>
      </c>
      <c r="AQ27" s="2">
        <v>30.623000000000001</v>
      </c>
      <c r="AR27" s="2">
        <v>1.018</v>
      </c>
      <c r="AS27" s="2">
        <v>6903.4960000000001</v>
      </c>
      <c r="AT27" s="2">
        <v>0</v>
      </c>
      <c r="AU27" s="2">
        <v>15.406000000000001</v>
      </c>
      <c r="AV27" s="2">
        <v>17.443999999999999</v>
      </c>
      <c r="AW27" s="2">
        <v>11.471</v>
      </c>
      <c r="AX27" s="2">
        <v>403.851</v>
      </c>
      <c r="AY27" s="2">
        <v>53.966999999999999</v>
      </c>
      <c r="AZ27" s="2">
        <v>151.572</v>
      </c>
      <c r="BA27" s="2">
        <v>47.107999999999997</v>
      </c>
      <c r="BB27" s="2">
        <v>24.407</v>
      </c>
      <c r="BC27" s="2"/>
      <c r="BD27" s="28">
        <f t="shared" si="1"/>
        <v>27207.155999999999</v>
      </c>
      <c r="BE27" s="2">
        <f t="shared" si="0"/>
        <v>27.207155999999998</v>
      </c>
    </row>
    <row r="28" spans="1:57">
      <c r="A28" s="7">
        <v>2017</v>
      </c>
      <c r="B28" s="2">
        <v>3986.7524010000002</v>
      </c>
      <c r="C28" s="2">
        <v>2686.4831949999998</v>
      </c>
      <c r="D28" s="2">
        <v>18.113626</v>
      </c>
      <c r="E28" s="2">
        <v>784.46415000000002</v>
      </c>
      <c r="F28" s="2">
        <v>5.1636610000000003</v>
      </c>
      <c r="G28" s="2">
        <v>9.1191870000000002</v>
      </c>
      <c r="H28" s="2">
        <v>1256.358009</v>
      </c>
      <c r="I28" s="2">
        <v>3.5367709999999999</v>
      </c>
      <c r="J28" s="2">
        <v>126.053645</v>
      </c>
      <c r="K28" s="2">
        <v>2.2685620000000002</v>
      </c>
      <c r="L28" s="2">
        <v>543.11534400000005</v>
      </c>
      <c r="M28" s="2">
        <v>5.0928209999999998</v>
      </c>
      <c r="N28" s="2">
        <v>134.16027800000001</v>
      </c>
      <c r="O28" s="2">
        <v>87.192954</v>
      </c>
      <c r="P28" s="2">
        <v>34.672570999999998</v>
      </c>
      <c r="Q28" s="2">
        <v>1718.8427799999999</v>
      </c>
      <c r="R28" s="2">
        <v>378.14502599999997</v>
      </c>
      <c r="S28" s="2">
        <v>0.28411199999999998</v>
      </c>
      <c r="T28" s="2">
        <v>302.80682200000001</v>
      </c>
      <c r="U28" s="2">
        <v>0</v>
      </c>
      <c r="V28" s="2">
        <v>208.98995600000001</v>
      </c>
      <c r="W28" s="2">
        <v>1.0080519999999999</v>
      </c>
      <c r="X28" s="2">
        <v>6.9698279999999997</v>
      </c>
      <c r="Y28" s="2">
        <v>2.1926000000000001E-2</v>
      </c>
      <c r="Z28" s="2">
        <v>587.80274899999995</v>
      </c>
      <c r="AA28" s="2">
        <v>316.813377</v>
      </c>
      <c r="AB28" s="2">
        <v>95.418755000000004</v>
      </c>
      <c r="AC28" s="2">
        <v>1435.0393999999999</v>
      </c>
      <c r="AD28" s="2">
        <v>753.28559099999995</v>
      </c>
      <c r="AE28" s="2">
        <v>64.160605000000004</v>
      </c>
      <c r="AF28" s="2">
        <v>3.0666099999999998</v>
      </c>
      <c r="AG28" s="2">
        <v>63.409157999999998</v>
      </c>
      <c r="AH28" s="2">
        <v>295.71053799999999</v>
      </c>
      <c r="AI28" s="2">
        <v>1287.6769979999999</v>
      </c>
      <c r="AJ28" s="2">
        <v>148.65702200000001</v>
      </c>
      <c r="AK28" s="2">
        <v>120.227075</v>
      </c>
      <c r="AL28" s="2">
        <v>7.3372070000000003</v>
      </c>
      <c r="AM28" s="2">
        <v>7320.0936730000003</v>
      </c>
      <c r="AN28" s="2">
        <v>44.346401</v>
      </c>
      <c r="AO28" s="2">
        <v>75.451859999999996</v>
      </c>
      <c r="AP28" s="2">
        <v>14.140069</v>
      </c>
      <c r="AQ28" s="2">
        <v>48.071646999999999</v>
      </c>
      <c r="AR28" s="2">
        <v>1.0088520000000001</v>
      </c>
      <c r="AS28" s="2">
        <v>7893.7145860000001</v>
      </c>
      <c r="AT28" s="2">
        <v>0.29158699999999999</v>
      </c>
      <c r="AU28" s="2">
        <v>13.934741000000001</v>
      </c>
      <c r="AV28" s="2">
        <v>20.815808000000001</v>
      </c>
      <c r="AW28" s="2">
        <v>15.329478999999999</v>
      </c>
      <c r="AX28" s="2">
        <v>476.82913000000002</v>
      </c>
      <c r="AY28" s="2">
        <v>81.604760999999996</v>
      </c>
      <c r="AZ28" s="2">
        <v>127.21373</v>
      </c>
      <c r="BA28" s="2">
        <v>66.554291000000006</v>
      </c>
      <c r="BB28" s="2">
        <v>48.445588000000001</v>
      </c>
      <c r="BC28" s="2"/>
      <c r="BD28" s="28">
        <f t="shared" si="1"/>
        <v>33726.066964999998</v>
      </c>
      <c r="BE28" s="2">
        <f t="shared" si="0"/>
        <v>33.726066965000001</v>
      </c>
    </row>
    <row r="29" spans="1:57" s="10" customFormat="1">
      <c r="A29" s="7">
        <v>2018</v>
      </c>
      <c r="B29" s="2">
        <f>4781629382/1000000</f>
        <v>4781.6293820000001</v>
      </c>
      <c r="C29" s="2">
        <f>2768924982/1000000</f>
        <v>2768.924982</v>
      </c>
      <c r="D29" s="2">
        <f>19438582/1000000</f>
        <v>19.438582</v>
      </c>
      <c r="E29" s="2">
        <f>468880702/1000000</f>
        <v>468.88070199999999</v>
      </c>
      <c r="F29" s="2">
        <f>5206121/1000000</f>
        <v>5.2061210000000004</v>
      </c>
      <c r="G29" s="2">
        <f>14182596/1000000</f>
        <v>14.182596</v>
      </c>
      <c r="H29" s="2">
        <f>1291959912/1000000</f>
        <v>1291.959912</v>
      </c>
      <c r="I29" s="2">
        <f>3709164/1000000</f>
        <v>3.7091639999999999</v>
      </c>
      <c r="J29" s="2">
        <f>229265683/1000000</f>
        <v>229.265683</v>
      </c>
      <c r="K29" s="2">
        <f>2923540/1000000</f>
        <v>2.92354</v>
      </c>
      <c r="L29" s="2">
        <f>494864737/1000000</f>
        <v>494.86473699999999</v>
      </c>
      <c r="M29" s="2">
        <f>3037612/1000000</f>
        <v>3.0376120000000002</v>
      </c>
      <c r="N29" s="2">
        <f>445382565/1000000</f>
        <v>445.382565</v>
      </c>
      <c r="O29" s="2">
        <f>50323679/1000000</f>
        <v>50.323678999999998</v>
      </c>
      <c r="P29" s="2">
        <f>48113055/1000000</f>
        <v>48.113055000000003</v>
      </c>
      <c r="Q29" s="2">
        <f>2582465144/1000000</f>
        <v>2582.4651439999998</v>
      </c>
      <c r="R29" s="2">
        <f>606331712/1000000</f>
        <v>606.33171200000004</v>
      </c>
      <c r="S29" s="2">
        <f>290454/1000000</f>
        <v>0.29045399999999999</v>
      </c>
      <c r="T29" s="2">
        <f>458397158/1000000</f>
        <v>458.39715799999999</v>
      </c>
      <c r="U29" s="2">
        <v>0</v>
      </c>
      <c r="V29" s="2">
        <f>299072276/1000000</f>
        <v>299.07227599999999</v>
      </c>
      <c r="W29" s="2">
        <f>601750/1000000</f>
        <v>0.60175000000000001</v>
      </c>
      <c r="X29" s="2">
        <f>6891541/1000000</f>
        <v>6.8915410000000001</v>
      </c>
      <c r="Y29" s="2">
        <f>197887/1000000</f>
        <v>0.19788700000000001</v>
      </c>
      <c r="Z29" s="2">
        <f>660064621/1000000</f>
        <v>660.06462099999999</v>
      </c>
      <c r="AA29" s="2">
        <f>430260962/1000000</f>
        <v>430.26096200000001</v>
      </c>
      <c r="AB29" s="2">
        <f>65346008/1000000</f>
        <v>65.346007999999998</v>
      </c>
      <c r="AC29" s="2">
        <f>1447572243/1000000</f>
        <v>1447.5722430000001</v>
      </c>
      <c r="AD29" s="2">
        <f>906518496/1000000</f>
        <v>906.51849600000003</v>
      </c>
      <c r="AE29" s="2">
        <f>58511592/1000000</f>
        <v>58.511592</v>
      </c>
      <c r="AF29" s="2">
        <f>4918681/1000000</f>
        <v>4.9186810000000003</v>
      </c>
      <c r="AG29" s="2">
        <f>13883054/1000000</f>
        <v>13.883054</v>
      </c>
      <c r="AH29" s="2">
        <f>330027044/1000000</f>
        <v>330.02704399999999</v>
      </c>
      <c r="AI29" s="2">
        <f>1616098288/1000000</f>
        <v>1616.0982879999999</v>
      </c>
      <c r="AJ29" s="2">
        <f>114832891/1000000</f>
        <v>114.832891</v>
      </c>
      <c r="AK29" s="2">
        <f>120040205/1000000</f>
        <v>120.040205</v>
      </c>
      <c r="AL29" s="2">
        <f>29547969/1000000</f>
        <v>29.547968999999998</v>
      </c>
      <c r="AM29" s="2">
        <f>5766545651/1000000</f>
        <v>5766.5456510000004</v>
      </c>
      <c r="AN29" s="2">
        <f>68383881/1000000</f>
        <v>68.383881000000002</v>
      </c>
      <c r="AO29" s="2">
        <f>132010594/1000000</f>
        <v>132.010594</v>
      </c>
      <c r="AP29" s="2">
        <f>8447648/1000000</f>
        <v>8.4476479999999992</v>
      </c>
      <c r="AQ29" s="2">
        <f>57155200/1000000</f>
        <v>57.155200000000001</v>
      </c>
      <c r="AR29" s="2">
        <f>1338636/1000000</f>
        <v>1.3386359999999999</v>
      </c>
      <c r="AS29" s="2">
        <f>8649734976/1000000</f>
        <v>8649.7349759999997</v>
      </c>
      <c r="AT29" s="2">
        <f>21080/1000000</f>
        <v>2.1080000000000002E-2</v>
      </c>
      <c r="AU29" s="2">
        <f>16578293/1000000</f>
        <v>16.578292999999999</v>
      </c>
      <c r="AV29" s="2">
        <f>13705609/1000000</f>
        <v>13.705609000000001</v>
      </c>
      <c r="AW29" s="2">
        <f>13785407/1000000</f>
        <v>13.785406999999999</v>
      </c>
      <c r="AX29" s="2">
        <f>668713009/1000000</f>
        <v>668.71300900000006</v>
      </c>
      <c r="AY29" s="2">
        <f>71509075/1000000</f>
        <v>71.509074999999996</v>
      </c>
      <c r="AZ29" s="2">
        <f>99398433/1000000</f>
        <v>99.398432999999997</v>
      </c>
      <c r="BA29" s="2">
        <f>190841843/1000000</f>
        <v>190.84184300000001</v>
      </c>
      <c r="BB29" s="2">
        <f>79062467/1000000</f>
        <v>79.062466999999998</v>
      </c>
      <c r="BC29" s="2"/>
      <c r="BD29" s="28">
        <f t="shared" si="1"/>
        <v>36216.944090000005</v>
      </c>
      <c r="BE29" s="2">
        <f t="shared" si="0"/>
        <v>36.216944090000005</v>
      </c>
    </row>
    <row r="30" spans="1:57" s="10" customFormat="1">
      <c r="A30" s="7">
        <v>2019</v>
      </c>
      <c r="B30" s="2">
        <f>2593386869/1000000</f>
        <v>2593.3868689999999</v>
      </c>
      <c r="C30" s="2">
        <f>984169471/1000000</f>
        <v>984.16947100000004</v>
      </c>
      <c r="D30" s="2">
        <f>8802005/1000000</f>
        <v>8.8020049999999994</v>
      </c>
      <c r="E30" s="2">
        <f>280392873/1000000</f>
        <v>280.39287300000001</v>
      </c>
      <c r="F30" s="2">
        <f>6105545/1000000</f>
        <v>6.1055450000000002</v>
      </c>
      <c r="G30" s="2">
        <f>10273716/1000000</f>
        <v>10.273716</v>
      </c>
      <c r="H30" s="2">
        <f>958064308/1000000</f>
        <v>958.06430799999998</v>
      </c>
      <c r="I30" s="2">
        <f>3983519/1000000</f>
        <v>3.9835189999999998</v>
      </c>
      <c r="J30" s="2">
        <f>345579362/1000000</f>
        <v>345.579362</v>
      </c>
      <c r="K30" s="2">
        <f>3649133/1000000</f>
        <v>3.649133</v>
      </c>
      <c r="L30" s="2">
        <f>135809107/1000000</f>
        <v>135.80910700000001</v>
      </c>
      <c r="M30" s="2">
        <f>2088259/1000000</f>
        <v>2.0882589999999999</v>
      </c>
      <c r="N30" s="2">
        <f>583362466/1000000</f>
        <v>583.36246600000004</v>
      </c>
      <c r="O30" s="2">
        <f>22102812/1000000</f>
        <v>22.102812</v>
      </c>
      <c r="P30" s="2">
        <f>30961316/1000000</f>
        <v>30.961316</v>
      </c>
      <c r="Q30" s="2">
        <f>3298440629/1000000</f>
        <v>3298.4406290000002</v>
      </c>
      <c r="R30" s="2">
        <f>349094331/1000000</f>
        <v>349.09433100000001</v>
      </c>
      <c r="S30" s="2">
        <f>150939/1000000</f>
        <v>0.15093899999999999</v>
      </c>
      <c r="T30" s="2">
        <f>588235614/1000000</f>
        <v>588.23561400000006</v>
      </c>
      <c r="U30" s="2">
        <f>0/1000000</f>
        <v>0</v>
      </c>
      <c r="V30" s="2">
        <f>127029860/1000000</f>
        <v>127.02986</v>
      </c>
      <c r="W30" s="2">
        <f>1597180/1000000</f>
        <v>1.59718</v>
      </c>
      <c r="X30" s="2">
        <f>10581163/1000000</f>
        <v>10.581163</v>
      </c>
      <c r="Y30" s="2">
        <f>1998402/1000000</f>
        <v>1.998402</v>
      </c>
      <c r="Z30" s="2">
        <f>685571833/1000000</f>
        <v>685.57183299999997</v>
      </c>
      <c r="AA30" s="2">
        <f>332606953/1000000</f>
        <v>332.60695299999998</v>
      </c>
      <c r="AB30" s="2">
        <f>71654634/1000000</f>
        <v>71.654634000000001</v>
      </c>
      <c r="AC30" s="2">
        <f>1572465150/1000000</f>
        <v>1572.46515</v>
      </c>
      <c r="AD30" s="2">
        <f>859477917/1000000</f>
        <v>859.47791700000005</v>
      </c>
      <c r="AE30" s="2">
        <f>103282222/1000000</f>
        <v>103.282222</v>
      </c>
      <c r="AF30" s="2">
        <f>4726607/1000000</f>
        <v>4.7266069999999996</v>
      </c>
      <c r="AG30" s="2">
        <f>5201509/1000000</f>
        <v>5.2015089999999997</v>
      </c>
      <c r="AH30" s="2">
        <f>357006018/1000000</f>
        <v>357.00601799999998</v>
      </c>
      <c r="AI30" s="2">
        <f>1649025739/1000000</f>
        <v>1649.0257389999999</v>
      </c>
      <c r="AJ30" s="2">
        <f>139652993/1000000</f>
        <v>139.65299300000001</v>
      </c>
      <c r="AK30" s="2">
        <f>145152637/1000000</f>
        <v>145.152637</v>
      </c>
      <c r="AL30" s="2">
        <f>47761006/1000000</f>
        <v>47.761006000000002</v>
      </c>
      <c r="AM30" s="2">
        <f>4760103375/1000000</f>
        <v>4760.1033749999997</v>
      </c>
      <c r="AN30" s="2">
        <f>46672396/1000000</f>
        <v>46.672395999999999</v>
      </c>
      <c r="AO30" s="2">
        <f>136620252/1000000</f>
        <v>136.62025199999999</v>
      </c>
      <c r="AP30" s="2">
        <f>11006207/1000000</f>
        <v>11.006207</v>
      </c>
      <c r="AQ30" s="2">
        <f>30842394/1000000</f>
        <v>30.842393999999999</v>
      </c>
      <c r="AR30" s="2">
        <f>1079300/1000000</f>
        <v>1.0792999999999999</v>
      </c>
      <c r="AS30" s="2">
        <f>7963631173/1000000</f>
        <v>7963.6311729999998</v>
      </c>
      <c r="AT30" s="2">
        <f>70379902/1000000</f>
        <v>70.379902000000001</v>
      </c>
      <c r="AU30" s="2">
        <f>22732263/1000000</f>
        <v>22.732263</v>
      </c>
      <c r="AV30" s="2">
        <f>16254268/1000000</f>
        <v>16.254268</v>
      </c>
      <c r="AW30" s="2">
        <f>13703029/1000000</f>
        <v>13.703029000000001</v>
      </c>
      <c r="AX30" s="2">
        <f>485027278/1000000</f>
        <v>485.02727800000002</v>
      </c>
      <c r="AY30" s="2">
        <f>83307781/1000000</f>
        <v>83.307781000000006</v>
      </c>
      <c r="AZ30" s="2">
        <f>133582951/1000000</f>
        <v>133.58295100000001</v>
      </c>
      <c r="BA30" s="2">
        <f>84427608/1000000</f>
        <v>84.427608000000006</v>
      </c>
      <c r="BB30" s="2">
        <f>48698190/1000000</f>
        <v>48.698189999999997</v>
      </c>
      <c r="BC30" s="2"/>
      <c r="BD30" s="28">
        <f t="shared" si="1"/>
        <v>30227.51246400001</v>
      </c>
      <c r="BE30" s="2">
        <f t="shared" si="0"/>
        <v>30.227512464000011</v>
      </c>
    </row>
    <row r="31" spans="1:57">
      <c r="A31" s="7">
        <v>2020</v>
      </c>
      <c r="B31" s="2">
        <v>498.85370799999998</v>
      </c>
      <c r="C31" s="2">
        <v>497.34588500000001</v>
      </c>
      <c r="D31" s="2">
        <v>5.8243989999999997</v>
      </c>
      <c r="E31" s="2">
        <v>178.25313499999999</v>
      </c>
      <c r="F31" s="2">
        <v>5.2138229999999997</v>
      </c>
      <c r="G31" s="2">
        <v>3.9941970000000002</v>
      </c>
      <c r="H31" s="2">
        <v>914.50308199999995</v>
      </c>
      <c r="I31" s="2">
        <v>4.782305</v>
      </c>
      <c r="J31" s="2">
        <v>452.71531299999998</v>
      </c>
      <c r="K31" s="2">
        <v>0.99218399999999995</v>
      </c>
      <c r="L31" s="2">
        <v>3.6205180000000001</v>
      </c>
      <c r="M31" s="2">
        <v>3.4442629999999999</v>
      </c>
      <c r="N31" s="2">
        <v>139.97252700000001</v>
      </c>
      <c r="O31" s="2">
        <v>30.703785</v>
      </c>
      <c r="P31" s="2">
        <v>40.949229000000003</v>
      </c>
      <c r="Q31" s="2">
        <v>2303.7102810000001</v>
      </c>
      <c r="R31" s="2">
        <v>145.504987</v>
      </c>
      <c r="S31" s="2">
        <v>0.28908</v>
      </c>
      <c r="T31" s="2">
        <v>540.45832600000006</v>
      </c>
      <c r="U31" s="2">
        <v>0</v>
      </c>
      <c r="V31" s="2">
        <v>83.634970999999993</v>
      </c>
      <c r="W31" s="2">
        <v>1.157213</v>
      </c>
      <c r="X31" s="2">
        <v>9.893497</v>
      </c>
      <c r="Y31" s="2">
        <v>0.92433699999999996</v>
      </c>
      <c r="Z31" s="2">
        <v>584.53421300000002</v>
      </c>
      <c r="AA31" s="2">
        <v>312.51177100000001</v>
      </c>
      <c r="AB31" s="2">
        <v>48.192731999999999</v>
      </c>
      <c r="AC31" s="2">
        <v>224.894533</v>
      </c>
      <c r="AD31" s="2">
        <v>626.004773</v>
      </c>
      <c r="AE31" s="2">
        <v>44.286619000000002</v>
      </c>
      <c r="AF31" s="2">
        <v>2.3474879999999998</v>
      </c>
      <c r="AG31" s="2">
        <v>6.2073510000000001</v>
      </c>
      <c r="AH31" s="2">
        <v>251.22424699999999</v>
      </c>
      <c r="AI31" s="2">
        <v>1095.590643</v>
      </c>
      <c r="AJ31" s="2">
        <v>111.615611</v>
      </c>
      <c r="AK31" s="2">
        <v>91.300574999999995</v>
      </c>
      <c r="AL31" s="2">
        <v>79.548497999999995</v>
      </c>
      <c r="AM31" s="2">
        <v>1555.1441179999999</v>
      </c>
      <c r="AN31" s="2">
        <v>33.594208999999999</v>
      </c>
      <c r="AO31" s="2">
        <v>104.85839900000001</v>
      </c>
      <c r="AP31" s="2">
        <v>8.7825360000000003</v>
      </c>
      <c r="AQ31" s="2">
        <v>32.768450999999999</v>
      </c>
      <c r="AR31" s="2">
        <v>0.53417800000000004</v>
      </c>
      <c r="AS31" s="2">
        <v>11440.399527</v>
      </c>
      <c r="AT31" s="2">
        <v>0.116035</v>
      </c>
      <c r="AU31" s="2">
        <v>85.775651999999994</v>
      </c>
      <c r="AV31" s="2">
        <v>19.925339999999998</v>
      </c>
      <c r="AW31" s="2">
        <v>21.442578000000001</v>
      </c>
      <c r="AX31" s="2">
        <v>591.85445300000003</v>
      </c>
      <c r="AY31" s="2">
        <v>86.772064999999998</v>
      </c>
      <c r="AZ31" s="2">
        <v>123.873417</v>
      </c>
      <c r="BA31" s="2">
        <v>41.465502999999998</v>
      </c>
      <c r="BB31" s="2">
        <v>37.990780000000001</v>
      </c>
      <c r="BC31" s="2"/>
      <c r="BD31" s="28">
        <f t="shared" si="1"/>
        <v>23530.297340000001</v>
      </c>
      <c r="BE31" s="2">
        <f t="shared" si="0"/>
        <v>23.530297340000001</v>
      </c>
    </row>
    <row r="32" spans="1:57">
      <c r="U32" s="10"/>
      <c r="BD32" s="16"/>
    </row>
    <row r="33" spans="1:1">
      <c r="A33" s="2" t="s">
        <v>51</v>
      </c>
    </row>
    <row r="34" spans="1:1">
      <c r="A34" s="2" t="s">
        <v>69</v>
      </c>
    </row>
    <row r="35" spans="1:1">
      <c r="A35" t="s">
        <v>73</v>
      </c>
    </row>
    <row r="36" spans="1:1">
      <c r="A36" t="s">
        <v>56</v>
      </c>
    </row>
    <row r="37" spans="1:1">
      <c r="A37" s="29" t="s">
        <v>79</v>
      </c>
    </row>
  </sheetData>
  <pageMargins left="0.7" right="0.7" top="0.75" bottom="0.75" header="0.3" footer="0.3"/>
  <pageSetup orientation="portrait" horizontalDpi="4294967292" verticalDpi="4294967292"/>
  <ignoredErrors>
    <ignoredError sqref="BD13:BD2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I26" sqref="I26"/>
    </sheetView>
  </sheetViews>
  <sheetFormatPr baseColWidth="10" defaultColWidth="8.6640625" defaultRowHeight="1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13C7-313C-4C49-91C8-725335E20FCB}">
  <dimension ref="B3:H22"/>
  <sheetViews>
    <sheetView tabSelected="1" workbookViewId="0">
      <selection activeCell="H27" sqref="H27"/>
    </sheetView>
  </sheetViews>
  <sheetFormatPr baseColWidth="10" defaultColWidth="8.83203125" defaultRowHeight="15"/>
  <sheetData>
    <row r="3" spans="2:8">
      <c r="C3" t="s">
        <v>63</v>
      </c>
      <c r="D3" t="s">
        <v>64</v>
      </c>
      <c r="E3" t="s">
        <v>67</v>
      </c>
      <c r="F3" t="s">
        <v>65</v>
      </c>
      <c r="G3" t="s">
        <v>66</v>
      </c>
      <c r="H3" t="s">
        <v>68</v>
      </c>
    </row>
    <row r="4" spans="2:8">
      <c r="B4" s="7">
        <v>2002</v>
      </c>
      <c r="C4" s="10">
        <f>CN_EXtoAfr!BF13</f>
        <v>6.9183668059999999</v>
      </c>
      <c r="D4" s="10">
        <f>CN_IMfromAfr!BF13</f>
        <v>4.6085722009999994</v>
      </c>
      <c r="E4" s="10">
        <f>SUM(C4:D4)</f>
        <v>11.526939006999999</v>
      </c>
      <c r="F4" s="10">
        <f>US_EXtoAfr!BE13</f>
        <v>10.457323900999999</v>
      </c>
      <c r="G4" s="10">
        <f>US_IMfromAfr!BE13</f>
        <v>10.079456648999995</v>
      </c>
      <c r="H4" s="10">
        <f>SUM(F4:G4)</f>
        <v>20.536780549999996</v>
      </c>
    </row>
    <row r="5" spans="2:8">
      <c r="B5" s="7">
        <v>2003</v>
      </c>
      <c r="C5" s="10">
        <f>CN_EXtoAfr!BF14</f>
        <v>10.124757425999999</v>
      </c>
      <c r="D5" s="10">
        <f>CN_IMfromAfr!BF14</f>
        <v>7.4090898060000008</v>
      </c>
      <c r="E5" s="10">
        <f t="shared" ref="E5:E20" si="0">SUM(C5:D5)</f>
        <v>17.533847231999999</v>
      </c>
      <c r="F5" s="10">
        <f>US_EXtoAfr!BE14</f>
        <v>10.456988415</v>
      </c>
      <c r="G5" s="10">
        <f>US_IMfromAfr!BE14</f>
        <v>15.566008846000001</v>
      </c>
      <c r="H5" s="10">
        <f t="shared" ref="H5:H21" si="1">SUM(F5:G5)</f>
        <v>26.022997261</v>
      </c>
    </row>
    <row r="6" spans="2:8">
      <c r="B6" s="7">
        <v>2004</v>
      </c>
      <c r="C6" s="10">
        <f>CN_EXtoAfr!BF15</f>
        <v>13.729951398000001</v>
      </c>
      <c r="D6" s="10">
        <f>CN_IMfromAfr!BF15</f>
        <v>13.740248387999998</v>
      </c>
      <c r="E6" s="10">
        <f t="shared" si="0"/>
        <v>27.470199785999998</v>
      </c>
      <c r="F6" s="10">
        <f>US_EXtoAfr!BE15</f>
        <v>13.152941265000003</v>
      </c>
      <c r="G6" s="10">
        <f>US_IMfromAfr!BE15</f>
        <v>23.149427726000006</v>
      </c>
      <c r="H6" s="10">
        <f t="shared" si="1"/>
        <v>36.302368991000009</v>
      </c>
    </row>
    <row r="7" spans="2:8">
      <c r="B7" s="7">
        <v>2005</v>
      </c>
      <c r="C7" s="10">
        <f>CN_EXtoAfr!BF16</f>
        <v>18.602937492000002</v>
      </c>
      <c r="D7" s="10">
        <f>CN_IMfromAfr!BF16</f>
        <v>18.987397887000004</v>
      </c>
      <c r="E7" s="10">
        <f t="shared" si="0"/>
        <v>37.59033537900001</v>
      </c>
      <c r="F7" s="10">
        <f>US_EXtoAfr!BE16</f>
        <v>15.169002661999997</v>
      </c>
      <c r="G7" s="10">
        <f>US_IMfromAfr!BE16</f>
        <v>33.577293977999993</v>
      </c>
      <c r="H7" s="10">
        <f t="shared" si="1"/>
        <v>48.74629663999999</v>
      </c>
    </row>
    <row r="8" spans="2:8">
      <c r="B8" s="7">
        <v>2006</v>
      </c>
      <c r="C8" s="10">
        <f>CN_EXtoAfr!BF17</f>
        <v>26.583923198000001</v>
      </c>
      <c r="D8" s="10">
        <f>CN_IMfromAfr!BF17</f>
        <v>26.794386185000004</v>
      </c>
      <c r="E8" s="10">
        <f t="shared" si="0"/>
        <v>53.378309383000001</v>
      </c>
      <c r="F8" s="10">
        <f>US_EXtoAfr!BE17</f>
        <v>18.702166251999991</v>
      </c>
      <c r="G8" s="10">
        <f>US_IMfromAfr!BE17</f>
        <v>45.842833575</v>
      </c>
      <c r="H8" s="10">
        <f t="shared" si="1"/>
        <v>64.544999826999998</v>
      </c>
    </row>
    <row r="9" spans="2:8">
      <c r="B9" s="7">
        <v>2007</v>
      </c>
      <c r="C9" s="10">
        <f>CN_EXtoAfr!BF18</f>
        <v>37.373321356999995</v>
      </c>
      <c r="D9" s="10">
        <f>CN_IMfromAfr!BF18</f>
        <v>33.911457941000009</v>
      </c>
      <c r="E9" s="10">
        <f t="shared" si="0"/>
        <v>71.284779298000004</v>
      </c>
      <c r="F9" s="10">
        <f>US_EXtoAfr!BE18</f>
        <v>23.229221194000001</v>
      </c>
      <c r="G9" s="10">
        <f>US_IMfromAfr!BE18</f>
        <v>53.515591156000042</v>
      </c>
      <c r="H9" s="10">
        <f t="shared" si="1"/>
        <v>76.744812350000046</v>
      </c>
    </row>
    <row r="10" spans="2:8">
      <c r="B10" s="7">
        <v>2008</v>
      </c>
      <c r="C10" s="10">
        <f>CN_EXtoAfr!BF19</f>
        <v>51.089012848999992</v>
      </c>
      <c r="D10" s="10">
        <f>CN_IMfromAfr!BF19</f>
        <v>51.041505591000004</v>
      </c>
      <c r="E10" s="10">
        <f t="shared" si="0"/>
        <v>102.13051844</v>
      </c>
      <c r="F10" s="10">
        <f>US_EXtoAfr!BE19</f>
        <v>28.010376952999991</v>
      </c>
      <c r="G10" s="10">
        <f>US_IMfromAfr!BE19</f>
        <v>72.06819359699999</v>
      </c>
      <c r="H10" s="10">
        <f t="shared" si="1"/>
        <v>100.07857054999998</v>
      </c>
    </row>
    <row r="11" spans="2:8">
      <c r="B11" s="7">
        <v>2009</v>
      </c>
      <c r="C11" s="10">
        <f>CN_EXtoAfr!BF20</f>
        <v>47.635111853000005</v>
      </c>
      <c r="D11" s="10">
        <f>CN_IMfromAfr!BF20</f>
        <v>40.306929375000003</v>
      </c>
      <c r="E11" s="10">
        <f t="shared" si="0"/>
        <v>87.942041228000008</v>
      </c>
      <c r="F11" s="10">
        <f>US_EXtoAfr!BE20</f>
        <v>23.630108908</v>
      </c>
      <c r="G11" s="10">
        <f>US_IMfromAfr!BE20</f>
        <v>48.341724368999991</v>
      </c>
      <c r="H11" s="10">
        <f t="shared" si="1"/>
        <v>71.971833276999988</v>
      </c>
    </row>
    <row r="12" spans="2:8">
      <c r="B12" s="7">
        <v>2010</v>
      </c>
      <c r="C12" s="10">
        <f>CN_EXtoAfr!BF21</f>
        <v>59.807449502000011</v>
      </c>
      <c r="D12" s="10">
        <f>CN_IMfromAfr!BF21</f>
        <v>60.265668944999987</v>
      </c>
      <c r="E12" s="10">
        <f t="shared" si="0"/>
        <v>120.073118447</v>
      </c>
      <c r="F12" s="10">
        <f>US_EXtoAfr!BE21</f>
        <v>27.330482426</v>
      </c>
      <c r="G12" s="10">
        <f>US_IMfromAfr!BE21</f>
        <v>70.041227233000029</v>
      </c>
      <c r="H12" s="10">
        <f t="shared" si="1"/>
        <v>97.371709659000032</v>
      </c>
    </row>
    <row r="13" spans="2:8">
      <c r="B13" s="7">
        <v>2011</v>
      </c>
      <c r="C13" s="10">
        <f>CN_EXtoAfr!BF22</f>
        <v>72.919404177999994</v>
      </c>
      <c r="D13" s="10">
        <f>CN_IMfromAfr!BF22</f>
        <v>73.634160812999994</v>
      </c>
      <c r="E13" s="10">
        <f t="shared" si="0"/>
        <v>146.55356499099997</v>
      </c>
      <c r="F13" s="10">
        <f>US_EXtoAfr!BE22</f>
        <v>31.512678058000002</v>
      </c>
      <c r="G13" s="10">
        <f>US_IMfromAfr!BE22</f>
        <v>94.573093480000011</v>
      </c>
      <c r="H13" s="10">
        <f t="shared" si="1"/>
        <v>126.08577153800002</v>
      </c>
    </row>
    <row r="14" spans="2:8">
      <c r="B14" s="7">
        <v>2012</v>
      </c>
      <c r="C14" s="10">
        <f>CN_EXtoAfr!BF23</f>
        <v>85.133662458000003</v>
      </c>
      <c r="D14" s="10">
        <f>CN_IMfromAfr!BF23</f>
        <v>78.911070711999983</v>
      </c>
      <c r="E14" s="10">
        <f t="shared" si="0"/>
        <v>164.04473316999997</v>
      </c>
      <c r="F14" s="10">
        <f>US_EXtoAfr!BE23</f>
        <v>31.374984649000009</v>
      </c>
      <c r="G14" s="10">
        <f>US_IMfromAfr!BE23</f>
        <v>96.571633462999998</v>
      </c>
      <c r="H14" s="10">
        <f t="shared" si="1"/>
        <v>127.94661811200001</v>
      </c>
    </row>
    <row r="15" spans="2:8">
      <c r="B15" s="7">
        <v>2013</v>
      </c>
      <c r="C15" s="10">
        <f>CN_EXtoAfr!BF24</f>
        <v>92.570973493000011</v>
      </c>
      <c r="D15" s="10">
        <f>CN_IMfromAfr!BF24</f>
        <v>81.113188070000007</v>
      </c>
      <c r="E15" s="10">
        <f t="shared" si="0"/>
        <v>173.68416156300003</v>
      </c>
      <c r="F15" s="10">
        <f>US_EXtoAfr!BE24</f>
        <v>34.237093526999999</v>
      </c>
      <c r="G15" s="10">
        <f>US_IMfromAfr!BE24</f>
        <v>95.698216699999961</v>
      </c>
      <c r="H15" s="10">
        <f t="shared" si="1"/>
        <v>129.93531022699995</v>
      </c>
    </row>
    <row r="16" spans="2:8">
      <c r="B16" s="7">
        <v>2014</v>
      </c>
      <c r="C16" s="10">
        <f>CN_EXtoAfr!BF25</f>
        <v>105.83283956700002</v>
      </c>
      <c r="D16" s="10">
        <f>CN_IMfromAfr!BF25</f>
        <v>79.85853041</v>
      </c>
      <c r="E16" s="10">
        <f t="shared" si="0"/>
        <v>185.69136997700002</v>
      </c>
      <c r="F16" s="10">
        <f>US_EXtoAfr!BE25</f>
        <v>36.853947120999997</v>
      </c>
      <c r="G16" s="10">
        <f>US_IMfromAfr!BE25</f>
        <v>92.148198226000005</v>
      </c>
      <c r="H16" s="10">
        <f t="shared" si="1"/>
        <v>129.00214534700001</v>
      </c>
    </row>
    <row r="17" spans="2:8">
      <c r="B17" s="7">
        <v>2015</v>
      </c>
      <c r="C17" s="10">
        <f>CN_EXtoAfr!BF26</f>
        <v>155.695568528</v>
      </c>
      <c r="D17" s="10">
        <f>CN_IMfromAfr!BF26</f>
        <v>47.526793441999992</v>
      </c>
      <c r="E17" s="10">
        <f t="shared" si="0"/>
        <v>203.22236196999998</v>
      </c>
      <c r="F17" s="10">
        <f>US_EXtoAfr!BE26</f>
        <v>25.892965935999992</v>
      </c>
      <c r="G17" s="10">
        <f>US_IMfromAfr!BE26</f>
        <v>25.928285205000002</v>
      </c>
      <c r="H17" s="10">
        <f t="shared" si="1"/>
        <v>51.821251140999991</v>
      </c>
    </row>
    <row r="18" spans="2:8">
      <c r="B18" s="15">
        <v>2016</v>
      </c>
      <c r="C18" s="10">
        <f>CN_EXtoAfr!BF27</f>
        <v>91.98460941099998</v>
      </c>
      <c r="D18" s="10">
        <f>CN_IMfromAfr!BF27</f>
        <v>41.273033181999999</v>
      </c>
      <c r="E18" s="10">
        <f t="shared" si="0"/>
        <v>133.25764259299999</v>
      </c>
      <c r="F18" s="10">
        <f>US_EXtoAfr!BE27</f>
        <v>20.979940000000003</v>
      </c>
      <c r="G18" s="10">
        <f>US_IMfromAfr!BE27</f>
        <v>27.207155999999998</v>
      </c>
      <c r="H18" s="10">
        <f t="shared" si="1"/>
        <v>48.187095999999997</v>
      </c>
    </row>
    <row r="19" spans="2:8">
      <c r="B19" s="15">
        <v>2017</v>
      </c>
      <c r="C19" s="10">
        <f>CN_EXtoAfr!BF28</f>
        <v>94.499205151000027</v>
      </c>
      <c r="D19" s="10">
        <f>CN_IMfromAfr!BF28</f>
        <v>60.210006954999997</v>
      </c>
      <c r="E19" s="10">
        <f t="shared" si="0"/>
        <v>154.70921210600002</v>
      </c>
      <c r="F19" s="10">
        <f>US_EXtoAfr!BE28</f>
        <v>21.149340895999995</v>
      </c>
      <c r="G19" s="10">
        <f>US_IMfromAfr!BE28</f>
        <v>33.726066965000001</v>
      </c>
      <c r="H19" s="10">
        <f t="shared" si="1"/>
        <v>54.875407860999999</v>
      </c>
    </row>
    <row r="20" spans="2:8">
      <c r="B20" s="15">
        <v>2018</v>
      </c>
      <c r="C20" s="10">
        <f>CN_EXtoAfr!BF29</f>
        <v>104.94932920999997</v>
      </c>
      <c r="D20" s="10">
        <f>CN_IMfromAfr!BF29</f>
        <v>80.336631790000013</v>
      </c>
      <c r="E20" s="10">
        <f t="shared" si="0"/>
        <v>185.28596099999999</v>
      </c>
      <c r="F20" s="10">
        <f>US_EXtoAfr!BE29</f>
        <v>25.260854671000001</v>
      </c>
      <c r="G20" s="10">
        <f>US_IMfromAfr!BE29</f>
        <v>36.216944090000005</v>
      </c>
      <c r="H20" s="10">
        <f t="shared" si="1"/>
        <v>61.477798761000003</v>
      </c>
    </row>
    <row r="21" spans="2:8">
      <c r="B21" s="15">
        <v>2019</v>
      </c>
      <c r="C21" s="10">
        <f>CN_EXtoAfr!BF30</f>
        <v>113.050926844</v>
      </c>
      <c r="D21" s="10">
        <f>CN_IMfromAfr!BF30</f>
        <v>78.683315053000001</v>
      </c>
      <c r="E21" s="10">
        <f>SUM(C21:D21)</f>
        <v>191.734241897</v>
      </c>
      <c r="F21" s="10">
        <f>US_EXtoAfr!BE30</f>
        <v>25.728483368000003</v>
      </c>
      <c r="G21" s="10">
        <f>US_IMfromAfr!BE30</f>
        <v>30.227512464000011</v>
      </c>
      <c r="H21" s="10">
        <f t="shared" si="1"/>
        <v>55.955995832000013</v>
      </c>
    </row>
    <row r="22" spans="2:8">
      <c r="B22" s="15">
        <v>2020</v>
      </c>
      <c r="C22" s="10">
        <f>CN_EXtoAfr!BF31</f>
        <v>113.96</v>
      </c>
      <c r="D22" s="10">
        <f>CN_IMfromAfr!BF31</f>
        <v>61.948528267000015</v>
      </c>
      <c r="E22" s="10">
        <f t="shared" ref="E22" si="2">SUM(C22:D22)</f>
        <v>175.90852826700001</v>
      </c>
      <c r="F22" s="10">
        <f>US_EXtoAfr!BE31</f>
        <v>21.290105936999996</v>
      </c>
      <c r="G22" s="10">
        <f>US_IMfromAfr!BE31</f>
        <v>23.530297340000001</v>
      </c>
      <c r="H22" s="10">
        <f t="shared" ref="H22" si="3">SUM(F22:G22)</f>
        <v>44.820403276999997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CN_EXtoAfr</vt:lpstr>
      <vt:lpstr>CN_IMfromAfr</vt:lpstr>
      <vt:lpstr>US_EXtoAfr</vt:lpstr>
      <vt:lpstr>US_IMfromAfr</vt:lpstr>
      <vt:lpstr>Graphs 1</vt:lpstr>
      <vt:lpstr>Graphs 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Microsoft Office User</cp:lastModifiedBy>
  <dcterms:created xsi:type="dcterms:W3CDTF">2016-06-10T15:10:17Z</dcterms:created>
  <dcterms:modified xsi:type="dcterms:W3CDTF">2022-01-11T12:20:22Z</dcterms:modified>
</cp:coreProperties>
</file>