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mc:AlternateContent xmlns:mc="http://schemas.openxmlformats.org/markup-compatibility/2006">
    <mc:Choice Requires="x15">
      <x15ac:absPath xmlns:x15ac="http://schemas.microsoft.com/office/spreadsheetml/2010/11/ac" url="https://uottawa.sharepoint.com/sites/1100_365_T_Telfer_Investment_Club/Shared Documents/Technology, Media, Telecom, and Healthcare/2024-2025/Lightspeed Commerce - Winter 2024/Alumni Review/"/>
    </mc:Choice>
  </mc:AlternateContent>
  <xr:revisionPtr revIDLastSave="264" documentId="0_{F94776E9-9C8A-A74F-9B73-D69449DFCB7F}" xr6:coauthVersionLast="47" xr6:coauthVersionMax="47" xr10:uidLastSave="{C53E6F06-1162-42DA-B2B0-865A046E9743}"/>
  <bookViews>
    <workbookView xWindow="0" yWindow="500" windowWidth="28800" windowHeight="15980" firstSheet="2" activeTab="7" xr2:uid="{00000000-000D-0000-FFFF-FFFF00000000}"/>
  </bookViews>
  <sheets>
    <sheet name="Cover Sheet" sheetId="17" r:id="rId1"/>
    <sheet name="Contacts" sheetId="6" r:id="rId2"/>
    <sheet name="Company Summary" sheetId="25" r:id="rId3"/>
    <sheet name="DCF Summary" sheetId="22" r:id="rId4"/>
    <sheet name="DCF Assumptions (Bull)" sheetId="11" r:id="rId5"/>
    <sheet name="LSPD DCF (Unprofitability)" sheetId="26" r:id="rId6"/>
    <sheet name="LSPD DCF" sheetId="2" r:id="rId7"/>
    <sheet name="LSPD RV" sheetId="9" r:id="rId8"/>
    <sheet name="RV" sheetId="24" r:id="rId9"/>
    <sheet name="NWC Schedule" sheetId="18" r:id="rId10"/>
    <sheet name="Reverse DCF" sheetId="3" r:id="rId11"/>
    <sheet name="LSPD WACC" sheetId="5" r:id="rId12"/>
    <sheet name="Cost of Debt" sheetId="16" r:id="rId13"/>
    <sheet name="Market Return" sheetId="21" r:id="rId14"/>
    <sheet name="LSPD vs Shop" sheetId="1" state="hidden" r:id="rId15"/>
    <sheet name="LSPD Transcripts" sheetId="8" r:id="rId16"/>
    <sheet name="Market Share" sheetId="12" r:id="rId17"/>
    <sheet name="NLP Output" sheetId="15" r:id="rId18"/>
    <sheet name="Industry Growth" sheetId="13" r:id="rId19"/>
    <sheet name="Forecasted Software Spending" sheetId="14" r:id="rId20"/>
  </sheets>
  <externalReferences>
    <externalReference r:id="rId21"/>
  </externalReferences>
  <definedNames>
    <definedName name="CIQWBGuid" hidden="1">"5ddfbb62-80e7-46f9-8175-df5d4076b266"</definedName>
    <definedName name="CIQWBInfo" hidden="1">"{ ""CIQVersion"":""9.51.3510.3078""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45702.8340277778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2" i="2" l="1"/>
  <c r="V73" i="2" s="1"/>
  <c r="V74" i="2" s="1"/>
  <c r="V65" i="2"/>
  <c r="W65" i="2"/>
  <c r="X65" i="2"/>
  <c r="Y65" i="2"/>
  <c r="Z65" i="2"/>
  <c r="AA65" i="2"/>
  <c r="AB65" i="2"/>
  <c r="AC65" i="2"/>
  <c r="AD65" i="2"/>
  <c r="U65" i="2"/>
  <c r="G60" i="15"/>
  <c r="G72" i="15"/>
  <c r="G83" i="15"/>
  <c r="G84" i="15"/>
  <c r="E97" i="15"/>
  <c r="F97" i="15"/>
  <c r="C4" i="12"/>
  <c r="D4" i="12"/>
  <c r="E4" i="12" s="1"/>
  <c r="B7" i="12"/>
  <c r="C7" i="12"/>
  <c r="D7" i="12"/>
  <c r="E7" i="12"/>
  <c r="F12" i="12"/>
  <c r="F9" i="12" s="1"/>
  <c r="F7" i="12"/>
  <c r="B8" i="12"/>
  <c r="C8" i="12"/>
  <c r="D8" i="12"/>
  <c r="E8" i="12"/>
  <c r="F8" i="12"/>
  <c r="B9" i="12"/>
  <c r="C9" i="12"/>
  <c r="D9" i="12"/>
  <c r="E9" i="12"/>
  <c r="C21" i="12"/>
  <c r="D21" i="12" s="1"/>
  <c r="E21" i="12" s="1"/>
  <c r="F21" i="12" s="1"/>
  <c r="C27" i="12"/>
  <c r="D27" i="12"/>
  <c r="E27" i="12" s="1"/>
  <c r="F27" i="12" s="1"/>
  <c r="G27" i="12" s="1"/>
  <c r="B29" i="12"/>
  <c r="C29" i="12"/>
  <c r="D29" i="12"/>
  <c r="C36" i="12"/>
  <c r="D36" i="12" s="1"/>
  <c r="E36" i="12" s="1"/>
  <c r="F36" i="12" s="1"/>
  <c r="C49" i="12"/>
  <c r="D49" i="12"/>
  <c r="E49" i="12"/>
  <c r="F49" i="12" s="1"/>
  <c r="B50" i="12"/>
  <c r="C50" i="12"/>
  <c r="D50" i="12"/>
  <c r="E50" i="12"/>
  <c r="F50" i="12"/>
  <c r="B51" i="12"/>
  <c r="C51" i="12"/>
  <c r="D51" i="12"/>
  <c r="E51" i="12"/>
  <c r="F51" i="12"/>
  <c r="B52" i="12"/>
  <c r="C52" i="12"/>
  <c r="D52" i="12"/>
  <c r="E52" i="12"/>
  <c r="F52" i="12"/>
  <c r="B53" i="12"/>
  <c r="C53" i="12"/>
  <c r="D53" i="12"/>
  <c r="E53" i="12"/>
  <c r="F53" i="12"/>
  <c r="B54" i="12"/>
  <c r="C54" i="12"/>
  <c r="D54" i="12"/>
  <c r="E54" i="12"/>
  <c r="F54" i="12"/>
  <c r="C58" i="12"/>
  <c r="D58" i="12"/>
  <c r="E58" i="12" s="1"/>
  <c r="F58" i="12" s="1"/>
  <c r="C65" i="12"/>
  <c r="D65" i="12"/>
  <c r="E65" i="12" s="1"/>
  <c r="F65" i="12"/>
  <c r="B66" i="12"/>
  <c r="C66" i="12"/>
  <c r="D66" i="12"/>
  <c r="E66" i="12"/>
  <c r="F66" i="12"/>
  <c r="B67" i="12"/>
  <c r="C67" i="12"/>
  <c r="D67" i="12"/>
  <c r="E67" i="12"/>
  <c r="F67" i="12"/>
  <c r="B68" i="12"/>
  <c r="C68" i="12"/>
  <c r="D68" i="12"/>
  <c r="E68" i="12"/>
  <c r="F68" i="12"/>
  <c r="B69" i="12"/>
  <c r="C69" i="12"/>
  <c r="D69" i="12"/>
  <c r="E69" i="12"/>
  <c r="F69" i="12"/>
  <c r="B70" i="12"/>
  <c r="C70" i="12"/>
  <c r="D70" i="12"/>
  <c r="E70" i="12"/>
  <c r="F70" i="12"/>
  <c r="C73" i="12"/>
  <c r="D73" i="12" s="1"/>
  <c r="E73" i="12" s="1"/>
  <c r="F73" i="12" s="1"/>
  <c r="C80" i="12"/>
  <c r="D80" i="12" s="1"/>
  <c r="E80" i="12" s="1"/>
  <c r="F80" i="12" s="1"/>
  <c r="B81" i="12"/>
  <c r="C81" i="12"/>
  <c r="D81" i="12"/>
  <c r="E81" i="12"/>
  <c r="F81" i="12"/>
  <c r="B82" i="12"/>
  <c r="C82" i="12"/>
  <c r="D82" i="12"/>
  <c r="E82" i="12"/>
  <c r="F82" i="12"/>
  <c r="B83" i="12"/>
  <c r="C83" i="12"/>
  <c r="D83" i="12"/>
  <c r="E83" i="12"/>
  <c r="F83" i="12"/>
  <c r="B84" i="12"/>
  <c r="C84" i="12"/>
  <c r="D84" i="12"/>
  <c r="E84" i="12"/>
  <c r="F84" i="12"/>
  <c r="B85" i="12"/>
  <c r="C85" i="12"/>
  <c r="D85" i="12"/>
  <c r="E85" i="12"/>
  <c r="F85" i="12"/>
  <c r="C89" i="12"/>
  <c r="D89" i="12" s="1"/>
  <c r="E89" i="12" s="1"/>
  <c r="F89" i="12"/>
  <c r="B90" i="12"/>
  <c r="C90" i="12"/>
  <c r="C97" i="12" s="1"/>
  <c r="D90" i="12"/>
  <c r="D97" i="12" s="1"/>
  <c r="E90" i="12"/>
  <c r="E97" i="12" s="1"/>
  <c r="F90" i="12"/>
  <c r="B91" i="12"/>
  <c r="C91" i="12"/>
  <c r="D91" i="12"/>
  <c r="D98" i="12" s="1"/>
  <c r="E91" i="12"/>
  <c r="F91" i="12"/>
  <c r="F98" i="12" s="1"/>
  <c r="B92" i="12"/>
  <c r="B99" i="12" s="1"/>
  <c r="C92" i="12"/>
  <c r="C99" i="12" s="1"/>
  <c r="D92" i="12"/>
  <c r="E92" i="12"/>
  <c r="F92" i="12"/>
  <c r="B93" i="12"/>
  <c r="B100" i="12" s="1"/>
  <c r="C93" i="12"/>
  <c r="D93" i="12"/>
  <c r="D100" i="12" s="1"/>
  <c r="E93" i="12"/>
  <c r="F93" i="12"/>
  <c r="F100" i="12" s="1"/>
  <c r="B94" i="12"/>
  <c r="C94" i="12"/>
  <c r="D94" i="12"/>
  <c r="E94" i="12"/>
  <c r="E101" i="12" s="1"/>
  <c r="F94" i="12"/>
  <c r="C96" i="12"/>
  <c r="D96" i="12"/>
  <c r="E96" i="12" s="1"/>
  <c r="F96" i="12" s="1"/>
  <c r="B97" i="12"/>
  <c r="F97" i="12"/>
  <c r="B98" i="12"/>
  <c r="C98" i="12"/>
  <c r="E98" i="12"/>
  <c r="D99" i="12"/>
  <c r="E99" i="12"/>
  <c r="F99" i="12"/>
  <c r="C100" i="12"/>
  <c r="E100" i="12"/>
  <c r="B101" i="12"/>
  <c r="C101" i="12"/>
  <c r="D101" i="12"/>
  <c r="F101" i="12"/>
  <c r="D14" i="1"/>
  <c r="D17" i="1" s="1"/>
  <c r="K14" i="1"/>
  <c r="G15" i="1"/>
  <c r="K15" i="1"/>
  <c r="K21" i="1" s="1"/>
  <c r="P15" i="1"/>
  <c r="K16" i="1" s="1"/>
  <c r="D16" i="1"/>
  <c r="D26" i="21"/>
  <c r="C23" i="16"/>
  <c r="C25" i="16"/>
  <c r="K7" i="5"/>
  <c r="L15" i="5" s="1"/>
  <c r="L13" i="5" s="1"/>
  <c r="K8" i="5"/>
  <c r="K9" i="5"/>
  <c r="K10" i="5"/>
  <c r="K11" i="5"/>
  <c r="K12" i="5"/>
  <c r="F23" i="5"/>
  <c r="F25" i="5" s="1"/>
  <c r="F24" i="5"/>
  <c r="H26" i="22" s="1"/>
  <c r="F27" i="5"/>
  <c r="F31" i="5"/>
  <c r="F32" i="5"/>
  <c r="F35" i="5"/>
  <c r="F50" i="5"/>
  <c r="F51" i="5"/>
  <c r="F52" i="5"/>
  <c r="F53" i="5"/>
  <c r="F55" i="5" s="1"/>
  <c r="F59" i="5"/>
  <c r="F60" i="5"/>
  <c r="F69" i="5"/>
  <c r="F70" i="5"/>
  <c r="E7" i="3"/>
  <c r="E38" i="3" s="1"/>
  <c r="J7" i="3"/>
  <c r="K7" i="3" s="1"/>
  <c r="L7" i="3" s="1"/>
  <c r="M7" i="3" s="1"/>
  <c r="P7" i="3"/>
  <c r="Q7" i="3" s="1"/>
  <c r="R7" i="3"/>
  <c r="S7" i="3" s="1"/>
  <c r="T7" i="3" s="1"/>
  <c r="U7" i="3" s="1"/>
  <c r="V7" i="3" s="1"/>
  <c r="W7" i="3" s="1"/>
  <c r="X7" i="3" s="1"/>
  <c r="O8" i="3"/>
  <c r="P23" i="3"/>
  <c r="N9" i="3"/>
  <c r="O9" i="3"/>
  <c r="I10" i="3"/>
  <c r="J10" i="3"/>
  <c r="K10" i="3"/>
  <c r="L10" i="3"/>
  <c r="L11" i="3" s="1"/>
  <c r="M10" i="3"/>
  <c r="M11" i="3" s="1"/>
  <c r="N10" i="3"/>
  <c r="O10" i="3"/>
  <c r="I11" i="3"/>
  <c r="J11" i="3"/>
  <c r="K11" i="3"/>
  <c r="N11" i="3"/>
  <c r="O11" i="3"/>
  <c r="O13" i="3"/>
  <c r="N14" i="3"/>
  <c r="O14" i="3"/>
  <c r="O15" i="3" s="1"/>
  <c r="I15" i="3"/>
  <c r="I16" i="3" s="1"/>
  <c r="J15" i="3"/>
  <c r="K15" i="3"/>
  <c r="L15" i="3"/>
  <c r="M15" i="3"/>
  <c r="N15" i="3"/>
  <c r="J16" i="3"/>
  <c r="K16" i="3"/>
  <c r="L16" i="3"/>
  <c r="M16" i="3"/>
  <c r="N16" i="3"/>
  <c r="O16" i="3"/>
  <c r="O18" i="3"/>
  <c r="O25" i="3"/>
  <c r="O27" i="3"/>
  <c r="O29" i="3"/>
  <c r="O31" i="3"/>
  <c r="O33" i="3"/>
  <c r="O35" i="3"/>
  <c r="O41" i="3"/>
  <c r="O43" i="3"/>
  <c r="P28" i="3"/>
  <c r="Q28" i="3" s="1"/>
  <c r="P30" i="3"/>
  <c r="P32" i="3"/>
  <c r="P36" i="3"/>
  <c r="Q36" i="3" s="1"/>
  <c r="R36" i="3" s="1"/>
  <c r="S36" i="3" s="1"/>
  <c r="T36" i="3" s="1"/>
  <c r="U36" i="3" s="1"/>
  <c r="V36" i="3" s="1"/>
  <c r="W36" i="3" s="1"/>
  <c r="X36" i="3" s="1"/>
  <c r="P38" i="3"/>
  <c r="Q38" i="3" s="1"/>
  <c r="R38" i="3" s="1"/>
  <c r="S38" i="3" s="1"/>
  <c r="P44" i="3"/>
  <c r="Q44" i="3" s="1"/>
  <c r="R44" i="3" s="1"/>
  <c r="S44" i="3" s="1"/>
  <c r="T44" i="3" s="1"/>
  <c r="U44" i="3" s="1"/>
  <c r="V44" i="3" s="1"/>
  <c r="W44" i="3" s="1"/>
  <c r="X44" i="3" s="1"/>
  <c r="P22" i="3"/>
  <c r="Q22" i="3" s="1"/>
  <c r="R22" i="3" s="1"/>
  <c r="S22" i="3" s="1"/>
  <c r="T22" i="3" s="1"/>
  <c r="U22" i="3" s="1"/>
  <c r="V22" i="3" s="1"/>
  <c r="W22" i="3" s="1"/>
  <c r="X22" i="3" s="1"/>
  <c r="S28" i="3"/>
  <c r="S30" i="3"/>
  <c r="T28" i="3"/>
  <c r="T30" i="3"/>
  <c r="U30" i="3" s="1"/>
  <c r="V30" i="3" s="1"/>
  <c r="W30" i="3" s="1"/>
  <c r="X30" i="3" s="1"/>
  <c r="T32" i="3"/>
  <c r="T38" i="3"/>
  <c r="U38" i="3" s="1"/>
  <c r="U28" i="3"/>
  <c r="V28" i="3" s="1"/>
  <c r="U32" i="3"/>
  <c r="V32" i="3"/>
  <c r="W32" i="3" s="1"/>
  <c r="X32" i="3" s="1"/>
  <c r="V38" i="3"/>
  <c r="W28" i="3"/>
  <c r="X28" i="3" s="1"/>
  <c r="W38" i="3"/>
  <c r="X38" i="3" s="1"/>
  <c r="N19" i="3"/>
  <c r="N20" i="3" s="1"/>
  <c r="N21" i="3" s="1"/>
  <c r="I20" i="3"/>
  <c r="I21" i="3" s="1"/>
  <c r="J20" i="3"/>
  <c r="J21" i="3" s="1"/>
  <c r="K20" i="3"/>
  <c r="K21" i="3" s="1"/>
  <c r="L20" i="3"/>
  <c r="M20" i="3"/>
  <c r="M21" i="3" s="1"/>
  <c r="L21" i="3"/>
  <c r="E23" i="3"/>
  <c r="I23" i="3"/>
  <c r="J23" i="3"/>
  <c r="K23" i="3"/>
  <c r="L23" i="3"/>
  <c r="M23" i="3"/>
  <c r="N23" i="3"/>
  <c r="E24" i="3"/>
  <c r="I24" i="3"/>
  <c r="I25" i="3" s="1"/>
  <c r="J24" i="3"/>
  <c r="K24" i="3"/>
  <c r="K25" i="3" s="1"/>
  <c r="L24" i="3"/>
  <c r="M24" i="3"/>
  <c r="N24" i="3"/>
  <c r="O24" i="3"/>
  <c r="L25" i="3"/>
  <c r="L26" i="3" s="1"/>
  <c r="M25" i="3"/>
  <c r="N25" i="3"/>
  <c r="E26" i="3"/>
  <c r="O26" i="3"/>
  <c r="I28" i="3"/>
  <c r="K28" i="3"/>
  <c r="N28" i="3"/>
  <c r="I30" i="3"/>
  <c r="K30" i="3"/>
  <c r="I32" i="3"/>
  <c r="K32" i="3"/>
  <c r="M32" i="3"/>
  <c r="N32" i="3"/>
  <c r="L33" i="3"/>
  <c r="O34" i="3"/>
  <c r="E35" i="3"/>
  <c r="E36" i="3"/>
  <c r="I36" i="3"/>
  <c r="K36" i="3"/>
  <c r="M36" i="3"/>
  <c r="L39" i="3"/>
  <c r="I42" i="3"/>
  <c r="K42" i="3"/>
  <c r="O42" i="3"/>
  <c r="I44" i="3"/>
  <c r="K44" i="3"/>
  <c r="P53" i="3"/>
  <c r="Q53" i="3"/>
  <c r="R53" i="3"/>
  <c r="S53" i="3" s="1"/>
  <c r="T53" i="3" s="1"/>
  <c r="U53" i="3" s="1"/>
  <c r="V53" i="3" s="1"/>
  <c r="W53" i="3" s="1"/>
  <c r="X53" i="3" s="1"/>
  <c r="I62" i="3"/>
  <c r="J62" i="3"/>
  <c r="K62" i="3"/>
  <c r="L62" i="3"/>
  <c r="M62" i="3"/>
  <c r="N62" i="3"/>
  <c r="O62" i="3"/>
  <c r="P62" i="3"/>
  <c r="Q62" i="3"/>
  <c r="Q68" i="3" s="1"/>
  <c r="R62" i="3"/>
  <c r="R68" i="3" s="1"/>
  <c r="S62" i="3"/>
  <c r="S68" i="3" s="1"/>
  <c r="T62" i="3"/>
  <c r="U62" i="3"/>
  <c r="V62" i="3"/>
  <c r="V68" i="3" s="1"/>
  <c r="W62" i="3"/>
  <c r="X62" i="3"/>
  <c r="O68" i="3"/>
  <c r="P68" i="3"/>
  <c r="T68" i="3"/>
  <c r="U68" i="3"/>
  <c r="W68" i="3"/>
  <c r="X68" i="3"/>
  <c r="I84" i="3"/>
  <c r="I85" i="3"/>
  <c r="I87" i="3"/>
  <c r="B8" i="18"/>
  <c r="B24" i="18" s="1"/>
  <c r="C8" i="18"/>
  <c r="D8" i="18"/>
  <c r="E8" i="18"/>
  <c r="F8" i="18"/>
  <c r="B14" i="18"/>
  <c r="C14" i="18"/>
  <c r="D14" i="18"/>
  <c r="E14" i="18"/>
  <c r="E24" i="18" s="1"/>
  <c r="F14" i="18"/>
  <c r="V17" i="24"/>
  <c r="Y17" i="24"/>
  <c r="V18" i="24"/>
  <c r="Y18" i="24"/>
  <c r="V19" i="24"/>
  <c r="Y19" i="24" s="1"/>
  <c r="V20" i="24"/>
  <c r="Y20" i="24"/>
  <c r="V21" i="24"/>
  <c r="Y21" i="24"/>
  <c r="R5" i="9"/>
  <c r="U5" i="9" s="1"/>
  <c r="Y5" i="9"/>
  <c r="AB5" i="9"/>
  <c r="AB11" i="9" s="1"/>
  <c r="AH5" i="9"/>
  <c r="R6" i="9"/>
  <c r="U6" i="9" s="1"/>
  <c r="Y6" i="9"/>
  <c r="AB6" i="9"/>
  <c r="AG6" i="9"/>
  <c r="AH6" i="9"/>
  <c r="AI6" i="9"/>
  <c r="R7" i="9"/>
  <c r="U7" i="9"/>
  <c r="Y7" i="9"/>
  <c r="AA7" i="9"/>
  <c r="AB7" i="9"/>
  <c r="AG7" i="9"/>
  <c r="AH7" i="9"/>
  <c r="R8" i="9"/>
  <c r="U8" i="9"/>
  <c r="Z8" i="9" s="1"/>
  <c r="AA8" i="9"/>
  <c r="AB8" i="9"/>
  <c r="AH8" i="9"/>
  <c r="AI8" i="9"/>
  <c r="R9" i="9"/>
  <c r="AB9" i="9" s="1"/>
  <c r="U9" i="9"/>
  <c r="AH9" i="9"/>
  <c r="R10" i="9"/>
  <c r="U10" i="9" s="1"/>
  <c r="AG10" i="9" s="1"/>
  <c r="R11" i="9"/>
  <c r="S11" i="9"/>
  <c r="T11" i="9"/>
  <c r="V11" i="9"/>
  <c r="W11" i="9"/>
  <c r="AD11" i="9"/>
  <c r="AE11" i="9"/>
  <c r="AF11" i="9"/>
  <c r="AH11" i="9"/>
  <c r="R12" i="9"/>
  <c r="S12" i="9"/>
  <c r="T12" i="9"/>
  <c r="V12" i="9"/>
  <c r="W12" i="9"/>
  <c r="AD12" i="9"/>
  <c r="AE12" i="9"/>
  <c r="AF12" i="9"/>
  <c r="M49" i="9"/>
  <c r="M58" i="9"/>
  <c r="M59" i="9"/>
  <c r="M61" i="9"/>
  <c r="M37" i="9"/>
  <c r="M38" i="9"/>
  <c r="M40" i="9"/>
  <c r="M44" i="9"/>
  <c r="P7" i="2"/>
  <c r="Q7" i="2" s="1"/>
  <c r="R7" i="2" s="1"/>
  <c r="S7" i="2" s="1"/>
  <c r="V7" i="2"/>
  <c r="W7" i="2" s="1"/>
  <c r="X7" i="2" s="1"/>
  <c r="Y7" i="2" s="1"/>
  <c r="Z7" i="2" s="1"/>
  <c r="AA7" i="2" s="1"/>
  <c r="AB7" i="2" s="1"/>
  <c r="AC7" i="2" s="1"/>
  <c r="AD7" i="2" s="1"/>
  <c r="AR7" i="2"/>
  <c r="F8" i="2"/>
  <c r="F9" i="2" s="1"/>
  <c r="F14" i="2" s="1"/>
  <c r="J8" i="2"/>
  <c r="S8" i="2" s="1"/>
  <c r="D9" i="2"/>
  <c r="E9" i="2"/>
  <c r="E14" i="2" s="1"/>
  <c r="H9" i="2"/>
  <c r="I9" i="2"/>
  <c r="L9" i="2"/>
  <c r="M9" i="2"/>
  <c r="P9" i="2"/>
  <c r="Q9" i="2"/>
  <c r="F10" i="2"/>
  <c r="F11" i="2" s="1"/>
  <c r="J10" i="2"/>
  <c r="S10" i="2"/>
  <c r="D11" i="2"/>
  <c r="E11" i="2"/>
  <c r="G11" i="2"/>
  <c r="H11" i="2"/>
  <c r="H14" i="2" s="1"/>
  <c r="I11" i="2"/>
  <c r="J11" i="2"/>
  <c r="K11" i="2"/>
  <c r="L11" i="2"/>
  <c r="M11" i="2"/>
  <c r="P11" i="2"/>
  <c r="Q11" i="2"/>
  <c r="F12" i="2"/>
  <c r="R12" i="2" s="1"/>
  <c r="R13" i="2" s="1"/>
  <c r="J12" i="2"/>
  <c r="S12" i="2"/>
  <c r="U12" i="2" s="1"/>
  <c r="V12" i="2" s="1"/>
  <c r="W12" i="2"/>
  <c r="X12" i="2" s="1"/>
  <c r="Y12" i="2" s="1"/>
  <c r="Z12" i="2" s="1"/>
  <c r="AA12" i="2" s="1"/>
  <c r="AB12" i="2" s="1"/>
  <c r="AC12" i="2" s="1"/>
  <c r="AD12" i="2" s="1"/>
  <c r="D13" i="2"/>
  <c r="E13" i="2"/>
  <c r="F13" i="2"/>
  <c r="G13" i="2"/>
  <c r="H13" i="2"/>
  <c r="I13" i="2"/>
  <c r="L13" i="2"/>
  <c r="M13" i="2"/>
  <c r="P13" i="2"/>
  <c r="Q13" i="2"/>
  <c r="C14" i="2"/>
  <c r="C44" i="2" s="1"/>
  <c r="O14" i="2"/>
  <c r="P14" i="2"/>
  <c r="P30" i="2" s="1"/>
  <c r="Q14" i="2"/>
  <c r="Q15" i="2" s="1"/>
  <c r="F16" i="2"/>
  <c r="R16" i="2" s="1"/>
  <c r="J16" i="2"/>
  <c r="C18" i="2"/>
  <c r="C47" i="2" s="1"/>
  <c r="F19" i="2"/>
  <c r="R19" i="2" s="1"/>
  <c r="J19" i="2"/>
  <c r="S19" i="2" s="1"/>
  <c r="C20" i="2"/>
  <c r="C24" i="2"/>
  <c r="C25" i="2"/>
  <c r="D25" i="2"/>
  <c r="E25" i="2"/>
  <c r="G25" i="2"/>
  <c r="H25" i="2"/>
  <c r="I25" i="2"/>
  <c r="J25" i="2" s="1"/>
  <c r="K25" i="2"/>
  <c r="L25" i="2"/>
  <c r="M25" i="2"/>
  <c r="O25" i="2"/>
  <c r="P25" i="2"/>
  <c r="Q25" i="2"/>
  <c r="R25" i="2"/>
  <c r="C10" i="22" s="1" a="1"/>
  <c r="C10" i="22" s="1"/>
  <c r="S25" i="2"/>
  <c r="C9" i="16" s="1"/>
  <c r="F27" i="2"/>
  <c r="J27" i="2"/>
  <c r="C28" i="2"/>
  <c r="V29" i="2"/>
  <c r="R31" i="2"/>
  <c r="S31" i="2"/>
  <c r="U31" i="2"/>
  <c r="V31" i="2"/>
  <c r="W31" i="2"/>
  <c r="X31" i="2"/>
  <c r="Y31" i="2"/>
  <c r="Z31" i="2"/>
  <c r="AA31" i="2"/>
  <c r="C32" i="2"/>
  <c r="S33" i="2"/>
  <c r="V33" i="2"/>
  <c r="W33" i="2"/>
  <c r="X33" i="2" s="1"/>
  <c r="Y33" i="2" s="1"/>
  <c r="Z33" i="2" s="1"/>
  <c r="AA33" i="2" s="1"/>
  <c r="AB33" i="2" s="1"/>
  <c r="AC33" i="2"/>
  <c r="AD33" i="2" s="1"/>
  <c r="C34" i="2"/>
  <c r="V35" i="2"/>
  <c r="W35" i="2" s="1"/>
  <c r="X35" i="2" s="1"/>
  <c r="Y35" i="2" s="1"/>
  <c r="Z35" i="2" s="1"/>
  <c r="AA35" i="2" s="1"/>
  <c r="AB35" i="2" s="1"/>
  <c r="AC35" i="2" s="1"/>
  <c r="AD35" i="2" s="1"/>
  <c r="C37" i="2"/>
  <c r="C38" i="2" s="1"/>
  <c r="D37" i="2"/>
  <c r="E37" i="2"/>
  <c r="F37" i="2"/>
  <c r="G37" i="2"/>
  <c r="H37" i="2"/>
  <c r="I37" i="2"/>
  <c r="J37" i="2"/>
  <c r="K37" i="2"/>
  <c r="L37" i="2"/>
  <c r="M37" i="2"/>
  <c r="O37" i="2"/>
  <c r="P37" i="2"/>
  <c r="Q37" i="2"/>
  <c r="R37" i="2"/>
  <c r="S37" i="2"/>
  <c r="U37" i="2"/>
  <c r="C40" i="2"/>
  <c r="C42" i="2"/>
  <c r="C45" i="2"/>
  <c r="D45" i="2"/>
  <c r="E45" i="2"/>
  <c r="E50" i="2" s="1"/>
  <c r="E61" i="2" s="1"/>
  <c r="F45" i="2"/>
  <c r="F50" i="2" s="1"/>
  <c r="F61" i="2" s="1"/>
  <c r="G45" i="2"/>
  <c r="H45" i="2"/>
  <c r="I45" i="2"/>
  <c r="J45" i="2"/>
  <c r="J50" i="2" s="1"/>
  <c r="K45" i="2"/>
  <c r="L45" i="2"/>
  <c r="M45" i="2"/>
  <c r="O45" i="2"/>
  <c r="O50" i="2" s="1"/>
  <c r="O51" i="2" s="1"/>
  <c r="O62" i="2" s="1"/>
  <c r="P45" i="2"/>
  <c r="P50" i="2" s="1"/>
  <c r="Q45" i="2"/>
  <c r="R45" i="2"/>
  <c r="S45" i="2"/>
  <c r="S50" i="2" s="1"/>
  <c r="O46" i="2"/>
  <c r="D50" i="2"/>
  <c r="L50" i="2"/>
  <c r="M50" i="2"/>
  <c r="M61" i="2" s="1"/>
  <c r="C57" i="2"/>
  <c r="D126" i="2"/>
  <c r="D57" i="2" s="1"/>
  <c r="G57" i="2"/>
  <c r="H126" i="2"/>
  <c r="K57" i="2"/>
  <c r="L126" i="2"/>
  <c r="L57" i="2"/>
  <c r="O57" i="2"/>
  <c r="P57" i="2"/>
  <c r="Q57" i="2"/>
  <c r="O58" i="2"/>
  <c r="P58" i="2"/>
  <c r="C69" i="2"/>
  <c r="O69" i="2"/>
  <c r="D110" i="2"/>
  <c r="D111" i="2"/>
  <c r="E110" i="2"/>
  <c r="F110" i="2"/>
  <c r="H110" i="2"/>
  <c r="I110" i="2" s="1"/>
  <c r="H111" i="2"/>
  <c r="I111" i="2"/>
  <c r="L110" i="2"/>
  <c r="M110" i="2" s="1"/>
  <c r="L111" i="2"/>
  <c r="M111" i="2"/>
  <c r="S75" i="2"/>
  <c r="C28" i="5" s="1"/>
  <c r="C30" i="5" s="1"/>
  <c r="S76" i="2"/>
  <c r="S80" i="2" s="1"/>
  <c r="S77" i="2"/>
  <c r="S78" i="2"/>
  <c r="S79" i="2"/>
  <c r="C80" i="2"/>
  <c r="D80" i="2"/>
  <c r="E80" i="2"/>
  <c r="E88" i="2" s="1"/>
  <c r="F80" i="2"/>
  <c r="G80" i="2"/>
  <c r="G88" i="2" s="1"/>
  <c r="H80" i="2"/>
  <c r="I80" i="2"/>
  <c r="J80" i="2"/>
  <c r="J88" i="2" s="1"/>
  <c r="K80" i="2"/>
  <c r="L80" i="2"/>
  <c r="M80" i="2"/>
  <c r="O80" i="2"/>
  <c r="P80" i="2"/>
  <c r="P88" i="2" s="1"/>
  <c r="Q80" i="2"/>
  <c r="Q88" i="2" s="1"/>
  <c r="R80" i="2"/>
  <c r="S82" i="2"/>
  <c r="S83" i="2"/>
  <c r="S84" i="2"/>
  <c r="V84" i="2"/>
  <c r="S85" i="2"/>
  <c r="S86" i="2"/>
  <c r="C87" i="2"/>
  <c r="D87" i="2"/>
  <c r="E87" i="2"/>
  <c r="F87" i="2"/>
  <c r="G87" i="2"/>
  <c r="H87" i="2"/>
  <c r="I87" i="2"/>
  <c r="J87" i="2"/>
  <c r="K87" i="2"/>
  <c r="L87" i="2"/>
  <c r="M87" i="2"/>
  <c r="O87" i="2"/>
  <c r="P87" i="2"/>
  <c r="Q87" i="2"/>
  <c r="R87" i="2"/>
  <c r="V87" i="2"/>
  <c r="D34" i="22" s="1"/>
  <c r="C88" i="2"/>
  <c r="H88" i="2"/>
  <c r="V89" i="2"/>
  <c r="S90" i="2"/>
  <c r="S91" i="2"/>
  <c r="S92" i="2"/>
  <c r="S93" i="2"/>
  <c r="C94" i="2"/>
  <c r="C101" i="2" s="1"/>
  <c r="D94" i="2"/>
  <c r="E94" i="2"/>
  <c r="F94" i="2"/>
  <c r="G94" i="2"/>
  <c r="H94" i="2"/>
  <c r="H101" i="2" s="1"/>
  <c r="H105" i="2" s="1"/>
  <c r="I94" i="2"/>
  <c r="I101" i="2" s="1"/>
  <c r="J94" i="2"/>
  <c r="K94" i="2"/>
  <c r="K101" i="2" s="1"/>
  <c r="L94" i="2"/>
  <c r="M94" i="2"/>
  <c r="O94" i="2"/>
  <c r="P94" i="2"/>
  <c r="Q94" i="2"/>
  <c r="Q101" i="2" s="1"/>
  <c r="R94" i="2"/>
  <c r="R101" i="2" s="1"/>
  <c r="S96" i="2"/>
  <c r="S97" i="2"/>
  <c r="C25" i="5" s="1"/>
  <c r="C26" i="5" s="1"/>
  <c r="C18" i="25" s="1"/>
  <c r="AJ97" i="2"/>
  <c r="AI97" i="2" s="1"/>
  <c r="AH97" i="2" s="1"/>
  <c r="AG97" i="2" s="1"/>
  <c r="AF97" i="2" s="1"/>
  <c r="AE97" i="2" s="1"/>
  <c r="AL97" i="2"/>
  <c r="AM97" i="2" s="1"/>
  <c r="AN97" i="2" s="1"/>
  <c r="AO97" i="2" s="1"/>
  <c r="AP97" i="2" s="1"/>
  <c r="AQ97" i="2" s="1"/>
  <c r="S98" i="2"/>
  <c r="AD101" i="2"/>
  <c r="AD100" i="2" s="1"/>
  <c r="AD99" i="2" s="1"/>
  <c r="AD98" i="2" s="1"/>
  <c r="S99" i="2"/>
  <c r="C100" i="2"/>
  <c r="D100" i="2"/>
  <c r="E100" i="2"/>
  <c r="F100" i="2"/>
  <c r="G100" i="2"/>
  <c r="H100" i="2"/>
  <c r="I100" i="2"/>
  <c r="J100" i="2"/>
  <c r="J101" i="2" s="1"/>
  <c r="K100" i="2"/>
  <c r="L100" i="2"/>
  <c r="M100" i="2"/>
  <c r="O100" i="2"/>
  <c r="O101" i="2" s="1"/>
  <c r="P100" i="2"/>
  <c r="Q100" i="2"/>
  <c r="R100" i="2"/>
  <c r="G101" i="2"/>
  <c r="O102" i="2"/>
  <c r="P102" i="2"/>
  <c r="S103" i="2"/>
  <c r="AD103" i="2"/>
  <c r="S104" i="2"/>
  <c r="AD104" i="2"/>
  <c r="AD105" i="2" s="1"/>
  <c r="AD106" i="2" s="1"/>
  <c r="D108" i="2"/>
  <c r="E108" i="2"/>
  <c r="H108" i="2"/>
  <c r="I108" i="2" s="1"/>
  <c r="L108" i="2"/>
  <c r="M108" i="2" s="1"/>
  <c r="D109" i="2"/>
  <c r="E109" i="2"/>
  <c r="F109" i="2"/>
  <c r="H109" i="2"/>
  <c r="I109" i="2" s="1"/>
  <c r="AK111" i="2"/>
  <c r="AL111" i="2" s="1"/>
  <c r="AM111" i="2" s="1"/>
  <c r="AN111" i="2" s="1"/>
  <c r="AJ111" i="2"/>
  <c r="AI111" i="2" s="1"/>
  <c r="AH111" i="2" s="1"/>
  <c r="AG111" i="2" s="1"/>
  <c r="AF111" i="2" s="1"/>
  <c r="AE111" i="2" s="1"/>
  <c r="AO111" i="2"/>
  <c r="AP111" i="2" s="1"/>
  <c r="AQ111" i="2" s="1"/>
  <c r="D112" i="2"/>
  <c r="E112" i="2"/>
  <c r="H112" i="2"/>
  <c r="I112" i="2" s="1"/>
  <c r="J112" i="2" s="1"/>
  <c r="L112" i="2"/>
  <c r="M112" i="2" s="1"/>
  <c r="AD115" i="2"/>
  <c r="AD114" i="2" s="1"/>
  <c r="AD113" i="2" s="1"/>
  <c r="AD112" i="2" s="1"/>
  <c r="D113" i="2"/>
  <c r="H113" i="2"/>
  <c r="L113" i="2"/>
  <c r="P113" i="2"/>
  <c r="P124" i="2" s="1"/>
  <c r="P140" i="2" s="1"/>
  <c r="P142" i="2" s="1"/>
  <c r="D114" i="2"/>
  <c r="H114" i="2"/>
  <c r="J114" i="2" s="1"/>
  <c r="L114" i="2"/>
  <c r="M114" i="2" s="1"/>
  <c r="D115" i="2"/>
  <c r="E115" i="2"/>
  <c r="H115" i="2"/>
  <c r="I115" i="2" s="1"/>
  <c r="L115" i="2"/>
  <c r="M115" i="2"/>
  <c r="J116" i="2"/>
  <c r="S116" i="2" s="1"/>
  <c r="L116" i="2"/>
  <c r="M116" i="2" s="1"/>
  <c r="R116" i="2"/>
  <c r="D117" i="2"/>
  <c r="E117" i="2" s="1"/>
  <c r="H117" i="2"/>
  <c r="I117" i="2" s="1"/>
  <c r="J117" i="2" s="1"/>
  <c r="L117" i="2"/>
  <c r="M117" i="2" s="1"/>
  <c r="AD117" i="2"/>
  <c r="D118" i="2"/>
  <c r="H118" i="2"/>
  <c r="I118" i="2" s="1"/>
  <c r="M118" i="2"/>
  <c r="AD118" i="2"/>
  <c r="AD119" i="2" s="1"/>
  <c r="AD120" i="2" s="1"/>
  <c r="D119" i="2"/>
  <c r="H119" i="2"/>
  <c r="L119" i="2"/>
  <c r="M119" i="2"/>
  <c r="D120" i="2"/>
  <c r="E120" i="2" s="1"/>
  <c r="H120" i="2"/>
  <c r="I120" i="2"/>
  <c r="J120" i="2"/>
  <c r="L120" i="2"/>
  <c r="M120" i="2" s="1"/>
  <c r="D121" i="2"/>
  <c r="E121" i="2" s="1"/>
  <c r="H121" i="2"/>
  <c r="I121" i="2" s="1"/>
  <c r="J121" i="2"/>
  <c r="L121" i="2"/>
  <c r="M121" i="2"/>
  <c r="F122" i="2"/>
  <c r="R122" i="2" s="1"/>
  <c r="H122" i="2"/>
  <c r="I122" i="2" s="1"/>
  <c r="J122" i="2"/>
  <c r="L122" i="2"/>
  <c r="M122" i="2" s="1"/>
  <c r="S122" i="2"/>
  <c r="D123" i="2"/>
  <c r="H123" i="2"/>
  <c r="L123" i="2"/>
  <c r="M123" i="2"/>
  <c r="C124" i="2"/>
  <c r="C140" i="2" s="1"/>
  <c r="C142" i="2" s="1"/>
  <c r="G124" i="2"/>
  <c r="G140" i="2" s="1"/>
  <c r="K124" i="2"/>
  <c r="O124" i="2"/>
  <c r="O140" i="2" s="1"/>
  <c r="O142" i="2" s="1"/>
  <c r="Q124" i="2"/>
  <c r="Q140" i="2" s="1"/>
  <c r="D127" i="2"/>
  <c r="E127" i="2" s="1"/>
  <c r="H127" i="2"/>
  <c r="L127" i="2"/>
  <c r="M127" i="2" s="1"/>
  <c r="L128" i="2"/>
  <c r="M128" i="2"/>
  <c r="R128" i="2"/>
  <c r="S128" i="2"/>
  <c r="D129" i="2"/>
  <c r="H129" i="2"/>
  <c r="L129" i="2"/>
  <c r="M129" i="2" s="1"/>
  <c r="C130" i="2"/>
  <c r="G130" i="2"/>
  <c r="K130" i="2"/>
  <c r="O130" i="2"/>
  <c r="P130" i="2"/>
  <c r="Q130" i="2"/>
  <c r="D132" i="2"/>
  <c r="E132" i="2" s="1"/>
  <c r="H132" i="2"/>
  <c r="L132" i="2"/>
  <c r="D133" i="2"/>
  <c r="E133" i="2" s="1"/>
  <c r="F133" i="2" s="1"/>
  <c r="H133" i="2"/>
  <c r="L134" i="2"/>
  <c r="M134" i="2" s="1"/>
  <c r="R134" i="2"/>
  <c r="S134" i="2"/>
  <c r="D135" i="2"/>
  <c r="H135" i="2"/>
  <c r="L135" i="2"/>
  <c r="M135" i="2" s="1"/>
  <c r="D136" i="2"/>
  <c r="E136" i="2" s="1"/>
  <c r="I136" i="2"/>
  <c r="J136" i="2"/>
  <c r="L136" i="2"/>
  <c r="M136" i="2"/>
  <c r="C137" i="2"/>
  <c r="G137" i="2"/>
  <c r="K137" i="2"/>
  <c r="O137" i="2"/>
  <c r="P137" i="2"/>
  <c r="Q137" i="2"/>
  <c r="D139" i="2"/>
  <c r="H139" i="2"/>
  <c r="S139" i="2" s="1"/>
  <c r="L139" i="2"/>
  <c r="M139" i="2" s="1"/>
  <c r="K140" i="2"/>
  <c r="P7" i="26"/>
  <c r="Q7" i="26" s="1"/>
  <c r="R7" i="26" s="1"/>
  <c r="S7" i="26" s="1"/>
  <c r="V7" i="26"/>
  <c r="W7" i="26"/>
  <c r="X7" i="26"/>
  <c r="Y7" i="26"/>
  <c r="Z7" i="26" s="1"/>
  <c r="AA7" i="26" s="1"/>
  <c r="AB7" i="26" s="1"/>
  <c r="AC7" i="26" s="1"/>
  <c r="AD7" i="26" s="1"/>
  <c r="AR7" i="26"/>
  <c r="F8" i="26"/>
  <c r="R8" i="26" s="1"/>
  <c r="J8" i="26"/>
  <c r="D9" i="26"/>
  <c r="D14" i="26" s="1"/>
  <c r="D15" i="26" s="1"/>
  <c r="E9" i="26"/>
  <c r="F9" i="26"/>
  <c r="G9" i="26"/>
  <c r="H9" i="26"/>
  <c r="I9" i="26"/>
  <c r="L9" i="26"/>
  <c r="L14" i="26" s="1"/>
  <c r="M9" i="26"/>
  <c r="P9" i="26"/>
  <c r="Q9" i="26"/>
  <c r="Q14" i="26" s="1"/>
  <c r="F10" i="26"/>
  <c r="J10" i="26"/>
  <c r="S10" i="26"/>
  <c r="U10" i="26"/>
  <c r="V10" i="26" s="1"/>
  <c r="W10" i="26" s="1"/>
  <c r="X10" i="26" s="1"/>
  <c r="Y10" i="26" s="1"/>
  <c r="Z10" i="26" s="1"/>
  <c r="AA10" i="26"/>
  <c r="AB10" i="26"/>
  <c r="AC10" i="26" s="1"/>
  <c r="AD10" i="26" s="1"/>
  <c r="D11" i="26"/>
  <c r="E11" i="26"/>
  <c r="H11" i="26"/>
  <c r="I11" i="26"/>
  <c r="I14" i="26" s="1"/>
  <c r="I32" i="26" s="1"/>
  <c r="J11" i="26"/>
  <c r="K11" i="26"/>
  <c r="L11" i="26"/>
  <c r="M11" i="26"/>
  <c r="P11" i="26"/>
  <c r="Q11" i="26"/>
  <c r="F12" i="26"/>
  <c r="J12" i="26"/>
  <c r="D13" i="26"/>
  <c r="E13" i="26"/>
  <c r="H13" i="26"/>
  <c r="I13" i="26"/>
  <c r="L13" i="26"/>
  <c r="M13" i="26"/>
  <c r="P13" i="26"/>
  <c r="Q13" i="26"/>
  <c r="C14" i="26"/>
  <c r="E14" i="26"/>
  <c r="H14" i="26"/>
  <c r="H18" i="26" s="1"/>
  <c r="M14" i="26"/>
  <c r="O14" i="26"/>
  <c r="O44" i="26" s="1"/>
  <c r="F16" i="26"/>
  <c r="J16" i="26"/>
  <c r="R16" i="26"/>
  <c r="S16" i="26"/>
  <c r="C17" i="26"/>
  <c r="D17" i="26"/>
  <c r="H17" i="26"/>
  <c r="O17" i="26"/>
  <c r="C18" i="26"/>
  <c r="C48" i="26" s="1"/>
  <c r="D18" i="26"/>
  <c r="E18" i="26"/>
  <c r="E67" i="26" s="1"/>
  <c r="M18" i="26"/>
  <c r="O18" i="26"/>
  <c r="Q18" i="26"/>
  <c r="Q48" i="26" s="1"/>
  <c r="F19" i="26"/>
  <c r="J19" i="26"/>
  <c r="S19" i="26"/>
  <c r="C20" i="26"/>
  <c r="E20" i="26"/>
  <c r="H20" i="26"/>
  <c r="C22" i="26"/>
  <c r="D22" i="26"/>
  <c r="O22" i="26"/>
  <c r="Q22" i="26"/>
  <c r="C24" i="26"/>
  <c r="D24" i="26"/>
  <c r="L24" i="26"/>
  <c r="M24" i="26"/>
  <c r="O24" i="26"/>
  <c r="C25" i="26"/>
  <c r="D25" i="26"/>
  <c r="F25" i="26" s="1"/>
  <c r="E25" i="26"/>
  <c r="G25" i="26"/>
  <c r="H25" i="26"/>
  <c r="I25" i="26"/>
  <c r="K25" i="26"/>
  <c r="L25" i="26"/>
  <c r="M25" i="26"/>
  <c r="M48" i="26" s="1"/>
  <c r="O25" i="26"/>
  <c r="O26" i="26" s="1"/>
  <c r="P25" i="26"/>
  <c r="Q25" i="26"/>
  <c r="R25" i="26"/>
  <c r="S25" i="26"/>
  <c r="C26" i="26"/>
  <c r="L26" i="26"/>
  <c r="F27" i="26"/>
  <c r="J27" i="26"/>
  <c r="C28" i="26"/>
  <c r="D28" i="26"/>
  <c r="H28" i="26"/>
  <c r="O28" i="26"/>
  <c r="Q28" i="26"/>
  <c r="V29" i="26"/>
  <c r="W29" i="26" s="1"/>
  <c r="X29" i="26" s="1"/>
  <c r="Y29" i="26"/>
  <c r="Z29" i="26"/>
  <c r="AA29" i="26"/>
  <c r="C30" i="26"/>
  <c r="D30" i="26"/>
  <c r="H30" i="26"/>
  <c r="O30" i="26"/>
  <c r="R31" i="26"/>
  <c r="S31" i="26"/>
  <c r="U31" i="26"/>
  <c r="U37" i="26" s="1"/>
  <c r="V31" i="26"/>
  <c r="W31" i="26"/>
  <c r="X31" i="26"/>
  <c r="Y31" i="26"/>
  <c r="Z31" i="26"/>
  <c r="AA31" i="26"/>
  <c r="AB31" i="26"/>
  <c r="AC31" i="26"/>
  <c r="C32" i="26"/>
  <c r="D32" i="26"/>
  <c r="L32" i="26"/>
  <c r="O32" i="26"/>
  <c r="S33" i="26"/>
  <c r="V33" i="26"/>
  <c r="W33" i="26" s="1"/>
  <c r="X33" i="26" s="1"/>
  <c r="Y33" i="26"/>
  <c r="Z33" i="26"/>
  <c r="AA33" i="26"/>
  <c r="AB33" i="26" s="1"/>
  <c r="AC33" i="26" s="1"/>
  <c r="AD33" i="26" s="1"/>
  <c r="C34" i="26"/>
  <c r="D34" i="26"/>
  <c r="H34" i="26"/>
  <c r="O34" i="26"/>
  <c r="V35" i="26"/>
  <c r="W35" i="26" s="1"/>
  <c r="X35" i="26" s="1"/>
  <c r="Y35" i="26" s="1"/>
  <c r="Z35" i="26" s="1"/>
  <c r="AA35" i="26" s="1"/>
  <c r="AB35" i="26" s="1"/>
  <c r="AC35" i="26" s="1"/>
  <c r="AD35" i="26" s="1"/>
  <c r="C36" i="26"/>
  <c r="D36" i="26"/>
  <c r="E36" i="26"/>
  <c r="L36" i="26"/>
  <c r="O36" i="26"/>
  <c r="C37" i="26"/>
  <c r="D37" i="26"/>
  <c r="E37" i="26"/>
  <c r="F37" i="26"/>
  <c r="G37" i="26"/>
  <c r="H37" i="26"/>
  <c r="I37" i="26"/>
  <c r="J37" i="26"/>
  <c r="K37" i="26"/>
  <c r="L37" i="26"/>
  <c r="L38" i="26" s="1"/>
  <c r="M37" i="26"/>
  <c r="O37" i="26"/>
  <c r="O38" i="26" s="1"/>
  <c r="P37" i="26"/>
  <c r="Q37" i="26"/>
  <c r="R37" i="26"/>
  <c r="S37" i="26"/>
  <c r="V37" i="26"/>
  <c r="C38" i="26"/>
  <c r="D38" i="26"/>
  <c r="E38" i="26"/>
  <c r="C40" i="26"/>
  <c r="D40" i="26"/>
  <c r="H40" i="26"/>
  <c r="O40" i="26"/>
  <c r="Q40" i="26"/>
  <c r="C42" i="26"/>
  <c r="D42" i="26"/>
  <c r="E42" i="26"/>
  <c r="I42" i="26"/>
  <c r="L42" i="26"/>
  <c r="O42" i="26"/>
  <c r="C44" i="26"/>
  <c r="D44" i="26"/>
  <c r="L44" i="26"/>
  <c r="M44" i="26"/>
  <c r="C45" i="26"/>
  <c r="D45" i="26"/>
  <c r="E45" i="26"/>
  <c r="F45" i="26"/>
  <c r="G45" i="26"/>
  <c r="H45" i="26"/>
  <c r="I45" i="26"/>
  <c r="J45" i="26"/>
  <c r="K45" i="26"/>
  <c r="L45" i="26"/>
  <c r="M45" i="26"/>
  <c r="M46" i="26" s="1"/>
  <c r="O45" i="26"/>
  <c r="P45" i="26"/>
  <c r="Q45" i="26"/>
  <c r="R45" i="26"/>
  <c r="S45" i="26"/>
  <c r="C46" i="26"/>
  <c r="Q46" i="26"/>
  <c r="C47" i="26"/>
  <c r="H47" i="26"/>
  <c r="Q47" i="26"/>
  <c r="O48" i="26"/>
  <c r="C49" i="26"/>
  <c r="C50" i="26"/>
  <c r="F50" i="26"/>
  <c r="H50" i="26"/>
  <c r="H61" i="26" s="1"/>
  <c r="I50" i="26"/>
  <c r="J50" i="26"/>
  <c r="K50" i="26"/>
  <c r="M50" i="26"/>
  <c r="O50" i="26"/>
  <c r="Q50" i="26"/>
  <c r="Q61" i="26" s="1"/>
  <c r="R50" i="26"/>
  <c r="C51" i="26"/>
  <c r="C62" i="26" s="1"/>
  <c r="H51" i="26"/>
  <c r="I51" i="26"/>
  <c r="O51" i="26"/>
  <c r="O62" i="26" s="1"/>
  <c r="Q51" i="26"/>
  <c r="C57" i="26"/>
  <c r="D126" i="26"/>
  <c r="D57" i="26"/>
  <c r="D58" i="26" s="1"/>
  <c r="E126" i="26"/>
  <c r="E57" i="26"/>
  <c r="G57" i="26"/>
  <c r="H126" i="26"/>
  <c r="H57" i="26"/>
  <c r="I126" i="26"/>
  <c r="I57" i="26"/>
  <c r="I58" i="26" s="1"/>
  <c r="J126" i="26"/>
  <c r="K57" i="26"/>
  <c r="L126" i="26"/>
  <c r="O57" i="26"/>
  <c r="O58" i="26" s="1"/>
  <c r="P57" i="26"/>
  <c r="Q57" i="26"/>
  <c r="C58" i="26"/>
  <c r="E58" i="26"/>
  <c r="Q58" i="26"/>
  <c r="C61" i="26"/>
  <c r="F61" i="26"/>
  <c r="I61" i="26"/>
  <c r="O61" i="26"/>
  <c r="R61" i="26"/>
  <c r="H62" i="26"/>
  <c r="I62" i="26"/>
  <c r="Q62" i="26"/>
  <c r="M67" i="26"/>
  <c r="O67" i="26"/>
  <c r="Q67" i="26"/>
  <c r="O68" i="26"/>
  <c r="Q68" i="26"/>
  <c r="C69" i="26"/>
  <c r="D69" i="26"/>
  <c r="E69" i="26"/>
  <c r="L69" i="26"/>
  <c r="M69" i="26"/>
  <c r="O69" i="26"/>
  <c r="Q69" i="26"/>
  <c r="D110" i="26"/>
  <c r="D111" i="26"/>
  <c r="E111" i="26" s="1"/>
  <c r="E110" i="26"/>
  <c r="F110" i="26"/>
  <c r="H110" i="26"/>
  <c r="H111" i="26"/>
  <c r="I111" i="26"/>
  <c r="J111" i="26"/>
  <c r="L110" i="26"/>
  <c r="M110" i="26" s="1"/>
  <c r="L111" i="26"/>
  <c r="M111" i="26"/>
  <c r="O71" i="26"/>
  <c r="Q71" i="26"/>
  <c r="S111" i="26"/>
  <c r="S75" i="26"/>
  <c r="S76" i="26"/>
  <c r="S77" i="26"/>
  <c r="S78" i="26"/>
  <c r="V78" i="26"/>
  <c r="V83" i="26" s="1"/>
  <c r="V85" i="26" s="1"/>
  <c r="S79" i="26"/>
  <c r="C80" i="26"/>
  <c r="D80" i="26"/>
  <c r="E80" i="26"/>
  <c r="F80" i="26"/>
  <c r="F88" i="26" s="1"/>
  <c r="G80" i="26"/>
  <c r="H80" i="26"/>
  <c r="I80" i="26"/>
  <c r="I88" i="26" s="1"/>
  <c r="J80" i="26"/>
  <c r="K80" i="26"/>
  <c r="L80" i="26"/>
  <c r="M80" i="26"/>
  <c r="O80" i="26"/>
  <c r="O88" i="26" s="1"/>
  <c r="P80" i="26"/>
  <c r="Q80" i="26"/>
  <c r="R80" i="26"/>
  <c r="R88" i="26" s="1"/>
  <c r="R105" i="26" s="1"/>
  <c r="S80" i="26"/>
  <c r="S82" i="26"/>
  <c r="S83" i="26"/>
  <c r="S84" i="26"/>
  <c r="V84" i="26"/>
  <c r="S85" i="26"/>
  <c r="S86" i="26"/>
  <c r="C87" i="26"/>
  <c r="C88" i="26" s="1"/>
  <c r="C105" i="26" s="1"/>
  <c r="D87" i="26"/>
  <c r="E87" i="26"/>
  <c r="F87" i="26"/>
  <c r="G87" i="26"/>
  <c r="H87" i="26"/>
  <c r="I87" i="26"/>
  <c r="J87" i="26"/>
  <c r="J88" i="26" s="1"/>
  <c r="J105" i="26" s="1"/>
  <c r="K87" i="26"/>
  <c r="L87" i="26"/>
  <c r="M87" i="26"/>
  <c r="O87" i="26"/>
  <c r="P87" i="26"/>
  <c r="Q87" i="26"/>
  <c r="R87" i="26"/>
  <c r="S87" i="26"/>
  <c r="V87" i="26"/>
  <c r="E88" i="26"/>
  <c r="G88" i="26"/>
  <c r="H88" i="26"/>
  <c r="H105" i="26" s="1"/>
  <c r="K88" i="26"/>
  <c r="K105" i="26" s="1"/>
  <c r="M88" i="26"/>
  <c r="P88" i="26"/>
  <c r="Q88" i="26"/>
  <c r="V89" i="26"/>
  <c r="S90" i="26"/>
  <c r="S94" i="26" s="1"/>
  <c r="S91" i="26"/>
  <c r="S92" i="26"/>
  <c r="S93" i="26"/>
  <c r="C94" i="26"/>
  <c r="C101" i="26" s="1"/>
  <c r="D94" i="26"/>
  <c r="E94" i="26"/>
  <c r="F94" i="26"/>
  <c r="F101" i="26" s="1"/>
  <c r="F105" i="26" s="1"/>
  <c r="G94" i="26"/>
  <c r="H94" i="26"/>
  <c r="H101" i="26" s="1"/>
  <c r="I94" i="26"/>
  <c r="J94" i="26"/>
  <c r="J101" i="26" s="1"/>
  <c r="K94" i="26"/>
  <c r="K101" i="26" s="1"/>
  <c r="L94" i="26"/>
  <c r="M94" i="26"/>
  <c r="O94" i="26"/>
  <c r="P94" i="26"/>
  <c r="Q94" i="26"/>
  <c r="Q101" i="26" s="1"/>
  <c r="R94" i="26"/>
  <c r="S96" i="26"/>
  <c r="S97" i="26"/>
  <c r="AJ97" i="26"/>
  <c r="AI97" i="26" s="1"/>
  <c r="AH97" i="26" s="1"/>
  <c r="AG97" i="26"/>
  <c r="AF97" i="26" s="1"/>
  <c r="AE97" i="26" s="1"/>
  <c r="AL97" i="26"/>
  <c r="AM97" i="26" s="1"/>
  <c r="AN97" i="26" s="1"/>
  <c r="AO97" i="26" s="1"/>
  <c r="AP97" i="26" s="1"/>
  <c r="AQ97" i="26" s="1"/>
  <c r="S98" i="26"/>
  <c r="AD101" i="26"/>
  <c r="AD100" i="26"/>
  <c r="AD99" i="26" s="1"/>
  <c r="AD98" i="26"/>
  <c r="S99" i="26"/>
  <c r="C100" i="26"/>
  <c r="D100" i="26"/>
  <c r="E100" i="26"/>
  <c r="F100" i="26"/>
  <c r="G100" i="26"/>
  <c r="G101" i="26" s="1"/>
  <c r="G105" i="26" s="1"/>
  <c r="H100" i="26"/>
  <c r="I100" i="26"/>
  <c r="J100" i="26"/>
  <c r="K100" i="26"/>
  <c r="L100" i="26"/>
  <c r="M100" i="26"/>
  <c r="O100" i="26"/>
  <c r="P100" i="26"/>
  <c r="P101" i="26" s="1"/>
  <c r="P105" i="26" s="1"/>
  <c r="Q100" i="26"/>
  <c r="R100" i="26"/>
  <c r="R101" i="26" s="1"/>
  <c r="D101" i="26"/>
  <c r="E101" i="26"/>
  <c r="L101" i="26"/>
  <c r="M101" i="26"/>
  <c r="O101" i="26"/>
  <c r="O105" i="26" s="1"/>
  <c r="O102" i="26"/>
  <c r="P102" i="26"/>
  <c r="S103" i="26"/>
  <c r="AD103" i="26"/>
  <c r="AD104" i="26" s="1"/>
  <c r="AD105" i="26" s="1"/>
  <c r="AD106" i="26" s="1"/>
  <c r="S104" i="26"/>
  <c r="Q105" i="26"/>
  <c r="D108" i="26"/>
  <c r="E108" i="26"/>
  <c r="F108" i="26"/>
  <c r="H108" i="26"/>
  <c r="L108" i="26"/>
  <c r="M108" i="26" s="1"/>
  <c r="D109" i="26"/>
  <c r="E109" i="26"/>
  <c r="F109" i="26"/>
  <c r="H109" i="26"/>
  <c r="I109" i="26"/>
  <c r="AK111" i="26"/>
  <c r="AJ111" i="26"/>
  <c r="AI111" i="26" s="1"/>
  <c r="AH111" i="26"/>
  <c r="AG111" i="26" s="1"/>
  <c r="AF111" i="26" s="1"/>
  <c r="AE111" i="26"/>
  <c r="AL111" i="26"/>
  <c r="AM111" i="26"/>
  <c r="AN111" i="26" s="1"/>
  <c r="AO111" i="26" s="1"/>
  <c r="AP111" i="26" s="1"/>
  <c r="AQ111" i="26" s="1"/>
  <c r="D112" i="26"/>
  <c r="E112" i="26"/>
  <c r="F112" i="26"/>
  <c r="H112" i="26"/>
  <c r="I112" i="26"/>
  <c r="L112" i="26"/>
  <c r="M112" i="26" s="1"/>
  <c r="AD115" i="26"/>
  <c r="AD114" i="26" s="1"/>
  <c r="AD113" i="26" s="1"/>
  <c r="AD112" i="26" s="1"/>
  <c r="D113" i="26"/>
  <c r="H113" i="26"/>
  <c r="I113" i="26"/>
  <c r="J113" i="26" s="1"/>
  <c r="L113" i="26"/>
  <c r="M113" i="26" s="1"/>
  <c r="P113" i="26"/>
  <c r="D114" i="26"/>
  <c r="E114" i="26"/>
  <c r="F114" i="26"/>
  <c r="H114" i="26"/>
  <c r="J114" i="26" s="1"/>
  <c r="L114" i="26"/>
  <c r="M114" i="26" s="1"/>
  <c r="S114" i="26"/>
  <c r="D115" i="26"/>
  <c r="E115" i="26" s="1"/>
  <c r="H115" i="26"/>
  <c r="I115" i="26"/>
  <c r="L115" i="26"/>
  <c r="M115" i="26"/>
  <c r="J116" i="26"/>
  <c r="S116" i="26" s="1"/>
  <c r="L116" i="26"/>
  <c r="M116" i="26"/>
  <c r="R116" i="26"/>
  <c r="D117" i="26"/>
  <c r="E117" i="26"/>
  <c r="F117" i="26"/>
  <c r="H117" i="26"/>
  <c r="I117" i="26" s="1"/>
  <c r="L117" i="26"/>
  <c r="M117" i="26"/>
  <c r="AD117" i="26"/>
  <c r="AD118" i="26" s="1"/>
  <c r="AD119" i="26" s="1"/>
  <c r="D118" i="26"/>
  <c r="H118" i="26"/>
  <c r="I118" i="26"/>
  <c r="J118" i="26"/>
  <c r="M118" i="26"/>
  <c r="S118" i="26"/>
  <c r="D119" i="26"/>
  <c r="H119" i="26"/>
  <c r="I119" i="26" s="1"/>
  <c r="L119" i="26"/>
  <c r="M119" i="26" s="1"/>
  <c r="D120" i="26"/>
  <c r="E120" i="26"/>
  <c r="F120" i="26"/>
  <c r="H120" i="26"/>
  <c r="I120" i="26" s="1"/>
  <c r="L120" i="26"/>
  <c r="M120" i="26"/>
  <c r="AD120" i="26"/>
  <c r="D121" i="26"/>
  <c r="H121" i="26"/>
  <c r="I121" i="26"/>
  <c r="J121" i="26"/>
  <c r="L121" i="26"/>
  <c r="M121" i="26"/>
  <c r="F122" i="26"/>
  <c r="R122" i="26" s="1"/>
  <c r="H122" i="26"/>
  <c r="I122" i="26"/>
  <c r="S122" i="26" s="1"/>
  <c r="J122" i="26"/>
  <c r="L122" i="26"/>
  <c r="M122" i="26"/>
  <c r="D123" i="26"/>
  <c r="H123" i="26"/>
  <c r="L123" i="26"/>
  <c r="M123" i="26" s="1"/>
  <c r="C124" i="26"/>
  <c r="G124" i="26"/>
  <c r="G140" i="26" s="1"/>
  <c r="K124" i="26"/>
  <c r="O124" i="26"/>
  <c r="P124" i="26"/>
  <c r="P140" i="26" s="1"/>
  <c r="Q124" i="26"/>
  <c r="D127" i="26"/>
  <c r="E127" i="26"/>
  <c r="F127" i="26"/>
  <c r="H127" i="26"/>
  <c r="I127" i="26"/>
  <c r="L127" i="26"/>
  <c r="L128" i="26"/>
  <c r="M128" i="26" s="1"/>
  <c r="R128" i="26"/>
  <c r="S128" i="26"/>
  <c r="D129" i="26"/>
  <c r="H129" i="26"/>
  <c r="I129" i="26"/>
  <c r="I130" i="26" s="1"/>
  <c r="J129" i="26"/>
  <c r="L129" i="26"/>
  <c r="M129" i="26" s="1"/>
  <c r="C130" i="26"/>
  <c r="G130" i="26"/>
  <c r="K130" i="26"/>
  <c r="O130" i="26"/>
  <c r="P130" i="26"/>
  <c r="Q130" i="26"/>
  <c r="D132" i="26"/>
  <c r="E132" i="26"/>
  <c r="F132" i="26" s="1"/>
  <c r="H132" i="26"/>
  <c r="I132" i="26"/>
  <c r="L132" i="26"/>
  <c r="M132" i="26" s="1"/>
  <c r="D133" i="26"/>
  <c r="E133" i="26"/>
  <c r="H133" i="26"/>
  <c r="I133" i="26"/>
  <c r="J133" i="26" s="1"/>
  <c r="S133" i="26"/>
  <c r="L134" i="26"/>
  <c r="M134" i="26"/>
  <c r="R134" i="26"/>
  <c r="S134" i="26"/>
  <c r="D135" i="26"/>
  <c r="H135" i="26"/>
  <c r="I135" i="26" s="1"/>
  <c r="L135" i="26"/>
  <c r="M135" i="26" s="1"/>
  <c r="D136" i="26"/>
  <c r="E136" i="26"/>
  <c r="F136" i="26" s="1"/>
  <c r="I136" i="26"/>
  <c r="J136" i="26" s="1"/>
  <c r="L136" i="26"/>
  <c r="M136" i="26"/>
  <c r="C137" i="26"/>
  <c r="D137" i="26"/>
  <c r="G137" i="26"/>
  <c r="K137" i="26"/>
  <c r="L137" i="26"/>
  <c r="M137" i="26"/>
  <c r="O137" i="26"/>
  <c r="P137" i="26"/>
  <c r="Q137" i="26"/>
  <c r="D139" i="26"/>
  <c r="E139" i="26" s="1"/>
  <c r="H139" i="26"/>
  <c r="S139" i="26" s="1"/>
  <c r="L139" i="26"/>
  <c r="M139" i="26"/>
  <c r="C140" i="26"/>
  <c r="C142" i="26" s="1"/>
  <c r="K140" i="26"/>
  <c r="O140" i="26"/>
  <c r="O142" i="26" s="1"/>
  <c r="Q140" i="26"/>
  <c r="G142" i="26"/>
  <c r="N4" i="11"/>
  <c r="O4" i="11"/>
  <c r="P4" i="11"/>
  <c r="Q4" i="11" s="1"/>
  <c r="R4" i="11" s="1"/>
  <c r="S4" i="11" s="1"/>
  <c r="T4" i="11" s="1"/>
  <c r="U4" i="11" s="1"/>
  <c r="V4" i="11" s="1"/>
  <c r="N5" i="11"/>
  <c r="O5" i="11"/>
  <c r="P5" i="11"/>
  <c r="Q5" i="11"/>
  <c r="R5" i="11" s="1"/>
  <c r="S5" i="11" s="1"/>
  <c r="T5" i="11" s="1"/>
  <c r="U5" i="11" s="1"/>
  <c r="V5" i="11" s="1"/>
  <c r="M6" i="11"/>
  <c r="M7" i="11" s="1"/>
  <c r="N25" i="11"/>
  <c r="N24" i="11"/>
  <c r="N28" i="11" s="1"/>
  <c r="N6" i="11"/>
  <c r="O25" i="11"/>
  <c r="O24" i="11"/>
  <c r="P25" i="11"/>
  <c r="Q25" i="11"/>
  <c r="R25" i="11"/>
  <c r="S25" i="11"/>
  <c r="T25" i="11"/>
  <c r="U25" i="11"/>
  <c r="V25" i="11"/>
  <c r="E7" i="11"/>
  <c r="K24" i="11"/>
  <c r="K7" i="11" s="1"/>
  <c r="K8" i="11"/>
  <c r="K26" i="11" s="1"/>
  <c r="K28" i="11" s="1"/>
  <c r="K29" i="11" s="1"/>
  <c r="M29" i="11"/>
  <c r="M28" i="11" s="1"/>
  <c r="M26" i="11" s="1"/>
  <c r="N29" i="11"/>
  <c r="N26" i="11"/>
  <c r="N27" i="11" s="1"/>
  <c r="N8" i="11"/>
  <c r="O29" i="11"/>
  <c r="P29" i="11"/>
  <c r="Q29" i="11"/>
  <c r="R29" i="11"/>
  <c r="S29" i="11"/>
  <c r="T29" i="11"/>
  <c r="U29" i="11"/>
  <c r="V29" i="11"/>
  <c r="K9" i="11"/>
  <c r="K10" i="11" s="1"/>
  <c r="M12" i="11"/>
  <c r="M13" i="11" s="1"/>
  <c r="N12" i="11"/>
  <c r="N13" i="11" s="1"/>
  <c r="K13" i="11"/>
  <c r="K15" i="11"/>
  <c r="K16" i="11"/>
  <c r="M18" i="11"/>
  <c r="N18" i="11"/>
  <c r="K19" i="11"/>
  <c r="M19" i="11"/>
  <c r="N19" i="11"/>
  <c r="K20" i="11"/>
  <c r="K21" i="11" s="1"/>
  <c r="K22" i="11" s="1"/>
  <c r="M25" i="11"/>
  <c r="M32" i="11"/>
  <c r="M31" i="11" s="1"/>
  <c r="M34" i="11"/>
  <c r="M33" i="11"/>
  <c r="M36" i="11"/>
  <c r="M35" i="11"/>
  <c r="M45" i="11" s="1"/>
  <c r="M46" i="11" s="1"/>
  <c r="M40" i="11"/>
  <c r="M39" i="11" s="1"/>
  <c r="M42" i="11"/>
  <c r="M48" i="11"/>
  <c r="M47" i="11"/>
  <c r="N32" i="11"/>
  <c r="N31" i="11"/>
  <c r="N34" i="11"/>
  <c r="N33" i="11"/>
  <c r="N37" i="11" s="1"/>
  <c r="N36" i="11"/>
  <c r="N35" i="11"/>
  <c r="N40" i="11"/>
  <c r="N39" i="11" s="1"/>
  <c r="N42" i="11"/>
  <c r="N45" i="11"/>
  <c r="N46" i="11" s="1"/>
  <c r="N48" i="11"/>
  <c r="N47" i="11" s="1"/>
  <c r="O32" i="11"/>
  <c r="O34" i="11"/>
  <c r="O36" i="11"/>
  <c r="O40" i="11"/>
  <c r="O42" i="11"/>
  <c r="O48" i="11"/>
  <c r="P32" i="11"/>
  <c r="P34" i="11"/>
  <c r="P36" i="11"/>
  <c r="P40" i="11"/>
  <c r="P42" i="11"/>
  <c r="P48" i="11"/>
  <c r="Q32" i="11"/>
  <c r="Q34" i="11"/>
  <c r="Q36" i="11"/>
  <c r="Q40" i="11"/>
  <c r="Q42" i="11"/>
  <c r="Q48" i="11"/>
  <c r="R32" i="11"/>
  <c r="R34" i="11"/>
  <c r="R36" i="11"/>
  <c r="R40" i="11"/>
  <c r="R42" i="11"/>
  <c r="R48" i="11"/>
  <c r="S32" i="11"/>
  <c r="S34" i="11"/>
  <c r="S36" i="11"/>
  <c r="S40" i="11"/>
  <c r="S42" i="11"/>
  <c r="S48" i="11"/>
  <c r="T32" i="11"/>
  <c r="T34" i="11"/>
  <c r="T36" i="11"/>
  <c r="T40" i="11"/>
  <c r="T42" i="11"/>
  <c r="T48" i="11"/>
  <c r="U32" i="11"/>
  <c r="U34" i="11"/>
  <c r="U36" i="11"/>
  <c r="U40" i="11"/>
  <c r="U42" i="11"/>
  <c r="U48" i="11"/>
  <c r="V32" i="11"/>
  <c r="V34" i="11"/>
  <c r="V36" i="11"/>
  <c r="V40" i="11"/>
  <c r="V42" i="11"/>
  <c r="V48" i="11"/>
  <c r="K27" i="11"/>
  <c r="M27" i="11"/>
  <c r="E30" i="11"/>
  <c r="E31" i="11"/>
  <c r="K32" i="11"/>
  <c r="E33" i="11"/>
  <c r="K34" i="11"/>
  <c r="K36" i="11"/>
  <c r="K37" i="11"/>
  <c r="K38" i="11" s="1"/>
  <c r="K40" i="11"/>
  <c r="E45" i="11"/>
  <c r="E46" i="11"/>
  <c r="D48" i="22" s="1"/>
  <c r="K46" i="11"/>
  <c r="E48" i="11"/>
  <c r="D50" i="22" s="1"/>
  <c r="K48" i="11"/>
  <c r="C14" i="22" a="1"/>
  <c r="C14" i="22" s="1"/>
  <c r="H25" i="22"/>
  <c r="D32" i="22"/>
  <c r="H32" i="22"/>
  <c r="D36" i="22"/>
  <c r="D44" i="22"/>
  <c r="D46" i="22"/>
  <c r="D52" i="22"/>
  <c r="G10" i="25"/>
  <c r="B2" i="17"/>
  <c r="J21" i="17"/>
  <c r="U68" i="2" l="1"/>
  <c r="J105" i="2"/>
  <c r="C8" i="16"/>
  <c r="C9" i="22" a="1"/>
  <c r="C9" i="22" s="1"/>
  <c r="Q105" i="2"/>
  <c r="E69" i="2"/>
  <c r="E20" i="2"/>
  <c r="E40" i="2"/>
  <c r="E22" i="2"/>
  <c r="E17" i="2"/>
  <c r="D130" i="2"/>
  <c r="M88" i="2"/>
  <c r="M105" i="2" s="1"/>
  <c r="E46" i="2"/>
  <c r="C30" i="2"/>
  <c r="R10" i="2"/>
  <c r="R11" i="2" s="1"/>
  <c r="L14" i="2"/>
  <c r="L44" i="2" s="1"/>
  <c r="S11" i="2"/>
  <c r="F120" i="2"/>
  <c r="S114" i="2"/>
  <c r="P101" i="2"/>
  <c r="M101" i="2"/>
  <c r="E101" i="2"/>
  <c r="E105" i="2" s="1"/>
  <c r="L88" i="2"/>
  <c r="D88" i="2"/>
  <c r="C67" i="2"/>
  <c r="C58" i="2"/>
  <c r="C46" i="2"/>
  <c r="C36" i="2"/>
  <c r="V37" i="2"/>
  <c r="C22" i="2"/>
  <c r="C17" i="2"/>
  <c r="L51" i="2"/>
  <c r="L62" i="2" s="1"/>
  <c r="Q36" i="2"/>
  <c r="P69" i="2"/>
  <c r="Q44" i="2"/>
  <c r="Q22" i="2"/>
  <c r="S112" i="2"/>
  <c r="L61" i="2"/>
  <c r="C48" i="2"/>
  <c r="C71" i="2" s="1"/>
  <c r="P44" i="2"/>
  <c r="S13" i="2"/>
  <c r="D14" i="2"/>
  <c r="R120" i="2"/>
  <c r="J108" i="2"/>
  <c r="S108" i="2" s="1"/>
  <c r="R88" i="2"/>
  <c r="R105" i="2" s="1"/>
  <c r="Q38" i="2"/>
  <c r="AD31" i="2"/>
  <c r="C12" i="22" a="1"/>
  <c r="C12" i="22" s="1"/>
  <c r="Q58" i="2"/>
  <c r="P46" i="2"/>
  <c r="P38" i="2"/>
  <c r="M14" i="2"/>
  <c r="M15" i="2" s="1"/>
  <c r="C24" i="18"/>
  <c r="F24" i="18"/>
  <c r="F25" i="18" s="1"/>
  <c r="V88" i="26"/>
  <c r="AD111" i="26" s="1"/>
  <c r="M127" i="26"/>
  <c r="L130" i="26"/>
  <c r="E123" i="26"/>
  <c r="R123" i="26" s="1"/>
  <c r="F123" i="26"/>
  <c r="F30" i="5"/>
  <c r="H27" i="22"/>
  <c r="J109" i="26"/>
  <c r="S109" i="26"/>
  <c r="F26" i="26"/>
  <c r="H35" i="22"/>
  <c r="R133" i="26"/>
  <c r="F133" i="26"/>
  <c r="F137" i="26" s="1"/>
  <c r="M113" i="2"/>
  <c r="M124" i="2" s="1"/>
  <c r="M140" i="2" s="1"/>
  <c r="L124" i="2"/>
  <c r="L140" i="2" s="1"/>
  <c r="M20" i="11"/>
  <c r="M21" i="11" s="1"/>
  <c r="M22" i="11" s="1"/>
  <c r="M14" i="11"/>
  <c r="M15" i="11" s="1"/>
  <c r="M16" i="11" s="1"/>
  <c r="M8" i="11"/>
  <c r="M9" i="11" s="1"/>
  <c r="M10" i="11" s="1"/>
  <c r="O6" i="11"/>
  <c r="O28" i="11"/>
  <c r="O26" i="11" s="1"/>
  <c r="O35" i="11"/>
  <c r="O45" i="11" s="1"/>
  <c r="O46" i="11" s="1"/>
  <c r="P24" i="11"/>
  <c r="O47" i="11"/>
  <c r="O39" i="11"/>
  <c r="O18" i="11"/>
  <c r="O31" i="11"/>
  <c r="R120" i="26"/>
  <c r="R117" i="26"/>
  <c r="M124" i="26"/>
  <c r="Y37" i="26"/>
  <c r="I110" i="26"/>
  <c r="J110" i="26" s="1"/>
  <c r="M52" i="26"/>
  <c r="M49" i="26"/>
  <c r="M71" i="26"/>
  <c r="D26" i="26"/>
  <c r="I101" i="26"/>
  <c r="I105" i="26" s="1"/>
  <c r="F38" i="5"/>
  <c r="O12" i="11"/>
  <c r="R136" i="26"/>
  <c r="E121" i="26"/>
  <c r="F121" i="26"/>
  <c r="E118" i="26"/>
  <c r="F118" i="26" s="1"/>
  <c r="D124" i="26"/>
  <c r="D140" i="26" s="1"/>
  <c r="E46" i="26"/>
  <c r="E50" i="26"/>
  <c r="M61" i="26"/>
  <c r="M51" i="26"/>
  <c r="M62" i="26" s="1"/>
  <c r="O33" i="11"/>
  <c r="N9" i="11"/>
  <c r="N10" i="11" s="1"/>
  <c r="Q141" i="26"/>
  <c r="H124" i="26"/>
  <c r="H140" i="26" s="1"/>
  <c r="I108" i="26"/>
  <c r="J108" i="26" s="1"/>
  <c r="M68" i="26"/>
  <c r="D67" i="26"/>
  <c r="D47" i="26"/>
  <c r="K43" i="11"/>
  <c r="K42" i="11"/>
  <c r="N41" i="11"/>
  <c r="N43" i="11" s="1"/>
  <c r="N50" i="11" s="1"/>
  <c r="N51" i="11" s="1"/>
  <c r="M37" i="11"/>
  <c r="P141" i="26"/>
  <c r="P142" i="26"/>
  <c r="S123" i="26"/>
  <c r="I123" i="26"/>
  <c r="J123" i="26"/>
  <c r="E119" i="26"/>
  <c r="F119" i="26"/>
  <c r="R119" i="26"/>
  <c r="S88" i="26"/>
  <c r="D48" i="26"/>
  <c r="K142" i="26"/>
  <c r="E129" i="26"/>
  <c r="F129" i="26"/>
  <c r="J127" i="26"/>
  <c r="S127" i="26" s="1"/>
  <c r="H130" i="26"/>
  <c r="E113" i="26"/>
  <c r="K46" i="26"/>
  <c r="AB29" i="26"/>
  <c r="AA37" i="26"/>
  <c r="I133" i="2"/>
  <c r="J133" i="2" s="1"/>
  <c r="H130" i="2"/>
  <c r="I127" i="2"/>
  <c r="J127" i="2"/>
  <c r="J118" i="2"/>
  <c r="S118" i="2" s="1"/>
  <c r="F30" i="2"/>
  <c r="F34" i="2"/>
  <c r="F32" i="2"/>
  <c r="F36" i="2"/>
  <c r="F42" i="2"/>
  <c r="F18" i="2"/>
  <c r="F20" i="2"/>
  <c r="F46" i="2"/>
  <c r="F22" i="2"/>
  <c r="F15" i="2"/>
  <c r="F24" i="2"/>
  <c r="F40" i="2"/>
  <c r="F44" i="2"/>
  <c r="F17" i="2"/>
  <c r="F69" i="2"/>
  <c r="F51" i="2"/>
  <c r="F62" i="2" s="1"/>
  <c r="F38" i="2"/>
  <c r="C71" i="26"/>
  <c r="C52" i="26"/>
  <c r="S113" i="26"/>
  <c r="F38" i="26"/>
  <c r="I28" i="26"/>
  <c r="R12" i="26"/>
  <c r="R13" i="26" s="1"/>
  <c r="F13" i="26"/>
  <c r="G13" i="26"/>
  <c r="N14" i="11"/>
  <c r="N15" i="11" s="1"/>
  <c r="N16" i="11" s="1"/>
  <c r="Q142" i="26"/>
  <c r="F139" i="26"/>
  <c r="J135" i="26"/>
  <c r="I137" i="26"/>
  <c r="D130" i="26"/>
  <c r="L124" i="26"/>
  <c r="L140" i="26" s="1"/>
  <c r="J115" i="26"/>
  <c r="S115" i="26" s="1"/>
  <c r="R112" i="26"/>
  <c r="R109" i="26"/>
  <c r="S100" i="26"/>
  <c r="S101" i="26" s="1"/>
  <c r="K61" i="26"/>
  <c r="L57" i="26"/>
  <c r="L58" i="26" s="1"/>
  <c r="M126" i="26"/>
  <c r="S50" i="26"/>
  <c r="Z37" i="26"/>
  <c r="I26" i="26"/>
  <c r="Q52" i="26"/>
  <c r="Q49" i="26"/>
  <c r="M17" i="26"/>
  <c r="M32" i="26"/>
  <c r="M22" i="26"/>
  <c r="M28" i="26"/>
  <c r="M40" i="26"/>
  <c r="M30" i="26"/>
  <c r="M34" i="26"/>
  <c r="M15" i="26"/>
  <c r="M20" i="26"/>
  <c r="M36" i="26"/>
  <c r="M38" i="26"/>
  <c r="M42" i="26"/>
  <c r="Q24" i="26"/>
  <c r="Q36" i="26"/>
  <c r="Q42" i="26"/>
  <c r="Q26" i="26"/>
  <c r="Q38" i="26"/>
  <c r="Q44" i="26"/>
  <c r="Q17" i="26"/>
  <c r="Q32" i="26"/>
  <c r="Q20" i="26"/>
  <c r="Q30" i="26"/>
  <c r="Q34" i="26"/>
  <c r="E139" i="2"/>
  <c r="H15" i="2"/>
  <c r="H24" i="2"/>
  <c r="H17" i="2"/>
  <c r="H30" i="2"/>
  <c r="H40" i="2"/>
  <c r="H34" i="2"/>
  <c r="H26" i="2"/>
  <c r="H36" i="2"/>
  <c r="H44" i="2"/>
  <c r="H69" i="2"/>
  <c r="H20" i="2"/>
  <c r="H28" i="2"/>
  <c r="H32" i="2"/>
  <c r="H18" i="2"/>
  <c r="H22" i="2"/>
  <c r="H42" i="2"/>
  <c r="J112" i="26"/>
  <c r="S112" i="26" s="1"/>
  <c r="G142" i="2"/>
  <c r="N7" i="11"/>
  <c r="H137" i="26"/>
  <c r="J132" i="26"/>
  <c r="R127" i="26"/>
  <c r="S121" i="26"/>
  <c r="J119" i="26"/>
  <c r="S119" i="26" s="1"/>
  <c r="F115" i="26"/>
  <c r="R115" i="26" s="1"/>
  <c r="R114" i="26"/>
  <c r="E105" i="26"/>
  <c r="L88" i="26"/>
  <c r="L105" i="26" s="1"/>
  <c r="D88" i="26"/>
  <c r="D105" i="26" s="1"/>
  <c r="R110" i="26"/>
  <c r="J61" i="26"/>
  <c r="O49" i="26"/>
  <c r="O52" i="26"/>
  <c r="M26" i="26"/>
  <c r="H48" i="26"/>
  <c r="H67" i="26"/>
  <c r="P14" i="26"/>
  <c r="Q142" i="2"/>
  <c r="Q141" i="2"/>
  <c r="E129" i="2"/>
  <c r="F129" i="2" s="1"/>
  <c r="F115" i="2"/>
  <c r="R115" i="2" s="1"/>
  <c r="S51" i="2"/>
  <c r="S62" i="2" s="1"/>
  <c r="S61" i="2"/>
  <c r="S129" i="26"/>
  <c r="R108" i="26"/>
  <c r="N20" i="11"/>
  <c r="N21" i="11" s="1"/>
  <c r="N22" i="11" s="1"/>
  <c r="R139" i="26"/>
  <c r="S136" i="26"/>
  <c r="S135" i="26"/>
  <c r="J120" i="26"/>
  <c r="S120" i="26" s="1"/>
  <c r="J117" i="26"/>
  <c r="S117" i="26" s="1"/>
  <c r="F111" i="26"/>
  <c r="R111" i="26" s="1"/>
  <c r="C68" i="26"/>
  <c r="C67" i="26"/>
  <c r="J57" i="26"/>
  <c r="J130" i="26"/>
  <c r="O47" i="26"/>
  <c r="X37" i="26"/>
  <c r="J25" i="26"/>
  <c r="M47" i="26"/>
  <c r="E32" i="26"/>
  <c r="E17" i="26"/>
  <c r="E22" i="26"/>
  <c r="E28" i="26"/>
  <c r="E40" i="26"/>
  <c r="E15" i="26"/>
  <c r="E24" i="26"/>
  <c r="E26" i="26"/>
  <c r="E44" i="26"/>
  <c r="E30" i="26"/>
  <c r="E34" i="26"/>
  <c r="M132" i="2"/>
  <c r="M137" i="2" s="1"/>
  <c r="L137" i="2"/>
  <c r="I123" i="2"/>
  <c r="R50" i="2"/>
  <c r="I50" i="2"/>
  <c r="I17" i="26"/>
  <c r="I18" i="26"/>
  <c r="I15" i="26"/>
  <c r="I30" i="26"/>
  <c r="I34" i="26"/>
  <c r="I44" i="26"/>
  <c r="I20" i="26"/>
  <c r="I36" i="26"/>
  <c r="I40" i="26"/>
  <c r="I24" i="26"/>
  <c r="E135" i="26"/>
  <c r="F135" i="26"/>
  <c r="R132" i="26"/>
  <c r="M105" i="26"/>
  <c r="I69" i="26"/>
  <c r="I46" i="26"/>
  <c r="I38" i="26"/>
  <c r="W37" i="26"/>
  <c r="I22" i="26"/>
  <c r="E47" i="26"/>
  <c r="E48" i="26"/>
  <c r="O61" i="2"/>
  <c r="H58" i="26"/>
  <c r="P58" i="26"/>
  <c r="S126" i="26"/>
  <c r="F126" i="26"/>
  <c r="P46" i="26"/>
  <c r="P50" i="26"/>
  <c r="G50" i="26"/>
  <c r="L17" i="26"/>
  <c r="L20" i="26"/>
  <c r="L22" i="26"/>
  <c r="L28" i="26"/>
  <c r="L40" i="26"/>
  <c r="L18" i="26"/>
  <c r="L30" i="26"/>
  <c r="L34" i="26"/>
  <c r="I135" i="2"/>
  <c r="J135" i="2" s="1"/>
  <c r="R133" i="2"/>
  <c r="K88" i="2"/>
  <c r="K105" i="2" s="1"/>
  <c r="M126" i="2"/>
  <c r="L130" i="2"/>
  <c r="Q50" i="2"/>
  <c r="Q46" i="2"/>
  <c r="H46" i="2"/>
  <c r="H50" i="2"/>
  <c r="R19" i="26"/>
  <c r="S12" i="26"/>
  <c r="K13" i="26"/>
  <c r="J13" i="26"/>
  <c r="I129" i="2"/>
  <c r="S87" i="2"/>
  <c r="S88" i="2" s="1"/>
  <c r="P61" i="2"/>
  <c r="P51" i="2"/>
  <c r="P62" i="2" s="1"/>
  <c r="G46" i="2"/>
  <c r="G50" i="2"/>
  <c r="F101" i="2"/>
  <c r="C105" i="2"/>
  <c r="H69" i="26"/>
  <c r="H46" i="26"/>
  <c r="L46" i="26"/>
  <c r="L50" i="26"/>
  <c r="D46" i="26"/>
  <c r="D50" i="26"/>
  <c r="AD31" i="26"/>
  <c r="H22" i="26"/>
  <c r="H137" i="2"/>
  <c r="I132" i="2"/>
  <c r="J132" i="2" s="1"/>
  <c r="S121" i="2"/>
  <c r="P141" i="2"/>
  <c r="S111" i="2"/>
  <c r="D61" i="2"/>
  <c r="F17" i="26"/>
  <c r="H24" i="26"/>
  <c r="H36" i="26"/>
  <c r="H42" i="26"/>
  <c r="H26" i="26"/>
  <c r="H38" i="26"/>
  <c r="H44" i="26"/>
  <c r="H32" i="26"/>
  <c r="G11" i="26"/>
  <c r="G14" i="26" s="1"/>
  <c r="R10" i="26"/>
  <c r="F11" i="26"/>
  <c r="F14" i="26"/>
  <c r="L101" i="2"/>
  <c r="L105" i="2" s="1"/>
  <c r="D101" i="2"/>
  <c r="D105" i="2" s="1"/>
  <c r="S8" i="26"/>
  <c r="K9" i="26"/>
  <c r="K14" i="26" s="1"/>
  <c r="K51" i="26" s="1"/>
  <c r="K62" i="26" s="1"/>
  <c r="F127" i="2"/>
  <c r="R127" i="2" s="1"/>
  <c r="I119" i="2"/>
  <c r="J119" i="2" s="1"/>
  <c r="F118" i="2"/>
  <c r="S117" i="2"/>
  <c r="S100" i="2"/>
  <c r="I88" i="2"/>
  <c r="I105" i="2" s="1"/>
  <c r="J111" i="2"/>
  <c r="E51" i="2"/>
  <c r="E62" i="2" s="1"/>
  <c r="C49" i="2"/>
  <c r="C19" i="18"/>
  <c r="C18" i="18"/>
  <c r="P22" i="2"/>
  <c r="P28" i="2"/>
  <c r="P24" i="2"/>
  <c r="P18" i="2"/>
  <c r="P40" i="2"/>
  <c r="P32" i="2"/>
  <c r="P34" i="2"/>
  <c r="P20" i="2"/>
  <c r="P26" i="2"/>
  <c r="P36" i="2"/>
  <c r="P42" i="2"/>
  <c r="P15" i="2"/>
  <c r="P17" i="2"/>
  <c r="O46" i="26"/>
  <c r="O20" i="26"/>
  <c r="R9" i="26"/>
  <c r="H124" i="2"/>
  <c r="H140" i="2" s="1"/>
  <c r="F121" i="2"/>
  <c r="R121" i="2" s="1"/>
  <c r="S120" i="2"/>
  <c r="E119" i="2"/>
  <c r="F119" i="2" s="1"/>
  <c r="E118" i="2"/>
  <c r="F117" i="2"/>
  <c r="R117" i="2" s="1"/>
  <c r="I113" i="2"/>
  <c r="J113" i="2" s="1"/>
  <c r="J109" i="2"/>
  <c r="S109" i="2" s="1"/>
  <c r="J110" i="2"/>
  <c r="S110" i="2" s="1"/>
  <c r="M69" i="2"/>
  <c r="S16" i="2"/>
  <c r="O30" i="2"/>
  <c r="B18" i="18"/>
  <c r="O32" i="2"/>
  <c r="O34" i="2"/>
  <c r="O20" i="2"/>
  <c r="O28" i="2"/>
  <c r="O36" i="2"/>
  <c r="O42" i="2"/>
  <c r="O22" i="2"/>
  <c r="O24" i="2"/>
  <c r="O17" i="2"/>
  <c r="O18" i="2"/>
  <c r="O38" i="2"/>
  <c r="O40" i="2"/>
  <c r="O44" i="2"/>
  <c r="AB12" i="9"/>
  <c r="E113" i="2"/>
  <c r="F113" i="2"/>
  <c r="R113" i="2" s="1"/>
  <c r="F108" i="2"/>
  <c r="R108" i="2" s="1"/>
  <c r="P105" i="2"/>
  <c r="G105" i="2"/>
  <c r="E111" i="2"/>
  <c r="F111" i="2" s="1"/>
  <c r="H57" i="2"/>
  <c r="H58" i="2" s="1"/>
  <c r="I126" i="2"/>
  <c r="J126" i="2" s="1"/>
  <c r="M24" i="2"/>
  <c r="M26" i="2"/>
  <c r="M28" i="2"/>
  <c r="M42" i="2"/>
  <c r="M22" i="2"/>
  <c r="M44" i="2"/>
  <c r="M18" i="2"/>
  <c r="M46" i="2"/>
  <c r="U8" i="2"/>
  <c r="S14" i="2"/>
  <c r="S38" i="2" s="1"/>
  <c r="S9" i="2"/>
  <c r="AA10" i="9"/>
  <c r="Z10" i="9"/>
  <c r="AI10" i="9"/>
  <c r="AJ10" i="9"/>
  <c r="D20" i="26"/>
  <c r="J9" i="26"/>
  <c r="J14" i="26" s="1"/>
  <c r="K142" i="2"/>
  <c r="S136" i="2"/>
  <c r="E135" i="2"/>
  <c r="F135" i="2" s="1"/>
  <c r="D137" i="2"/>
  <c r="F132" i="2"/>
  <c r="E123" i="2"/>
  <c r="J115" i="2"/>
  <c r="S115" i="2" s="1"/>
  <c r="S94" i="2"/>
  <c r="O88" i="2"/>
  <c r="O105" i="2" s="1"/>
  <c r="F88" i="2"/>
  <c r="R110" i="2"/>
  <c r="I38" i="2"/>
  <c r="U10" i="2"/>
  <c r="V10" i="2" s="1"/>
  <c r="W10" i="2" s="1"/>
  <c r="X10" i="2" s="1"/>
  <c r="Y10" i="2" s="1"/>
  <c r="Z10" i="2" s="1"/>
  <c r="AA10" i="2" s="1"/>
  <c r="AB10" i="2" s="1"/>
  <c r="AC10" i="2" s="1"/>
  <c r="AD10" i="2" s="1"/>
  <c r="L18" i="2"/>
  <c r="L22" i="2"/>
  <c r="L24" i="2"/>
  <c r="L28" i="2"/>
  <c r="L32" i="2"/>
  <c r="L34" i="2"/>
  <c r="J9" i="2"/>
  <c r="J14" i="2" s="1"/>
  <c r="J38" i="2" s="1"/>
  <c r="K9" i="2"/>
  <c r="K14" i="2" s="1"/>
  <c r="K46" i="2" s="1"/>
  <c r="B19" i="18"/>
  <c r="F136" i="2"/>
  <c r="R136" i="2" s="1"/>
  <c r="D124" i="2"/>
  <c r="D140" i="2" s="1"/>
  <c r="E114" i="2"/>
  <c r="F112" i="2"/>
  <c r="R112" i="2" s="1"/>
  <c r="R109" i="2"/>
  <c r="J61" i="2"/>
  <c r="H38" i="2"/>
  <c r="M17" i="2"/>
  <c r="Q42" i="2"/>
  <c r="W29" i="2"/>
  <c r="Q20" i="2"/>
  <c r="R8" i="2"/>
  <c r="G9" i="2"/>
  <c r="G14" i="2" s="1"/>
  <c r="Y12" i="9"/>
  <c r="Y11" i="9"/>
  <c r="N33" i="3"/>
  <c r="N26" i="3"/>
  <c r="C26" i="2"/>
  <c r="F25" i="2"/>
  <c r="F26" i="2" s="1"/>
  <c r="E24" i="2"/>
  <c r="E26" i="2"/>
  <c r="E32" i="2"/>
  <c r="E34" i="2"/>
  <c r="E36" i="2"/>
  <c r="E42" i="2"/>
  <c r="E18" i="2"/>
  <c r="E28" i="2"/>
  <c r="E44" i="2"/>
  <c r="AG9" i="9"/>
  <c r="AI9" i="9"/>
  <c r="Z9" i="9"/>
  <c r="AA9" i="9"/>
  <c r="AJ9" i="9"/>
  <c r="Z5" i="9"/>
  <c r="AA5" i="9"/>
  <c r="U11" i="9"/>
  <c r="AG5" i="9"/>
  <c r="AJ5" i="9"/>
  <c r="AI5" i="9"/>
  <c r="U12" i="9"/>
  <c r="E126" i="2"/>
  <c r="M38" i="2"/>
  <c r="E38" i="2"/>
  <c r="AC31" i="2"/>
  <c r="E30" i="2"/>
  <c r="Q26" i="2"/>
  <c r="K26" i="2"/>
  <c r="Q17" i="2"/>
  <c r="P18" i="3"/>
  <c r="P29" i="3"/>
  <c r="P43" i="3"/>
  <c r="P13" i="3"/>
  <c r="P31" i="3"/>
  <c r="P41" i="3" s="1"/>
  <c r="P42" i="3" s="1"/>
  <c r="P8" i="3"/>
  <c r="P35" i="3"/>
  <c r="Q23" i="3"/>
  <c r="P25" i="3"/>
  <c r="P27" i="3"/>
  <c r="Q69" i="2"/>
  <c r="L38" i="2"/>
  <c r="AB31" i="2"/>
  <c r="S32" i="2"/>
  <c r="F28" i="2"/>
  <c r="C10" i="16"/>
  <c r="K38" i="2"/>
  <c r="D19" i="18"/>
  <c r="D18" i="18"/>
  <c r="Q24" i="2"/>
  <c r="Q30" i="2"/>
  <c r="Q18" i="2"/>
  <c r="Q40" i="2"/>
  <c r="Q28" i="2"/>
  <c r="Q32" i="2"/>
  <c r="Q34" i="2"/>
  <c r="K50" i="2"/>
  <c r="C50" i="2"/>
  <c r="J13" i="2"/>
  <c r="K13" i="2"/>
  <c r="I14" i="2"/>
  <c r="I46" i="2" s="1"/>
  <c r="AJ6" i="9"/>
  <c r="AA6" i="9"/>
  <c r="Z6" i="9"/>
  <c r="N42" i="3"/>
  <c r="N44" i="3"/>
  <c r="N36" i="3"/>
  <c r="N30" i="3"/>
  <c r="O19" i="3"/>
  <c r="O20" i="3"/>
  <c r="O21" i="3" s="1"/>
  <c r="AB10" i="9"/>
  <c r="AH10" i="9"/>
  <c r="AI7" i="9"/>
  <c r="AJ7" i="9"/>
  <c r="Z7" i="9"/>
  <c r="C25" i="18"/>
  <c r="M30" i="3"/>
  <c r="M42" i="3"/>
  <c r="M28" i="3"/>
  <c r="M44" i="3"/>
  <c r="O39" i="3"/>
  <c r="O46" i="3" s="1"/>
  <c r="O47" i="3" s="1"/>
  <c r="O37" i="3"/>
  <c r="O26" i="2"/>
  <c r="AH12" i="9"/>
  <c r="M47" i="9" s="1"/>
  <c r="M33" i="3"/>
  <c r="M26" i="3"/>
  <c r="K33" i="3"/>
  <c r="K26" i="3"/>
  <c r="J42" i="3"/>
  <c r="J44" i="3"/>
  <c r="J30" i="3"/>
  <c r="J32" i="3"/>
  <c r="J36" i="3"/>
  <c r="J28" i="3"/>
  <c r="J25" i="3"/>
  <c r="L42" i="3"/>
  <c r="L44" i="3"/>
  <c r="L30" i="3"/>
  <c r="L32" i="3"/>
  <c r="L36" i="3"/>
  <c r="AG8" i="9"/>
  <c r="AJ8" i="9"/>
  <c r="D24" i="18"/>
  <c r="L28" i="3"/>
  <c r="L34" i="3"/>
  <c r="L38" i="3"/>
  <c r="I33" i="3"/>
  <c r="I26" i="3"/>
  <c r="K17" i="1"/>
  <c r="D15" i="2" l="1"/>
  <c r="D26" i="2"/>
  <c r="D24" i="2"/>
  <c r="D34" i="2"/>
  <c r="D42" i="2"/>
  <c r="D32" i="2"/>
  <c r="D40" i="2"/>
  <c r="D30" i="2"/>
  <c r="D69" i="2"/>
  <c r="D22" i="2"/>
  <c r="D36" i="2"/>
  <c r="S127" i="2"/>
  <c r="E15" i="2"/>
  <c r="D58" i="2"/>
  <c r="D44" i="2"/>
  <c r="R118" i="2"/>
  <c r="C52" i="2"/>
  <c r="C68" i="2"/>
  <c r="D46" i="2"/>
  <c r="S123" i="2"/>
  <c r="D28" i="2"/>
  <c r="D51" i="2"/>
  <c r="D62" i="2" s="1"/>
  <c r="M30" i="2"/>
  <c r="M34" i="2"/>
  <c r="M40" i="2"/>
  <c r="M51" i="2"/>
  <c r="M62" i="2" s="1"/>
  <c r="L42" i="2"/>
  <c r="L69" i="2"/>
  <c r="L30" i="2"/>
  <c r="L46" i="2"/>
  <c r="D20" i="2"/>
  <c r="L36" i="2"/>
  <c r="L20" i="2"/>
  <c r="S101" i="2"/>
  <c r="S105" i="2" s="1"/>
  <c r="U14" i="2"/>
  <c r="M36" i="2"/>
  <c r="D38" i="2"/>
  <c r="D18" i="2"/>
  <c r="D67" i="2" s="1"/>
  <c r="D17" i="2"/>
  <c r="L26" i="2"/>
  <c r="L40" i="2"/>
  <c r="L17" i="2"/>
  <c r="M32" i="2"/>
  <c r="M20" i="2"/>
  <c r="F114" i="2"/>
  <c r="R114" i="2" s="1"/>
  <c r="J123" i="2"/>
  <c r="L58" i="2"/>
  <c r="V90" i="26"/>
  <c r="AD97" i="26"/>
  <c r="J18" i="26"/>
  <c r="J22" i="26"/>
  <c r="J28" i="26"/>
  <c r="J40" i="26"/>
  <c r="J24" i="26"/>
  <c r="J36" i="26"/>
  <c r="J42" i="26"/>
  <c r="J30" i="26"/>
  <c r="J34" i="26"/>
  <c r="J15" i="26"/>
  <c r="J20" i="26"/>
  <c r="J38" i="26"/>
  <c r="J69" i="26"/>
  <c r="J32" i="26"/>
  <c r="J44" i="26"/>
  <c r="J46" i="26"/>
  <c r="J17" i="26"/>
  <c r="J51" i="26"/>
  <c r="J62" i="26" s="1"/>
  <c r="J124" i="26"/>
  <c r="J140" i="26" s="1"/>
  <c r="S108" i="26"/>
  <c r="O27" i="11"/>
  <c r="O8" i="11"/>
  <c r="O20" i="11"/>
  <c r="O14" i="11"/>
  <c r="J57" i="2"/>
  <c r="J58" i="2" s="1"/>
  <c r="G18" i="26"/>
  <c r="G32" i="26"/>
  <c r="G15" i="26"/>
  <c r="G20" i="26"/>
  <c r="G22" i="26"/>
  <c r="G36" i="26"/>
  <c r="G38" i="26"/>
  <c r="G17" i="26"/>
  <c r="G42" i="26"/>
  <c r="G44" i="26"/>
  <c r="G28" i="26"/>
  <c r="G30" i="26"/>
  <c r="G24" i="26"/>
  <c r="G34" i="26"/>
  <c r="G40" i="26"/>
  <c r="G69" i="26"/>
  <c r="H15" i="26"/>
  <c r="G58" i="26"/>
  <c r="G46" i="26"/>
  <c r="G26" i="26"/>
  <c r="E130" i="2"/>
  <c r="E57" i="2"/>
  <c r="E58" i="2" s="1"/>
  <c r="G51" i="2"/>
  <c r="G62" i="2" s="1"/>
  <c r="G61" i="2"/>
  <c r="S130" i="26"/>
  <c r="S57" i="26"/>
  <c r="E49" i="26"/>
  <c r="E52" i="26"/>
  <c r="E68" i="26"/>
  <c r="E71" i="26"/>
  <c r="I47" i="26"/>
  <c r="I48" i="26"/>
  <c r="I67" i="26"/>
  <c r="P14" i="3"/>
  <c r="P15" i="3" s="1"/>
  <c r="P16" i="3" s="1"/>
  <c r="F137" i="2"/>
  <c r="S119" i="2"/>
  <c r="J58" i="26"/>
  <c r="AI11" i="9"/>
  <c r="AI12" i="9"/>
  <c r="M35" i="9" s="1"/>
  <c r="N34" i="3"/>
  <c r="N38" i="3"/>
  <c r="N39" i="3"/>
  <c r="K17" i="2"/>
  <c r="K18" i="2"/>
  <c r="K20" i="2"/>
  <c r="K15" i="2"/>
  <c r="K24" i="2"/>
  <c r="K44" i="2"/>
  <c r="K40" i="2"/>
  <c r="K42" i="2"/>
  <c r="K30" i="2"/>
  <c r="K69" i="2"/>
  <c r="K32" i="2"/>
  <c r="K28" i="2"/>
  <c r="K22" i="2"/>
  <c r="K34" i="2"/>
  <c r="K58" i="2"/>
  <c r="K36" i="2"/>
  <c r="R132" i="2"/>
  <c r="S13" i="26"/>
  <c r="U12" i="26"/>
  <c r="V12" i="26" s="1"/>
  <c r="W12" i="26" s="1"/>
  <c r="X12" i="26" s="1"/>
  <c r="Y12" i="26" s="1"/>
  <c r="Z12" i="26" s="1"/>
  <c r="AA12" i="26" s="1"/>
  <c r="AB12" i="26" s="1"/>
  <c r="AC12" i="26" s="1"/>
  <c r="AD12" i="26" s="1"/>
  <c r="R129" i="26"/>
  <c r="E130" i="26"/>
  <c r="H141" i="26"/>
  <c r="H142" i="26"/>
  <c r="R121" i="26"/>
  <c r="D22" i="18"/>
  <c r="D21" i="18"/>
  <c r="Q47" i="2"/>
  <c r="Q67" i="2"/>
  <c r="Q48" i="2"/>
  <c r="AJ11" i="9"/>
  <c r="AJ12" i="9"/>
  <c r="M56" i="9" s="1"/>
  <c r="L15" i="2"/>
  <c r="F105" i="2"/>
  <c r="R111" i="2"/>
  <c r="F44" i="26"/>
  <c r="F15" i="26"/>
  <c r="F46" i="26"/>
  <c r="F18" i="26"/>
  <c r="F42" i="26"/>
  <c r="F24" i="26"/>
  <c r="F51" i="26"/>
  <c r="F62" i="26" s="1"/>
  <c r="F32" i="26"/>
  <c r="F34" i="26"/>
  <c r="F40" i="26"/>
  <c r="F36" i="26"/>
  <c r="F30" i="26"/>
  <c r="F22" i="26"/>
  <c r="F69" i="26"/>
  <c r="M141" i="2"/>
  <c r="M142" i="2"/>
  <c r="R20" i="26"/>
  <c r="G61" i="26"/>
  <c r="G51" i="26"/>
  <c r="G62" i="26" s="1"/>
  <c r="F28" i="26"/>
  <c r="P15" i="26"/>
  <c r="P17" i="26"/>
  <c r="P32" i="26"/>
  <c r="P20" i="26"/>
  <c r="P28" i="26"/>
  <c r="P30" i="26"/>
  <c r="P34" i="26"/>
  <c r="P18" i="26"/>
  <c r="P40" i="26"/>
  <c r="P36" i="26"/>
  <c r="P38" i="26"/>
  <c r="P42" i="26"/>
  <c r="P22" i="26"/>
  <c r="P44" i="26"/>
  <c r="P26" i="26"/>
  <c r="P24" i="26"/>
  <c r="P69" i="26"/>
  <c r="I124" i="2"/>
  <c r="I140" i="2" s="1"/>
  <c r="Q15" i="26"/>
  <c r="L142" i="2"/>
  <c r="L141" i="2"/>
  <c r="M39" i="3"/>
  <c r="M38" i="3"/>
  <c r="M34" i="3"/>
  <c r="W37" i="2"/>
  <c r="X29" i="2"/>
  <c r="I57" i="2"/>
  <c r="I58" i="2" s="1"/>
  <c r="I130" i="2"/>
  <c r="B22" i="18"/>
  <c r="B21" i="18"/>
  <c r="O48" i="2"/>
  <c r="O67" i="2"/>
  <c r="O47" i="2"/>
  <c r="P47" i="2"/>
  <c r="P48" i="2"/>
  <c r="C21" i="18"/>
  <c r="C22" i="18"/>
  <c r="P67" i="2"/>
  <c r="M41" i="11"/>
  <c r="M43" i="11"/>
  <c r="M50" i="11" s="1"/>
  <c r="M51" i="11" s="1"/>
  <c r="F19" i="18"/>
  <c r="S22" i="2"/>
  <c r="C5" i="16"/>
  <c r="F18" i="18"/>
  <c r="S18" i="2"/>
  <c r="S30" i="2"/>
  <c r="S44" i="2"/>
  <c r="S24" i="2"/>
  <c r="S28" i="2"/>
  <c r="S26" i="2"/>
  <c r="S34" i="2"/>
  <c r="S36" i="2"/>
  <c r="S20" i="2"/>
  <c r="S42" i="2"/>
  <c r="S40" i="2"/>
  <c r="S69" i="2"/>
  <c r="H141" i="2"/>
  <c r="H142" i="2"/>
  <c r="J124" i="2"/>
  <c r="J140" i="2" s="1"/>
  <c r="S135" i="2"/>
  <c r="I17" i="2"/>
  <c r="I18" i="2"/>
  <c r="I20" i="2"/>
  <c r="I22" i="2"/>
  <c r="I15" i="2"/>
  <c r="I30" i="2"/>
  <c r="I40" i="2"/>
  <c r="I42" i="2"/>
  <c r="I34" i="2"/>
  <c r="I36" i="2"/>
  <c r="I44" i="2"/>
  <c r="I69" i="2"/>
  <c r="I24" i="2"/>
  <c r="I28" i="2"/>
  <c r="I32" i="2"/>
  <c r="D48" i="2"/>
  <c r="D47" i="2"/>
  <c r="F126" i="2"/>
  <c r="S113" i="2"/>
  <c r="S126" i="2"/>
  <c r="Q51" i="2"/>
  <c r="Q62" i="2" s="1"/>
  <c r="Q61" i="2"/>
  <c r="E61" i="26"/>
  <c r="E51" i="26"/>
  <c r="E62" i="26" s="1"/>
  <c r="J46" i="2"/>
  <c r="S46" i="2"/>
  <c r="I26" i="2"/>
  <c r="P26" i="3"/>
  <c r="P33" i="3"/>
  <c r="P24" i="3"/>
  <c r="AG11" i="9"/>
  <c r="AG12" i="9"/>
  <c r="M23" i="9" s="1"/>
  <c r="C7" i="16"/>
  <c r="S17" i="2"/>
  <c r="C8" i="22" a="1"/>
  <c r="C8" i="22" s="1"/>
  <c r="K15" i="26"/>
  <c r="K69" i="26"/>
  <c r="K18" i="26"/>
  <c r="K30" i="26"/>
  <c r="K34" i="26"/>
  <c r="K24" i="26"/>
  <c r="K36" i="26"/>
  <c r="K42" i="26"/>
  <c r="K17" i="26"/>
  <c r="K22" i="26"/>
  <c r="K26" i="26"/>
  <c r="K44" i="26"/>
  <c r="L15" i="26"/>
  <c r="K20" i="26"/>
  <c r="K28" i="26"/>
  <c r="K40" i="26"/>
  <c r="K32" i="26"/>
  <c r="K58" i="26"/>
  <c r="K38" i="26"/>
  <c r="D51" i="26"/>
  <c r="D62" i="26" s="1"/>
  <c r="D61" i="26"/>
  <c r="F20" i="26"/>
  <c r="M57" i="2"/>
  <c r="M58" i="2" s="1"/>
  <c r="M130" i="2"/>
  <c r="L67" i="26"/>
  <c r="L47" i="26"/>
  <c r="L48" i="26"/>
  <c r="J26" i="26"/>
  <c r="C17" i="22" a="1"/>
  <c r="C17" i="22" s="1"/>
  <c r="C55" i="26"/>
  <c r="C70" i="26" s="1"/>
  <c r="C72" i="26"/>
  <c r="C56" i="26"/>
  <c r="C64" i="26" s="1"/>
  <c r="C53" i="26"/>
  <c r="F113" i="26"/>
  <c r="R113" i="26" s="1"/>
  <c r="R124" i="26" s="1"/>
  <c r="R140" i="26" s="1"/>
  <c r="M140" i="26"/>
  <c r="P12" i="11"/>
  <c r="P35" i="11"/>
  <c r="P45" i="11" s="1"/>
  <c r="P46" i="11" s="1"/>
  <c r="P6" i="11"/>
  <c r="P47" i="11"/>
  <c r="P31" i="11"/>
  <c r="Q24" i="11"/>
  <c r="P28" i="11"/>
  <c r="P39" i="11"/>
  <c r="P18" i="11"/>
  <c r="P33" i="11"/>
  <c r="M130" i="26"/>
  <c r="M57" i="26"/>
  <c r="M58" i="26" s="1"/>
  <c r="O21" i="11"/>
  <c r="O22" i="11" s="1"/>
  <c r="O19" i="11"/>
  <c r="J32" i="2"/>
  <c r="J15" i="2"/>
  <c r="J22" i="2"/>
  <c r="J24" i="2"/>
  <c r="J40" i="2"/>
  <c r="J42" i="2"/>
  <c r="J34" i="2"/>
  <c r="J36" i="2"/>
  <c r="J20" i="2"/>
  <c r="J30" i="2"/>
  <c r="J69" i="2"/>
  <c r="J28" i="2"/>
  <c r="J18" i="2"/>
  <c r="J44" i="2"/>
  <c r="O53" i="26"/>
  <c r="O72" i="26"/>
  <c r="O56" i="26"/>
  <c r="O64" i="26" s="1"/>
  <c r="O55" i="26"/>
  <c r="O70" i="26" s="1"/>
  <c r="Q53" i="26"/>
  <c r="Q55" i="26"/>
  <c r="Q70" i="26" s="1"/>
  <c r="Q56" i="26"/>
  <c r="Q64" i="26" s="1"/>
  <c r="Q72" i="26"/>
  <c r="F48" i="2"/>
  <c r="F47" i="2"/>
  <c r="F67" i="2"/>
  <c r="AC29" i="26"/>
  <c r="AB37" i="26"/>
  <c r="I124" i="26"/>
  <c r="I140" i="26" s="1"/>
  <c r="J26" i="2"/>
  <c r="V8" i="2"/>
  <c r="V14" i="2" s="1"/>
  <c r="C61" i="2"/>
  <c r="C51" i="2"/>
  <c r="C62" i="2" s="1"/>
  <c r="Q8" i="3"/>
  <c r="Q25" i="3"/>
  <c r="R23" i="3"/>
  <c r="Q18" i="3"/>
  <c r="Q24" i="3"/>
  <c r="Q27" i="3"/>
  <c r="Q13" i="3"/>
  <c r="Q31" i="3"/>
  <c r="Q41" i="3" s="1"/>
  <c r="Q42" i="3" s="1"/>
  <c r="Q29" i="3"/>
  <c r="Q35" i="3"/>
  <c r="Q43" i="3"/>
  <c r="P19" i="3"/>
  <c r="P20" i="3"/>
  <c r="P21" i="3" s="1"/>
  <c r="G22" i="2"/>
  <c r="G28" i="2"/>
  <c r="G24" i="2"/>
  <c r="G17" i="2"/>
  <c r="G30" i="2"/>
  <c r="G40" i="2"/>
  <c r="G34" i="2"/>
  <c r="G32" i="2"/>
  <c r="G36" i="2"/>
  <c r="G42" i="2"/>
  <c r="G38" i="2"/>
  <c r="G44" i="2"/>
  <c r="G20" i="2"/>
  <c r="G69" i="2"/>
  <c r="G15" i="2"/>
  <c r="G18" i="2"/>
  <c r="G26" i="2"/>
  <c r="G58" i="2"/>
  <c r="J51" i="2"/>
  <c r="J62" i="2" s="1"/>
  <c r="D142" i="2"/>
  <c r="D141" i="2"/>
  <c r="E137" i="2"/>
  <c r="R135" i="2"/>
  <c r="M48" i="2"/>
  <c r="M67" i="2"/>
  <c r="M47" i="2"/>
  <c r="J17" i="2"/>
  <c r="R11" i="26"/>
  <c r="R14" i="26" s="1"/>
  <c r="S11" i="26"/>
  <c r="J129" i="2"/>
  <c r="J130" i="2" s="1"/>
  <c r="P51" i="26"/>
  <c r="P62" i="26" s="1"/>
  <c r="P61" i="26"/>
  <c r="R137" i="26"/>
  <c r="I51" i="2"/>
  <c r="I62" i="2" s="1"/>
  <c r="I61" i="2"/>
  <c r="F124" i="26"/>
  <c r="F140" i="26" s="1"/>
  <c r="H52" i="26"/>
  <c r="H49" i="26"/>
  <c r="H68" i="26"/>
  <c r="H71" i="26"/>
  <c r="J137" i="26"/>
  <c r="S132" i="26"/>
  <c r="S137" i="26" s="1"/>
  <c r="H47" i="2"/>
  <c r="H48" i="2"/>
  <c r="H67" i="2"/>
  <c r="F139" i="2"/>
  <c r="R139" i="2" s="1"/>
  <c r="S133" i="2"/>
  <c r="D142" i="26"/>
  <c r="D141" i="26"/>
  <c r="O13" i="11"/>
  <c r="O15" i="11"/>
  <c r="O16" i="11" s="1"/>
  <c r="M55" i="26"/>
  <c r="M70" i="26" s="1"/>
  <c r="M56" i="26"/>
  <c r="M64" i="26" s="1"/>
  <c r="M53" i="26"/>
  <c r="M72" i="26"/>
  <c r="F33" i="5"/>
  <c r="H31" i="22" s="1"/>
  <c r="F58" i="5"/>
  <c r="F61" i="5" s="1"/>
  <c r="F72" i="5" s="1"/>
  <c r="E25" i="18"/>
  <c r="D25" i="18"/>
  <c r="AA11" i="9"/>
  <c r="AA12" i="9"/>
  <c r="R9" i="2"/>
  <c r="R14" i="2"/>
  <c r="S15" i="2" s="1"/>
  <c r="L47" i="2"/>
  <c r="L67" i="2"/>
  <c r="L48" i="2"/>
  <c r="E124" i="2"/>
  <c r="E140" i="2" s="1"/>
  <c r="R119" i="2"/>
  <c r="S9" i="26"/>
  <c r="S14" i="26"/>
  <c r="S51" i="26" s="1"/>
  <c r="S62" i="26" s="1"/>
  <c r="U8" i="26"/>
  <c r="J137" i="2"/>
  <c r="L51" i="26"/>
  <c r="L62" i="26" s="1"/>
  <c r="L61" i="26"/>
  <c r="R129" i="2"/>
  <c r="S61" i="26"/>
  <c r="E124" i="26"/>
  <c r="E140" i="26" s="1"/>
  <c r="D68" i="26"/>
  <c r="D49" i="26"/>
  <c r="D71" i="26"/>
  <c r="D52" i="26"/>
  <c r="R118" i="26"/>
  <c r="S110" i="26"/>
  <c r="O37" i="11"/>
  <c r="I39" i="3"/>
  <c r="I38" i="3"/>
  <c r="I34" i="3"/>
  <c r="J33" i="3"/>
  <c r="J26" i="3"/>
  <c r="K34" i="3"/>
  <c r="K39" i="3"/>
  <c r="K38" i="3"/>
  <c r="K61" i="2"/>
  <c r="K51" i="2"/>
  <c r="K62" i="2" s="1"/>
  <c r="P9" i="3"/>
  <c r="P10" i="3" s="1"/>
  <c r="P11" i="3" s="1"/>
  <c r="Z11" i="9"/>
  <c r="Z12" i="9"/>
  <c r="E48" i="2"/>
  <c r="E47" i="2"/>
  <c r="E67" i="2"/>
  <c r="F123" i="2"/>
  <c r="R123" i="2" s="1"/>
  <c r="I137" i="2"/>
  <c r="S132" i="2"/>
  <c r="H51" i="2"/>
  <c r="H62" i="2" s="1"/>
  <c r="H61" i="2"/>
  <c r="F57" i="26"/>
  <c r="F58" i="26" s="1"/>
  <c r="R126" i="26"/>
  <c r="F130" i="26"/>
  <c r="R135" i="26"/>
  <c r="R61" i="2"/>
  <c r="L142" i="26"/>
  <c r="L141" i="26"/>
  <c r="S105" i="26"/>
  <c r="F66" i="5"/>
  <c r="F67" i="5" s="1"/>
  <c r="F39" i="5"/>
  <c r="O9" i="11"/>
  <c r="O10" i="11" s="1"/>
  <c r="O7" i="11"/>
  <c r="E137" i="26"/>
  <c r="S124" i="2" l="1"/>
  <c r="S140" i="2" s="1"/>
  <c r="S142" i="2" s="1"/>
  <c r="S129" i="2"/>
  <c r="S130" i="2" s="1"/>
  <c r="C55" i="2"/>
  <c r="C70" i="2" s="1"/>
  <c r="C72" i="2"/>
  <c r="C53" i="2"/>
  <c r="C56" i="2"/>
  <c r="C64" i="2" s="1"/>
  <c r="P59" i="2" a="1"/>
  <c r="P59" i="2" s="1"/>
  <c r="C16" i="22" s="1" a="1"/>
  <c r="C16" i="22" s="1"/>
  <c r="R141" i="26"/>
  <c r="R142" i="26"/>
  <c r="R124" i="2"/>
  <c r="R57" i="26"/>
  <c r="R58" i="26" s="1"/>
  <c r="R130" i="26"/>
  <c r="P19" i="11"/>
  <c r="E141" i="26"/>
  <c r="E142" i="26"/>
  <c r="M49" i="2"/>
  <c r="M52" i="2"/>
  <c r="M71" i="2"/>
  <c r="M68" i="2"/>
  <c r="I71" i="26"/>
  <c r="I49" i="26"/>
  <c r="I52" i="26"/>
  <c r="I68" i="26"/>
  <c r="P37" i="11"/>
  <c r="F57" i="2"/>
  <c r="F58" i="2" s="1"/>
  <c r="F130" i="2"/>
  <c r="I142" i="2"/>
  <c r="I141" i="2"/>
  <c r="G47" i="26"/>
  <c r="G48" i="26"/>
  <c r="G67" i="26"/>
  <c r="H71" i="2"/>
  <c r="H52" i="2"/>
  <c r="H68" i="2"/>
  <c r="H49" i="2"/>
  <c r="R25" i="3"/>
  <c r="R8" i="3"/>
  <c r="R18" i="3"/>
  <c r="R27" i="3"/>
  <c r="R24" i="3"/>
  <c r="R31" i="3"/>
  <c r="R41" i="3" s="1"/>
  <c r="R42" i="3" s="1"/>
  <c r="R29" i="3"/>
  <c r="R35" i="3"/>
  <c r="R43" i="3"/>
  <c r="S23" i="3"/>
  <c r="R13" i="3"/>
  <c r="G13" i="18"/>
  <c r="U16" i="2"/>
  <c r="U19" i="2"/>
  <c r="U15" i="2"/>
  <c r="W16" i="2"/>
  <c r="U21" i="2"/>
  <c r="G6" i="18"/>
  <c r="G7" i="18"/>
  <c r="U39" i="2"/>
  <c r="G12" i="18"/>
  <c r="U23" i="2"/>
  <c r="U57" i="2"/>
  <c r="U43" i="2"/>
  <c r="U32" i="2"/>
  <c r="H7" i="22"/>
  <c r="U41" i="2"/>
  <c r="U38" i="2"/>
  <c r="Q6" i="11"/>
  <c r="R24" i="11"/>
  <c r="Q28" i="11"/>
  <c r="Q26" i="11" s="1"/>
  <c r="Q33" i="11"/>
  <c r="Q12" i="11"/>
  <c r="Q35" i="11"/>
  <c r="Q45" i="11" s="1"/>
  <c r="Q46" i="11" s="1"/>
  <c r="Q47" i="11"/>
  <c r="Q39" i="11"/>
  <c r="Q18" i="11"/>
  <c r="Q31" i="11"/>
  <c r="L68" i="26"/>
  <c r="L71" i="26"/>
  <c r="L49" i="26"/>
  <c r="L52" i="26"/>
  <c r="I47" i="2"/>
  <c r="I67" i="2"/>
  <c r="I48" i="2"/>
  <c r="O49" i="2"/>
  <c r="O68" i="2"/>
  <c r="O52" i="2"/>
  <c r="O71" i="2"/>
  <c r="K48" i="2"/>
  <c r="K67" i="2"/>
  <c r="K47" i="2"/>
  <c r="Y29" i="2"/>
  <c r="X37" i="2"/>
  <c r="O41" i="11"/>
  <c r="O43" i="11"/>
  <c r="O50" i="11" s="1"/>
  <c r="O51" i="11" s="1"/>
  <c r="M107" i="26"/>
  <c r="M66" i="26"/>
  <c r="H53" i="26"/>
  <c r="H55" i="26"/>
  <c r="H70" i="26" s="1"/>
  <c r="H56" i="26"/>
  <c r="H64" i="26" s="1"/>
  <c r="H72" i="26"/>
  <c r="Q19" i="3"/>
  <c r="Q20" i="3" s="1"/>
  <c r="Q21" i="3" s="1"/>
  <c r="W8" i="2"/>
  <c r="W14" i="2" s="1"/>
  <c r="O66" i="26"/>
  <c r="O107" i="26"/>
  <c r="M142" i="26"/>
  <c r="M141" i="26"/>
  <c r="S137" i="2"/>
  <c r="E141" i="2"/>
  <c r="E142" i="2"/>
  <c r="F141" i="26"/>
  <c r="F142" i="26"/>
  <c r="G141" i="26"/>
  <c r="Q26" i="3"/>
  <c r="Q33" i="3"/>
  <c r="P59" i="26" a="1"/>
  <c r="P59" i="26" s="1"/>
  <c r="P60" i="26" s="1"/>
  <c r="F49" i="2"/>
  <c r="F52" i="2"/>
  <c r="F68" i="2"/>
  <c r="F71" i="2"/>
  <c r="P26" i="11"/>
  <c r="K48" i="26"/>
  <c r="K47" i="26"/>
  <c r="K67" i="26"/>
  <c r="P67" i="26"/>
  <c r="P47" i="26"/>
  <c r="P48" i="26"/>
  <c r="R137" i="2"/>
  <c r="S124" i="26"/>
  <c r="S140" i="26" s="1"/>
  <c r="R15" i="2"/>
  <c r="R18" i="2"/>
  <c r="R22" i="2"/>
  <c r="E18" i="18"/>
  <c r="R30" i="2"/>
  <c r="R40" i="2"/>
  <c r="R24" i="2"/>
  <c r="R28" i="2"/>
  <c r="R69" i="2"/>
  <c r="R26" i="2"/>
  <c r="R34" i="2"/>
  <c r="R44" i="2"/>
  <c r="R36" i="2"/>
  <c r="E19" i="18"/>
  <c r="R38" i="2"/>
  <c r="R42" i="2"/>
  <c r="C7" i="22" a="1"/>
  <c r="C7" i="22" s="1"/>
  <c r="R20" i="2"/>
  <c r="R17" i="2"/>
  <c r="R32" i="2"/>
  <c r="R46" i="2"/>
  <c r="S15" i="26"/>
  <c r="S18" i="26"/>
  <c r="S22" i="26"/>
  <c r="S28" i="26"/>
  <c r="S40" i="26"/>
  <c r="S24" i="26"/>
  <c r="S36" i="26"/>
  <c r="S42" i="26"/>
  <c r="S32" i="26"/>
  <c r="S38" i="26"/>
  <c r="S30" i="26"/>
  <c r="S44" i="26"/>
  <c r="S26" i="26"/>
  <c r="S34" i="26"/>
  <c r="S69" i="26"/>
  <c r="S46" i="26"/>
  <c r="S20" i="26"/>
  <c r="S17" i="26"/>
  <c r="R51" i="2"/>
  <c r="R62" i="2" s="1"/>
  <c r="D55" i="26"/>
  <c r="D70" i="26" s="1"/>
  <c r="D56" i="26"/>
  <c r="D64" i="26" s="1"/>
  <c r="D53" i="26"/>
  <c r="D72" i="26"/>
  <c r="L68" i="2"/>
  <c r="L49" i="2"/>
  <c r="L71" i="2"/>
  <c r="L52" i="2"/>
  <c r="R15" i="26"/>
  <c r="R18" i="26"/>
  <c r="R30" i="26"/>
  <c r="R34" i="26"/>
  <c r="R44" i="26"/>
  <c r="R24" i="26"/>
  <c r="R69" i="26"/>
  <c r="R28" i="26"/>
  <c r="R40" i="26"/>
  <c r="R36" i="26"/>
  <c r="R42" i="26"/>
  <c r="R46" i="26"/>
  <c r="R22" i="26"/>
  <c r="R32" i="26"/>
  <c r="R51" i="26"/>
  <c r="R62" i="26" s="1"/>
  <c r="R38" i="26"/>
  <c r="R26" i="26"/>
  <c r="R17" i="26"/>
  <c r="Q9" i="3"/>
  <c r="Q10" i="3"/>
  <c r="Q11" i="3" s="1"/>
  <c r="C66" i="26"/>
  <c r="C107" i="26"/>
  <c r="D49" i="2"/>
  <c r="D52" i="2"/>
  <c r="D68" i="2"/>
  <c r="D71" i="2"/>
  <c r="F21" i="18"/>
  <c r="F22" i="18"/>
  <c r="S48" i="2"/>
  <c r="S67" i="2"/>
  <c r="S47" i="2"/>
  <c r="E55" i="26"/>
  <c r="E70" i="26" s="1"/>
  <c r="E56" i="26"/>
  <c r="E64" i="26" s="1"/>
  <c r="E72" i="26"/>
  <c r="E53" i="26"/>
  <c r="R126" i="2"/>
  <c r="J141" i="26"/>
  <c r="J142" i="26"/>
  <c r="K141" i="26"/>
  <c r="AC37" i="26"/>
  <c r="AD29" i="26"/>
  <c r="AD37" i="26" s="1"/>
  <c r="P13" i="11"/>
  <c r="E49" i="2"/>
  <c r="E71" i="2"/>
  <c r="E68" i="2"/>
  <c r="E52" i="2"/>
  <c r="F124" i="2"/>
  <c r="F140" i="2" s="1"/>
  <c r="J34" i="3"/>
  <c r="J39" i="3"/>
  <c r="J38" i="3"/>
  <c r="I75" i="3"/>
  <c r="I81" i="3" s="1"/>
  <c r="I82" i="3" s="1"/>
  <c r="V71" i="2"/>
  <c r="V71" i="26"/>
  <c r="Q107" i="26"/>
  <c r="Q66" i="26"/>
  <c r="J47" i="2"/>
  <c r="J67" i="2"/>
  <c r="J48" i="2"/>
  <c r="P37" i="3"/>
  <c r="P39" i="3" s="1"/>
  <c r="P46" i="3" s="1"/>
  <c r="P47" i="3" s="1"/>
  <c r="P34" i="3"/>
  <c r="J141" i="2"/>
  <c r="J142" i="2"/>
  <c r="K141" i="2"/>
  <c r="V8" i="26"/>
  <c r="U14" i="26"/>
  <c r="G47" i="2"/>
  <c r="G48" i="2"/>
  <c r="G67" i="2"/>
  <c r="F42" i="5"/>
  <c r="H30" i="22" s="1"/>
  <c r="H29" i="22"/>
  <c r="F41" i="5"/>
  <c r="Q14" i="3"/>
  <c r="Q15" i="3"/>
  <c r="Q16" i="3" s="1"/>
  <c r="I142" i="26"/>
  <c r="I141" i="26"/>
  <c r="P7" i="11"/>
  <c r="C11" i="16"/>
  <c r="C15" i="16" s="1"/>
  <c r="P52" i="2"/>
  <c r="P49" i="2"/>
  <c r="P68" i="2"/>
  <c r="P71" i="2"/>
  <c r="F47" i="26"/>
  <c r="F48" i="26"/>
  <c r="F67" i="26"/>
  <c r="S58" i="26"/>
  <c r="S57" i="2"/>
  <c r="S58" i="2" s="1"/>
  <c r="Q71" i="2"/>
  <c r="Q49" i="2"/>
  <c r="Q68" i="2"/>
  <c r="Q52" i="2"/>
  <c r="J47" i="26"/>
  <c r="J48" i="26"/>
  <c r="J67" i="26"/>
  <c r="C107" i="2" l="1"/>
  <c r="C66" i="2"/>
  <c r="U45" i="2"/>
  <c r="P60" i="2"/>
  <c r="Q8" i="11"/>
  <c r="Q27" i="11"/>
  <c r="Q20" i="11"/>
  <c r="Q14" i="11"/>
  <c r="Q15" i="11" s="1"/>
  <c r="Q16" i="11" s="1"/>
  <c r="U16" i="26"/>
  <c r="U18" i="26"/>
  <c r="W16" i="26"/>
  <c r="U43" i="26"/>
  <c r="U23" i="26"/>
  <c r="U25" i="26" s="1"/>
  <c r="U26" i="26" s="1"/>
  <c r="U57" i="26"/>
  <c r="U15" i="26"/>
  <c r="U41" i="26"/>
  <c r="U19" i="26"/>
  <c r="U38" i="26"/>
  <c r="U21" i="26"/>
  <c r="U39" i="26"/>
  <c r="U32" i="26"/>
  <c r="L55" i="26"/>
  <c r="L70" i="26" s="1"/>
  <c r="L56" i="26"/>
  <c r="L64" i="26" s="1"/>
  <c r="L53" i="26"/>
  <c r="L72" i="26"/>
  <c r="P41" i="11"/>
  <c r="P43" i="11" s="1"/>
  <c r="P50" i="11" s="1"/>
  <c r="P51" i="11" s="1"/>
  <c r="D66" i="26"/>
  <c r="D107" i="26"/>
  <c r="E21" i="18"/>
  <c r="R47" i="2"/>
  <c r="R67" i="2"/>
  <c r="E22" i="18"/>
  <c r="R48" i="2"/>
  <c r="Q37" i="3"/>
  <c r="Q39" i="3"/>
  <c r="Q46" i="3" s="1"/>
  <c r="Q47" i="3" s="1"/>
  <c r="Q34" i="3"/>
  <c r="Q13" i="11"/>
  <c r="G8" i="18"/>
  <c r="R14" i="3"/>
  <c r="R15" i="3"/>
  <c r="R16" i="3" s="1"/>
  <c r="R19" i="3"/>
  <c r="R20" i="3" s="1"/>
  <c r="R21" i="3" s="1"/>
  <c r="G71" i="26"/>
  <c r="G49" i="26"/>
  <c r="G68" i="26"/>
  <c r="G52" i="26"/>
  <c r="P56" i="2"/>
  <c r="P64" i="2" s="1"/>
  <c r="P53" i="2"/>
  <c r="P55" i="2"/>
  <c r="P70" i="2" s="1"/>
  <c r="P72" i="2"/>
  <c r="H34" i="22"/>
  <c r="F44" i="5"/>
  <c r="E66" i="26"/>
  <c r="E107" i="26"/>
  <c r="K52" i="26"/>
  <c r="K49" i="26"/>
  <c r="K68" i="26"/>
  <c r="K71" i="26"/>
  <c r="O56" i="2"/>
  <c r="O64" i="2" s="1"/>
  <c r="O72" i="2"/>
  <c r="O55" i="2"/>
  <c r="O70" i="2" s="1"/>
  <c r="O53" i="2"/>
  <c r="S25" i="3"/>
  <c r="S35" i="3"/>
  <c r="S8" i="3"/>
  <c r="S13" i="3"/>
  <c r="S29" i="3"/>
  <c r="S27" i="3"/>
  <c r="S31" i="3"/>
  <c r="S41" i="3" s="1"/>
  <c r="S42" i="3" s="1"/>
  <c r="S24" i="3"/>
  <c r="T23" i="3"/>
  <c r="S18" i="3"/>
  <c r="S43" i="3"/>
  <c r="R10" i="3"/>
  <c r="R11" i="3" s="1"/>
  <c r="R9" i="3"/>
  <c r="I53" i="26"/>
  <c r="I56" i="26"/>
  <c r="I64" i="26" s="1"/>
  <c r="I55" i="26"/>
  <c r="I70" i="26" s="1"/>
  <c r="I72" i="26"/>
  <c r="X8" i="2"/>
  <c r="X14" i="2" s="1"/>
  <c r="K52" i="2"/>
  <c r="K68" i="2"/>
  <c r="K71" i="2"/>
  <c r="K49" i="2"/>
  <c r="U46" i="2"/>
  <c r="V14" i="26"/>
  <c r="W8" i="26"/>
  <c r="U18" i="2"/>
  <c r="R26" i="3"/>
  <c r="R33" i="3"/>
  <c r="H12" i="18"/>
  <c r="H7" i="18"/>
  <c r="H13" i="18"/>
  <c r="V15" i="2"/>
  <c r="X16" i="2"/>
  <c r="V21" i="2"/>
  <c r="V43" i="2"/>
  <c r="H6" i="18"/>
  <c r="V16" i="2"/>
  <c r="V23" i="2"/>
  <c r="V25" i="2" s="1"/>
  <c r="V26" i="2" s="1"/>
  <c r="V19" i="2"/>
  <c r="V57" i="2"/>
  <c r="V32" i="2"/>
  <c r="V41" i="2"/>
  <c r="V39" i="2"/>
  <c r="V45" i="2" s="1"/>
  <c r="I7" i="22"/>
  <c r="V38" i="2"/>
  <c r="F142" i="2"/>
  <c r="F141" i="2"/>
  <c r="G141" i="2"/>
  <c r="E53" i="2"/>
  <c r="E56" i="2"/>
  <c r="E64" i="2" s="1"/>
  <c r="E55" i="2"/>
  <c r="E70" i="2" s="1"/>
  <c r="E72" i="2"/>
  <c r="S47" i="26"/>
  <c r="S48" i="26"/>
  <c r="S67" i="26"/>
  <c r="H107" i="26"/>
  <c r="H66" i="26"/>
  <c r="Z29" i="2"/>
  <c r="Y37" i="2"/>
  <c r="Q37" i="11"/>
  <c r="R140" i="2"/>
  <c r="R57" i="2"/>
  <c r="R130" i="2"/>
  <c r="Q72" i="2"/>
  <c r="Q55" i="2"/>
  <c r="Q70" i="2" s="1"/>
  <c r="Q53" i="2"/>
  <c r="Q56" i="2"/>
  <c r="Q64" i="2" s="1"/>
  <c r="F49" i="26"/>
  <c r="F52" i="26"/>
  <c r="F68" i="26"/>
  <c r="F71" i="26"/>
  <c r="P71" i="26"/>
  <c r="P68" i="26"/>
  <c r="P52" i="26"/>
  <c r="P49" i="26"/>
  <c r="I52" i="2"/>
  <c r="I68" i="2"/>
  <c r="I49" i="2"/>
  <c r="I71" i="2"/>
  <c r="Q19" i="11"/>
  <c r="Q21" i="11"/>
  <c r="Q22" i="11" s="1"/>
  <c r="R6" i="11"/>
  <c r="R33" i="11"/>
  <c r="R26" i="11"/>
  <c r="R12" i="11"/>
  <c r="R35" i="11"/>
  <c r="R45" i="11" s="1"/>
  <c r="R46" i="11" s="1"/>
  <c r="R28" i="11"/>
  <c r="R47" i="11"/>
  <c r="S24" i="11"/>
  <c r="R31" i="11"/>
  <c r="R18" i="11"/>
  <c r="R39" i="11"/>
  <c r="U25" i="2"/>
  <c r="M53" i="2"/>
  <c r="M56" i="2"/>
  <c r="M64" i="2" s="1"/>
  <c r="M55" i="2"/>
  <c r="M70" i="2" s="1"/>
  <c r="M72" i="2"/>
  <c r="J52" i="2"/>
  <c r="J68" i="2"/>
  <c r="J71" i="2"/>
  <c r="J49" i="2"/>
  <c r="R47" i="26"/>
  <c r="R48" i="26"/>
  <c r="R67" i="26"/>
  <c r="J52" i="26"/>
  <c r="J71" i="26"/>
  <c r="J49" i="26"/>
  <c r="J68" i="26"/>
  <c r="D56" i="2"/>
  <c r="D64" i="2" s="1"/>
  <c r="D55" i="2"/>
  <c r="D70" i="2" s="1"/>
  <c r="D72" i="2"/>
  <c r="D53" i="2"/>
  <c r="L55" i="2"/>
  <c r="L70" i="2" s="1"/>
  <c r="L53" i="2"/>
  <c r="L72" i="2"/>
  <c r="L56" i="2"/>
  <c r="L64" i="2" s="1"/>
  <c r="S141" i="26"/>
  <c r="S142" i="26"/>
  <c r="P27" i="11"/>
  <c r="P20" i="11"/>
  <c r="P21" i="11" s="1"/>
  <c r="P22" i="11" s="1"/>
  <c r="P14" i="11"/>
  <c r="P15" i="11" s="1"/>
  <c r="P16" i="11" s="1"/>
  <c r="P8" i="11"/>
  <c r="P9" i="11" s="1"/>
  <c r="P10" i="11" s="1"/>
  <c r="G52" i="2"/>
  <c r="G49" i="2"/>
  <c r="G68" i="2"/>
  <c r="G71" i="2"/>
  <c r="S52" i="2"/>
  <c r="S68" i="2"/>
  <c r="S49" i="2"/>
  <c r="S71" i="2"/>
  <c r="F56" i="2"/>
  <c r="F64" i="2" s="1"/>
  <c r="F53" i="2"/>
  <c r="F55" i="2"/>
  <c r="F70" i="2" s="1"/>
  <c r="F72" i="2"/>
  <c r="Q7" i="11"/>
  <c r="Q9" i="11"/>
  <c r="Q10" i="11" s="1"/>
  <c r="G14" i="18"/>
  <c r="H56" i="2"/>
  <c r="H64" i="2" s="1"/>
  <c r="H53" i="2"/>
  <c r="H55" i="2"/>
  <c r="H70" i="2" s="1"/>
  <c r="H72" i="2"/>
  <c r="G56" i="2" l="1"/>
  <c r="G64" i="2" s="1"/>
  <c r="G53" i="2"/>
  <c r="G55" i="2"/>
  <c r="G70" i="2" s="1"/>
  <c r="G72" i="2"/>
  <c r="R20" i="11"/>
  <c r="R27" i="11"/>
  <c r="R14" i="11"/>
  <c r="R8" i="11"/>
  <c r="Y8" i="2"/>
  <c r="Y14" i="2" s="1"/>
  <c r="T24" i="11"/>
  <c r="S6" i="11"/>
  <c r="S28" i="11"/>
  <c r="S18" i="11"/>
  <c r="S31" i="11"/>
  <c r="S26" i="11"/>
  <c r="S33" i="11"/>
  <c r="S12" i="11"/>
  <c r="S35" i="11"/>
  <c r="S45" i="11" s="1"/>
  <c r="S46" i="11" s="1"/>
  <c r="S47" i="11"/>
  <c r="S39" i="11"/>
  <c r="M107" i="2"/>
  <c r="M66" i="2"/>
  <c r="V18" i="2"/>
  <c r="J55" i="26"/>
  <c r="J70" i="26" s="1"/>
  <c r="J56" i="26"/>
  <c r="J64" i="26" s="1"/>
  <c r="J53" i="26"/>
  <c r="J72" i="26"/>
  <c r="U47" i="2"/>
  <c r="U48" i="2"/>
  <c r="G55" i="26"/>
  <c r="G70" i="26" s="1"/>
  <c r="G72" i="26"/>
  <c r="G53" i="26"/>
  <c r="G56" i="26"/>
  <c r="G64" i="26" s="1"/>
  <c r="G24" i="18"/>
  <c r="G25" i="18" s="1"/>
  <c r="D66" i="2"/>
  <c r="D107" i="2"/>
  <c r="W14" i="26"/>
  <c r="X8" i="26"/>
  <c r="K55" i="2"/>
  <c r="K70" i="2" s="1"/>
  <c r="K53" i="2"/>
  <c r="K72" i="2"/>
  <c r="K56" i="2"/>
  <c r="K64" i="2" s="1"/>
  <c r="L66" i="26"/>
  <c r="L107" i="26"/>
  <c r="F107" i="2"/>
  <c r="F66" i="2"/>
  <c r="R71" i="26"/>
  <c r="R49" i="26"/>
  <c r="R68" i="26"/>
  <c r="R52" i="26"/>
  <c r="R37" i="11"/>
  <c r="L66" i="2"/>
  <c r="L107" i="2"/>
  <c r="U26" i="2"/>
  <c r="R15" i="11"/>
  <c r="R16" i="11" s="1"/>
  <c r="R13" i="11"/>
  <c r="F53" i="26"/>
  <c r="F72" i="26"/>
  <c r="F56" i="26"/>
  <c r="F64" i="26" s="1"/>
  <c r="F55" i="26"/>
  <c r="F70" i="26" s="1"/>
  <c r="R58" i="2"/>
  <c r="C15" i="22" a="1"/>
  <c r="C15" i="22" s="1"/>
  <c r="V16" i="26"/>
  <c r="V15" i="26"/>
  <c r="X16" i="26"/>
  <c r="V21" i="26"/>
  <c r="V39" i="26"/>
  <c r="V23" i="26"/>
  <c r="V25" i="26" s="1"/>
  <c r="V26" i="26" s="1"/>
  <c r="V41" i="26"/>
  <c r="V43" i="26"/>
  <c r="V19" i="26"/>
  <c r="V57" i="26"/>
  <c r="V18" i="26"/>
  <c r="V32" i="26"/>
  <c r="V38" i="26"/>
  <c r="I7" i="18"/>
  <c r="I12" i="18"/>
  <c r="I13" i="18"/>
  <c r="W19" i="2"/>
  <c r="Y16" i="2"/>
  <c r="W43" i="2"/>
  <c r="W41" i="2"/>
  <c r="I6" i="18"/>
  <c r="W18" i="2"/>
  <c r="W23" i="2"/>
  <c r="W15" i="2"/>
  <c r="W32" i="2"/>
  <c r="W57" i="2"/>
  <c r="W21" i="2"/>
  <c r="J7" i="22"/>
  <c r="W39" i="2"/>
  <c r="W38" i="2"/>
  <c r="S14" i="3"/>
  <c r="S15" i="3"/>
  <c r="S16" i="3" s="1"/>
  <c r="O66" i="2"/>
  <c r="O107" i="2"/>
  <c r="I73" i="3"/>
  <c r="M21" i="9"/>
  <c r="H36" i="22"/>
  <c r="U67" i="26"/>
  <c r="U67" i="2"/>
  <c r="I55" i="2"/>
  <c r="I70" i="2" s="1"/>
  <c r="I56" i="2"/>
  <c r="I64" i="2" s="1"/>
  <c r="I53" i="2"/>
  <c r="I72" i="2"/>
  <c r="R21" i="11"/>
  <c r="R22" i="11" s="1"/>
  <c r="R19" i="11"/>
  <c r="U45" i="26"/>
  <c r="H66" i="2"/>
  <c r="H107" i="2"/>
  <c r="R142" i="2"/>
  <c r="R141" i="2"/>
  <c r="S141" i="2"/>
  <c r="Q107" i="2"/>
  <c r="Q66" i="2"/>
  <c r="S19" i="3"/>
  <c r="S20" i="3"/>
  <c r="S21" i="3" s="1"/>
  <c r="J53" i="2"/>
  <c r="J56" i="2"/>
  <c r="J64" i="2" s="1"/>
  <c r="J55" i="2"/>
  <c r="J70" i="2" s="1"/>
  <c r="J72" i="2"/>
  <c r="R7" i="11"/>
  <c r="R9" i="11"/>
  <c r="R10" i="11" s="1"/>
  <c r="P55" i="26"/>
  <c r="P70" i="26" s="1"/>
  <c r="P72" i="26"/>
  <c r="P53" i="26"/>
  <c r="P56" i="26"/>
  <c r="P64" i="26" s="1"/>
  <c r="Q41" i="11"/>
  <c r="Q43" i="11" s="1"/>
  <c r="Q50" i="11" s="1"/>
  <c r="Q51" i="11" s="1"/>
  <c r="H8" i="18"/>
  <c r="H14" i="18"/>
  <c r="T31" i="3"/>
  <c r="T41" i="3" s="1"/>
  <c r="T42" i="3" s="1"/>
  <c r="T43" i="3"/>
  <c r="T18" i="3"/>
  <c r="T35" i="3"/>
  <c r="U23" i="3"/>
  <c r="T25" i="3"/>
  <c r="T24" i="3" s="1"/>
  <c r="T13" i="3"/>
  <c r="T8" i="3"/>
  <c r="T27" i="3"/>
  <c r="T29" i="3"/>
  <c r="S26" i="3"/>
  <c r="S33" i="3"/>
  <c r="S52" i="26"/>
  <c r="S49" i="26"/>
  <c r="S68" i="26"/>
  <c r="S71" i="26"/>
  <c r="S9" i="3"/>
  <c r="S10" i="3" s="1"/>
  <c r="S11" i="3" s="1"/>
  <c r="R34" i="3"/>
  <c r="R37" i="3"/>
  <c r="R39" i="3"/>
  <c r="R46" i="3" s="1"/>
  <c r="R47" i="3" s="1"/>
  <c r="V46" i="2"/>
  <c r="K56" i="26"/>
  <c r="K64" i="26" s="1"/>
  <c r="K53" i="26"/>
  <c r="K72" i="26"/>
  <c r="K55" i="26"/>
  <c r="K70" i="26" s="1"/>
  <c r="R68" i="2"/>
  <c r="R71" i="2"/>
  <c r="R49" i="2"/>
  <c r="R52" i="2"/>
  <c r="C11" i="22" a="1"/>
  <c r="C11" i="22" s="1"/>
  <c r="U48" i="26"/>
  <c r="U47" i="26"/>
  <c r="S56" i="2"/>
  <c r="S64" i="2" s="1"/>
  <c r="S55" i="2"/>
  <c r="S70" i="2" s="1"/>
  <c r="S53" i="2"/>
  <c r="S72" i="2"/>
  <c r="AA29" i="2"/>
  <c r="Z37" i="2"/>
  <c r="E107" i="2"/>
  <c r="E66" i="2"/>
  <c r="I66" i="26"/>
  <c r="I107" i="26"/>
  <c r="P107" i="2"/>
  <c r="P66" i="2"/>
  <c r="I14" i="18" l="1"/>
  <c r="U52" i="26"/>
  <c r="U49" i="26"/>
  <c r="T19" i="3"/>
  <c r="T20" i="3"/>
  <c r="T21" i="3" s="1"/>
  <c r="U69" i="3"/>
  <c r="S69" i="3"/>
  <c r="X69" i="3"/>
  <c r="V69" i="3"/>
  <c r="W69" i="3"/>
  <c r="P69" i="3"/>
  <c r="R69" i="3"/>
  <c r="Q69" i="3"/>
  <c r="O69" i="3"/>
  <c r="T69" i="3"/>
  <c r="V47" i="26"/>
  <c r="V48" i="26"/>
  <c r="R53" i="26"/>
  <c r="R56" i="26"/>
  <c r="R64" i="26" s="1"/>
  <c r="R72" i="26"/>
  <c r="R55" i="26"/>
  <c r="R70" i="26" s="1"/>
  <c r="S7" i="11"/>
  <c r="K107" i="2"/>
  <c r="K66" i="2"/>
  <c r="U24" i="11"/>
  <c r="T39" i="11"/>
  <c r="T18" i="11"/>
  <c r="T31" i="11"/>
  <c r="T35" i="11"/>
  <c r="T45" i="11" s="1"/>
  <c r="T46" i="11" s="1"/>
  <c r="T6" i="11"/>
  <c r="T33" i="11"/>
  <c r="T26" i="11"/>
  <c r="T28" i="11"/>
  <c r="T12" i="11"/>
  <c r="T47" i="11"/>
  <c r="AB29" i="2"/>
  <c r="AA37" i="2"/>
  <c r="R55" i="2"/>
  <c r="R70" i="2" s="1"/>
  <c r="R56" i="2"/>
  <c r="R64" i="2" s="1"/>
  <c r="R53" i="2"/>
  <c r="R72" i="2"/>
  <c r="C13" i="22" a="1"/>
  <c r="T9" i="3"/>
  <c r="T10" i="3" s="1"/>
  <c r="T11" i="3" s="1"/>
  <c r="U46" i="26"/>
  <c r="U50" i="26"/>
  <c r="I66" i="2"/>
  <c r="I107" i="2"/>
  <c r="G66" i="26"/>
  <c r="G107" i="26"/>
  <c r="J107" i="26"/>
  <c r="J66" i="26"/>
  <c r="S13" i="11"/>
  <c r="Z8" i="2"/>
  <c r="Z14" i="2" s="1"/>
  <c r="T14" i="3"/>
  <c r="T15" i="3" s="1"/>
  <c r="T16" i="3" s="1"/>
  <c r="J6" i="18"/>
  <c r="J7" i="18"/>
  <c r="J13" i="18"/>
  <c r="X19" i="2"/>
  <c r="J12" i="18"/>
  <c r="Z16" i="2"/>
  <c r="X43" i="2"/>
  <c r="X39" i="2"/>
  <c r="X41" i="2"/>
  <c r="X18" i="2"/>
  <c r="X23" i="2"/>
  <c r="X15" i="2"/>
  <c r="X57" i="2"/>
  <c r="X32" i="2"/>
  <c r="X21" i="2"/>
  <c r="K7" i="22"/>
  <c r="X38" i="2"/>
  <c r="G66" i="2"/>
  <c r="G107" i="2"/>
  <c r="V47" i="2"/>
  <c r="V48" i="2"/>
  <c r="S14" i="11"/>
  <c r="S15" i="11" s="1"/>
  <c r="S16" i="11" s="1"/>
  <c r="S8" i="11"/>
  <c r="S9" i="11" s="1"/>
  <c r="S10" i="11" s="1"/>
  <c r="S27" i="11"/>
  <c r="S20" i="11"/>
  <c r="K66" i="26"/>
  <c r="K107" i="26"/>
  <c r="U8" i="3"/>
  <c r="U13" i="3"/>
  <c r="U27" i="3"/>
  <c r="V23" i="3"/>
  <c r="U29" i="3"/>
  <c r="U31" i="3"/>
  <c r="U41" i="3" s="1"/>
  <c r="U42" i="3" s="1"/>
  <c r="U35" i="3"/>
  <c r="U43" i="3"/>
  <c r="U18" i="3"/>
  <c r="U25" i="3"/>
  <c r="U24" i="3" s="1"/>
  <c r="W48" i="2"/>
  <c r="W47" i="2"/>
  <c r="Y8" i="26"/>
  <c r="X14" i="26"/>
  <c r="H24" i="18"/>
  <c r="H25" i="18" s="1"/>
  <c r="W25" i="2"/>
  <c r="S55" i="26"/>
  <c r="S70" i="26" s="1"/>
  <c r="S56" i="26"/>
  <c r="S64" i="26" s="1"/>
  <c r="S53" i="26"/>
  <c r="S72" i="26"/>
  <c r="S107" i="2"/>
  <c r="S66" i="2"/>
  <c r="S34" i="3"/>
  <c r="S37" i="3"/>
  <c r="S39" i="3" s="1"/>
  <c r="S46" i="3" s="1"/>
  <c r="S47" i="3" s="1"/>
  <c r="W45" i="2"/>
  <c r="I8" i="18"/>
  <c r="V45" i="26"/>
  <c r="F66" i="26"/>
  <c r="F107" i="26"/>
  <c r="W15" i="26"/>
  <c r="W18" i="26"/>
  <c r="W23" i="26"/>
  <c r="W25" i="26" s="1"/>
  <c r="W26" i="26" s="1"/>
  <c r="W41" i="26"/>
  <c r="W19" i="26"/>
  <c r="W21" i="26"/>
  <c r="W43" i="26"/>
  <c r="W57" i="26"/>
  <c r="Y16" i="26"/>
  <c r="W39" i="26"/>
  <c r="W32" i="26"/>
  <c r="W38" i="26"/>
  <c r="U52" i="2"/>
  <c r="U54" i="2" s="1"/>
  <c r="U49" i="2"/>
  <c r="S21" i="11"/>
  <c r="S22" i="11" s="1"/>
  <c r="S19" i="11"/>
  <c r="T33" i="3"/>
  <c r="T26" i="3"/>
  <c r="P66" i="26"/>
  <c r="P107" i="26"/>
  <c r="J107" i="2"/>
  <c r="J66" i="2"/>
  <c r="M54" i="9"/>
  <c r="M55" i="9" s="1"/>
  <c r="M57" i="9" s="1"/>
  <c r="M60" i="9" s="1"/>
  <c r="M62" i="9" s="1"/>
  <c r="M17" i="9" s="1"/>
  <c r="M22" i="9"/>
  <c r="M45" i="9"/>
  <c r="M33" i="9"/>
  <c r="M34" i="9" s="1"/>
  <c r="M36" i="9" s="1"/>
  <c r="M39" i="9" s="1"/>
  <c r="M41" i="9" s="1"/>
  <c r="R41" i="11"/>
  <c r="R43" i="11" s="1"/>
  <c r="R50" i="11" s="1"/>
  <c r="R51" i="11" s="1"/>
  <c r="S37" i="11"/>
  <c r="J14" i="18" l="1"/>
  <c r="I24" i="18"/>
  <c r="I25" i="18" s="1"/>
  <c r="J8" i="18"/>
  <c r="J24" i="18" s="1"/>
  <c r="K6" i="18"/>
  <c r="K12" i="18"/>
  <c r="Y23" i="2"/>
  <c r="Y25" i="2" s="1"/>
  <c r="Y26" i="2" s="1"/>
  <c r="K7" i="18"/>
  <c r="Y15" i="2"/>
  <c r="Y32" i="2"/>
  <c r="Y41" i="2"/>
  <c r="AA16" i="2"/>
  <c r="Y43" i="2"/>
  <c r="Y21" i="2"/>
  <c r="Y39" i="2"/>
  <c r="K13" i="18"/>
  <c r="Y19" i="2"/>
  <c r="Y18" i="2"/>
  <c r="Y57" i="2"/>
  <c r="L7" i="22"/>
  <c r="Y38" i="2"/>
  <c r="T15" i="11"/>
  <c r="T16" i="11" s="1"/>
  <c r="T13" i="11"/>
  <c r="X19" i="26"/>
  <c r="X57" i="26"/>
  <c r="X21" i="26"/>
  <c r="X39" i="26"/>
  <c r="X15" i="26"/>
  <c r="X18" i="26"/>
  <c r="X41" i="26"/>
  <c r="X23" i="26"/>
  <c r="X25" i="26" s="1"/>
  <c r="X26" i="26" s="1"/>
  <c r="Z16" i="26"/>
  <c r="X32" i="26"/>
  <c r="X43" i="26"/>
  <c r="X38" i="26"/>
  <c r="X25" i="2"/>
  <c r="X26" i="2" s="1"/>
  <c r="T37" i="11"/>
  <c r="U28" i="11"/>
  <c r="U26" i="11"/>
  <c r="U39" i="11"/>
  <c r="U18" i="11"/>
  <c r="U31" i="11"/>
  <c r="U12" i="11"/>
  <c r="U6" i="11"/>
  <c r="U33" i="11"/>
  <c r="V24" i="11"/>
  <c r="U47" i="11"/>
  <c r="U35" i="11"/>
  <c r="U45" i="11" s="1"/>
  <c r="U46" i="11" s="1"/>
  <c r="S41" i="11"/>
  <c r="S43" i="11"/>
  <c r="S50" i="11" s="1"/>
  <c r="S51" i="11" s="1"/>
  <c r="Z8" i="26"/>
  <c r="Y14" i="26"/>
  <c r="X47" i="2"/>
  <c r="U51" i="26"/>
  <c r="U62" i="26" s="1"/>
  <c r="U61" i="26"/>
  <c r="T14" i="11"/>
  <c r="T8" i="11"/>
  <c r="T20" i="11"/>
  <c r="T27" i="11"/>
  <c r="R107" i="26"/>
  <c r="R66" i="26"/>
  <c r="F18" i="22"/>
  <c r="G18" i="22"/>
  <c r="C13" i="22"/>
  <c r="C18" i="22" s="1"/>
  <c r="D18" i="22"/>
  <c r="E18" i="22"/>
  <c r="V46" i="26"/>
  <c r="V50" i="26"/>
  <c r="R66" i="2"/>
  <c r="R107" i="2"/>
  <c r="U54" i="26"/>
  <c r="U53" i="26"/>
  <c r="U56" i="26"/>
  <c r="V43" i="3"/>
  <c r="V13" i="3"/>
  <c r="V25" i="3"/>
  <c r="V8" i="3"/>
  <c r="V35" i="3"/>
  <c r="V18" i="3"/>
  <c r="W23" i="3"/>
  <c r="V27" i="3"/>
  <c r="V31" i="3"/>
  <c r="V41" i="3" s="1"/>
  <c r="V42" i="3" s="1"/>
  <c r="V29" i="3"/>
  <c r="X45" i="2"/>
  <c r="T7" i="11"/>
  <c r="T9" i="11"/>
  <c r="T10" i="11" s="1"/>
  <c r="V52" i="26"/>
  <c r="V49" i="26"/>
  <c r="U53" i="2"/>
  <c r="U56" i="2"/>
  <c r="W49" i="2"/>
  <c r="W52" i="2"/>
  <c r="W54" i="2" s="1"/>
  <c r="W46" i="2"/>
  <c r="S107" i="26"/>
  <c r="S66" i="26"/>
  <c r="U33" i="3"/>
  <c r="U26" i="3"/>
  <c r="AB37" i="2"/>
  <c r="AC29" i="2"/>
  <c r="T34" i="3"/>
  <c r="T37" i="3"/>
  <c r="T39" i="3" s="1"/>
  <c r="T46" i="3" s="1"/>
  <c r="T47" i="3" s="1"/>
  <c r="U19" i="3"/>
  <c r="U20" i="3" s="1"/>
  <c r="U21" i="3" s="1"/>
  <c r="U14" i="3"/>
  <c r="U15" i="3"/>
  <c r="U16" i="3" s="1"/>
  <c r="M24" i="9"/>
  <c r="M27" i="9" s="1"/>
  <c r="M29" i="9" s="1"/>
  <c r="M15" i="9" s="1"/>
  <c r="M46" i="9"/>
  <c r="M48" i="9" s="1"/>
  <c r="M50" i="9" s="1"/>
  <c r="M16" i="9" s="1"/>
  <c r="W45" i="26"/>
  <c r="W47" i="26"/>
  <c r="W48" i="26"/>
  <c r="W26" i="2"/>
  <c r="U9" i="3"/>
  <c r="U10" i="3" s="1"/>
  <c r="U11" i="3" s="1"/>
  <c r="V52" i="2"/>
  <c r="V54" i="2" s="1"/>
  <c r="V49" i="2"/>
  <c r="AA8" i="2"/>
  <c r="AA14" i="2" s="1"/>
  <c r="T21" i="11"/>
  <c r="T22" i="11" s="1"/>
  <c r="T19" i="11"/>
  <c r="I80" i="3"/>
  <c r="I83" i="3" s="1"/>
  <c r="I86" i="3" s="1"/>
  <c r="I88" i="3" s="1"/>
  <c r="Y45" i="2" l="1"/>
  <c r="J25" i="18"/>
  <c r="P15" i="9"/>
  <c r="G6" i="25" s="1"/>
  <c r="V9" i="3"/>
  <c r="V10" i="3"/>
  <c r="V11" i="3" s="1"/>
  <c r="AB8" i="2"/>
  <c r="AB14" i="2" s="1"/>
  <c r="V33" i="3"/>
  <c r="V26" i="3"/>
  <c r="U20" i="11"/>
  <c r="U8" i="11"/>
  <c r="U14" i="11"/>
  <c r="U27" i="11"/>
  <c r="W50" i="26"/>
  <c r="W46" i="26"/>
  <c r="V47" i="11"/>
  <c r="V39" i="11"/>
  <c r="V18" i="11"/>
  <c r="V31" i="11"/>
  <c r="V28" i="11"/>
  <c r="V33" i="11"/>
  <c r="V35" i="11"/>
  <c r="V45" i="11" s="1"/>
  <c r="V46" i="11" s="1"/>
  <c r="V12" i="11"/>
  <c r="V6" i="11"/>
  <c r="U37" i="11"/>
  <c r="K14" i="18"/>
  <c r="L6" i="18"/>
  <c r="L7" i="18"/>
  <c r="Z21" i="2"/>
  <c r="Z23" i="2"/>
  <c r="L12" i="18"/>
  <c r="Z15" i="2"/>
  <c r="Z32" i="2"/>
  <c r="Z41" i="2"/>
  <c r="Z43" i="2"/>
  <c r="AB16" i="2"/>
  <c r="Z39" i="2"/>
  <c r="L13" i="18"/>
  <c r="Z19" i="2"/>
  <c r="Z18" i="2"/>
  <c r="Z57" i="2"/>
  <c r="M7" i="22"/>
  <c r="Z38" i="2"/>
  <c r="V14" i="3"/>
  <c r="V15" i="3" s="1"/>
  <c r="V16" i="3" s="1"/>
  <c r="V51" i="26"/>
  <c r="V62" i="26" s="1"/>
  <c r="V61" i="26"/>
  <c r="V53" i="2"/>
  <c r="V56" i="2"/>
  <c r="V24" i="3"/>
  <c r="X48" i="2"/>
  <c r="T41" i="11"/>
  <c r="T43" i="11" s="1"/>
  <c r="T50" i="11" s="1"/>
  <c r="T51" i="11" s="1"/>
  <c r="X48" i="26"/>
  <c r="X47" i="26"/>
  <c r="K8" i="18"/>
  <c r="W49" i="26"/>
  <c r="W52" i="26"/>
  <c r="U37" i="3"/>
  <c r="U39" i="3" s="1"/>
  <c r="U46" i="3" s="1"/>
  <c r="U47" i="3" s="1"/>
  <c r="U34" i="3"/>
  <c r="AD29" i="2"/>
  <c r="AD37" i="2" s="1"/>
  <c r="AC37" i="2"/>
  <c r="Y32" i="26"/>
  <c r="Y21" i="26"/>
  <c r="Y39" i="26"/>
  <c r="Y19" i="26"/>
  <c r="Y41" i="26"/>
  <c r="Y43" i="26"/>
  <c r="Y57" i="26"/>
  <c r="Y15" i="26"/>
  <c r="AA16" i="26"/>
  <c r="Y18" i="26"/>
  <c r="Y23" i="26"/>
  <c r="Y38" i="26"/>
  <c r="U7" i="11"/>
  <c r="U9" i="11"/>
  <c r="U10" i="11" s="1"/>
  <c r="AA8" i="26"/>
  <c r="Z14" i="26"/>
  <c r="U13" i="11"/>
  <c r="U15" i="11"/>
  <c r="U16" i="11" s="1"/>
  <c r="X45" i="26"/>
  <c r="X46" i="2"/>
  <c r="V54" i="26"/>
  <c r="V56" i="26" s="1"/>
  <c r="V53" i="26"/>
  <c r="W29" i="3"/>
  <c r="W13" i="3"/>
  <c r="W31" i="3"/>
  <c r="W41" i="3" s="1"/>
  <c r="W42" i="3" s="1"/>
  <c r="W8" i="3"/>
  <c r="W25" i="3"/>
  <c r="W18" i="3"/>
  <c r="W43" i="3"/>
  <c r="W27" i="3"/>
  <c r="X23" i="3"/>
  <c r="W24" i="3"/>
  <c r="W35" i="3"/>
  <c r="W53" i="2"/>
  <c r="W56" i="2"/>
  <c r="V19" i="3"/>
  <c r="V20" i="3" s="1"/>
  <c r="V21" i="3" s="1"/>
  <c r="Y47" i="2"/>
  <c r="Y48" i="2"/>
  <c r="U19" i="11"/>
  <c r="U21" i="11"/>
  <c r="U22" i="11" s="1"/>
  <c r="Z25" i="2" l="1"/>
  <c r="Y46" i="2"/>
  <c r="L8" i="18"/>
  <c r="K24" i="18"/>
  <c r="K25" i="18" s="1"/>
  <c r="Y52" i="2"/>
  <c r="Y54" i="2" s="1"/>
  <c r="Y49" i="2"/>
  <c r="X52" i="2"/>
  <c r="X54" i="2" s="1"/>
  <c r="X49" i="2"/>
  <c r="Z26" i="2"/>
  <c r="W33" i="3"/>
  <c r="W26" i="3"/>
  <c r="W9" i="3"/>
  <c r="W10" i="3"/>
  <c r="W11" i="3" s="1"/>
  <c r="W54" i="26"/>
  <c r="W56" i="26" s="1"/>
  <c r="W53" i="26"/>
  <c r="Z45" i="2"/>
  <c r="W61" i="26"/>
  <c r="W51" i="26"/>
  <c r="W62" i="26" s="1"/>
  <c r="V37" i="3"/>
  <c r="V39" i="3" s="1"/>
  <c r="V46" i="3" s="1"/>
  <c r="V47" i="3" s="1"/>
  <c r="V34" i="3"/>
  <c r="V37" i="11"/>
  <c r="AC8" i="2"/>
  <c r="AC14" i="2" s="1"/>
  <c r="W14" i="3"/>
  <c r="W15" i="3" s="1"/>
  <c r="W16" i="3" s="1"/>
  <c r="X46" i="26"/>
  <c r="X50" i="26"/>
  <c r="AA15" i="2"/>
  <c r="AC16" i="2"/>
  <c r="AA18" i="2"/>
  <c r="AA21" i="2"/>
  <c r="AA23" i="2"/>
  <c r="AA25" i="2" s="1"/>
  <c r="AA26" i="2" s="1"/>
  <c r="AA39" i="2"/>
  <c r="M7" i="18"/>
  <c r="M12" i="18"/>
  <c r="AA41" i="2"/>
  <c r="AA43" i="2"/>
  <c r="M6" i="18"/>
  <c r="M13" i="18"/>
  <c r="AA57" i="2"/>
  <c r="AA19" i="2"/>
  <c r="N7" i="22"/>
  <c r="AA32" i="2"/>
  <c r="AA38" i="2"/>
  <c r="X18" i="3"/>
  <c r="X35" i="3"/>
  <c r="X27" i="3"/>
  <c r="X8" i="3"/>
  <c r="X43" i="3"/>
  <c r="X25" i="3"/>
  <c r="X24" i="3" s="1"/>
  <c r="X13" i="3"/>
  <c r="X29" i="3"/>
  <c r="X31" i="3"/>
  <c r="X41" i="3" s="1"/>
  <c r="X42" i="3" s="1"/>
  <c r="V19" i="11"/>
  <c r="Y25" i="26"/>
  <c r="Y26" i="26" s="1"/>
  <c r="Y45" i="26"/>
  <c r="X49" i="26"/>
  <c r="X52" i="26"/>
  <c r="U41" i="11"/>
  <c r="U43" i="11"/>
  <c r="U50" i="11" s="1"/>
  <c r="U51" i="11" s="1"/>
  <c r="V26" i="11"/>
  <c r="AB16" i="26"/>
  <c r="Z43" i="26"/>
  <c r="Z19" i="26"/>
  <c r="Z18" i="26"/>
  <c r="Z39" i="26"/>
  <c r="Z21" i="26"/>
  <c r="Z23" i="26"/>
  <c r="Z25" i="26" s="1"/>
  <c r="Z26" i="26" s="1"/>
  <c r="Z15" i="26"/>
  <c r="Z41" i="26"/>
  <c r="Z57" i="26"/>
  <c r="Z32" i="26"/>
  <c r="Z38" i="26"/>
  <c r="Z47" i="2"/>
  <c r="Z48" i="2"/>
  <c r="V7" i="11"/>
  <c r="W19" i="3"/>
  <c r="W20" i="3"/>
  <c r="W21" i="3" s="1"/>
  <c r="AA14" i="26"/>
  <c r="AB8" i="26"/>
  <c r="L14" i="18"/>
  <c r="V13" i="11"/>
  <c r="L24" i="18" l="1"/>
  <c r="L25" i="18" s="1"/>
  <c r="M14" i="18"/>
  <c r="N13" i="18"/>
  <c r="N6" i="18"/>
  <c r="N12" i="18"/>
  <c r="AB23" i="2"/>
  <c r="AB19" i="2"/>
  <c r="AB21" i="2"/>
  <c r="AB39" i="2"/>
  <c r="AB15" i="2"/>
  <c r="AB57" i="2"/>
  <c r="AB41" i="2"/>
  <c r="AD16" i="2"/>
  <c r="H8" i="22" s="1" a="1"/>
  <c r="H8" i="22" s="1"/>
  <c r="N7" i="18"/>
  <c r="AB43" i="2"/>
  <c r="AB18" i="2"/>
  <c r="O7" i="22"/>
  <c r="AB32" i="2"/>
  <c r="AB38" i="2"/>
  <c r="M8" i="18"/>
  <c r="AA47" i="2"/>
  <c r="AA48" i="2"/>
  <c r="AD8" i="2"/>
  <c r="AD14" i="2" s="1"/>
  <c r="X53" i="2"/>
  <c r="X53" i="26"/>
  <c r="X54" i="26"/>
  <c r="X56" i="26"/>
  <c r="Y46" i="26"/>
  <c r="Y50" i="26"/>
  <c r="Z46" i="2"/>
  <c r="X61" i="26"/>
  <c r="X51" i="26"/>
  <c r="X62" i="26" s="1"/>
  <c r="V41" i="11"/>
  <c r="V43" i="11" s="1"/>
  <c r="V50" i="11" s="1"/>
  <c r="W37" i="3"/>
  <c r="W39" i="3" s="1"/>
  <c r="W46" i="3" s="1"/>
  <c r="W47" i="3" s="1"/>
  <c r="W34" i="3"/>
  <c r="X14" i="3"/>
  <c r="X15" i="3" s="1"/>
  <c r="X16" i="3" s="1"/>
  <c r="AB14" i="26"/>
  <c r="AC8" i="26"/>
  <c r="Z48" i="26"/>
  <c r="Z47" i="26"/>
  <c r="X19" i="3"/>
  <c r="X20" i="3"/>
  <c r="X21" i="3" s="1"/>
  <c r="Z49" i="2"/>
  <c r="Z52" i="2"/>
  <c r="Z54" i="2" s="1"/>
  <c r="Y56" i="2"/>
  <c r="Y53" i="2"/>
  <c r="V27" i="11"/>
  <c r="V20" i="11"/>
  <c r="V21" i="11" s="1"/>
  <c r="V22" i="11" s="1"/>
  <c r="V14" i="11"/>
  <c r="V15" i="11" s="1"/>
  <c r="V16" i="11" s="1"/>
  <c r="V8" i="11"/>
  <c r="V9" i="11" s="1"/>
  <c r="V10" i="11" s="1"/>
  <c r="X26" i="3"/>
  <c r="X33" i="3"/>
  <c r="Y48" i="26"/>
  <c r="AA15" i="26"/>
  <c r="AC16" i="26"/>
  <c r="AA19" i="26"/>
  <c r="AA57" i="26"/>
  <c r="AA18" i="26"/>
  <c r="AA39" i="26"/>
  <c r="AA41" i="26"/>
  <c r="AA23" i="26"/>
  <c r="AA25" i="26" s="1"/>
  <c r="AA26" i="26" s="1"/>
  <c r="AA43" i="26"/>
  <c r="AA32" i="26"/>
  <c r="AA21" i="26"/>
  <c r="AA38" i="26"/>
  <c r="Y47" i="26"/>
  <c r="Z45" i="26"/>
  <c r="X9" i="3"/>
  <c r="X10" i="3"/>
  <c r="X11" i="3" s="1"/>
  <c r="AA45" i="2"/>
  <c r="N14" i="18" l="1"/>
  <c r="M24" i="18"/>
  <c r="M25" i="18" s="1"/>
  <c r="E27" i="11"/>
  <c r="E28" i="11" s="1"/>
  <c r="V51" i="11"/>
  <c r="E42" i="11"/>
  <c r="Y49" i="26"/>
  <c r="Y52" i="26"/>
  <c r="O13" i="18"/>
  <c r="AC19" i="2"/>
  <c r="AC15" i="2"/>
  <c r="AC18" i="2"/>
  <c r="AC21" i="2"/>
  <c r="O6" i="18"/>
  <c r="AC23" i="2"/>
  <c r="AC39" i="2"/>
  <c r="O12" i="18"/>
  <c r="AC57" i="2"/>
  <c r="AC43" i="2"/>
  <c r="O7" i="18"/>
  <c r="AC41" i="2"/>
  <c r="P7" i="22"/>
  <c r="AC32" i="2"/>
  <c r="AC38" i="2"/>
  <c r="Z46" i="26"/>
  <c r="Z50" i="26"/>
  <c r="AA45" i="26"/>
  <c r="Z53" i="2"/>
  <c r="Z56" i="2"/>
  <c r="AB15" i="26"/>
  <c r="AD16" i="26"/>
  <c r="AB18" i="26"/>
  <c r="AB23" i="26"/>
  <c r="AB41" i="26"/>
  <c r="AB43" i="26"/>
  <c r="AB32" i="26"/>
  <c r="AB21" i="26"/>
  <c r="AB57" i="26"/>
  <c r="AB19" i="26"/>
  <c r="AB39" i="26"/>
  <c r="AB45" i="26" s="1"/>
  <c r="AB38" i="26"/>
  <c r="AA49" i="2"/>
  <c r="AA52" i="2"/>
  <c r="AA54" i="2" s="1"/>
  <c r="AB25" i="2"/>
  <c r="X37" i="3"/>
  <c r="X39" i="3" s="1"/>
  <c r="X46" i="3" s="1"/>
  <c r="X34" i="3"/>
  <c r="N8" i="18"/>
  <c r="AD8" i="26"/>
  <c r="AD14" i="26" s="1"/>
  <c r="AC14" i="26"/>
  <c r="P12" i="18"/>
  <c r="P6" i="18"/>
  <c r="AD15" i="2"/>
  <c r="AD18" i="2"/>
  <c r="AD21" i="2"/>
  <c r="AD19" i="2"/>
  <c r="H9" i="22" s="1" a="1"/>
  <c r="H9" i="22" s="1"/>
  <c r="AD23" i="2"/>
  <c r="AD25" i="2" s="1"/>
  <c r="AD26" i="2" s="1"/>
  <c r="AD32" i="2"/>
  <c r="AD57" i="2"/>
  <c r="H15" i="22" s="1" a="1"/>
  <c r="H15" i="22" s="1"/>
  <c r="AD41" i="2"/>
  <c r="AD39" i="2"/>
  <c r="P7" i="18"/>
  <c r="P13" i="18"/>
  <c r="AD43" i="2"/>
  <c r="Q7" i="22"/>
  <c r="AD38" i="2"/>
  <c r="AA47" i="26"/>
  <c r="AA48" i="26"/>
  <c r="AA46" i="2"/>
  <c r="Z52" i="26"/>
  <c r="Z49" i="26"/>
  <c r="Y61" i="26"/>
  <c r="Y51" i="26"/>
  <c r="Y62" i="26" s="1"/>
  <c r="X56" i="2"/>
  <c r="AB45" i="2"/>
  <c r="O14" i="18" l="1"/>
  <c r="P8" i="18"/>
  <c r="O8" i="18"/>
  <c r="O24" i="18" s="1"/>
  <c r="N24" i="18"/>
  <c r="N25" i="18" s="1"/>
  <c r="E32" i="3"/>
  <c r="E33" i="3" s="1"/>
  <c r="X47" i="3"/>
  <c r="E20" i="3"/>
  <c r="E21" i="3" s="1"/>
  <c r="AA49" i="26"/>
  <c r="AA52" i="26"/>
  <c r="P14" i="18"/>
  <c r="AC45" i="2"/>
  <c r="Z53" i="26"/>
  <c r="Z54" i="26"/>
  <c r="Z56" i="26" s="1"/>
  <c r="AC25" i="2"/>
  <c r="AC26" i="2" s="1"/>
  <c r="Y54" i="26"/>
  <c r="Y53" i="26"/>
  <c r="Y56" i="26"/>
  <c r="AC43" i="26"/>
  <c r="AC19" i="26"/>
  <c r="AC39" i="26"/>
  <c r="AC45" i="26" s="1"/>
  <c r="AC21" i="26"/>
  <c r="AC41" i="26"/>
  <c r="AC23" i="26"/>
  <c r="AC25" i="26" s="1"/>
  <c r="AC26" i="26" s="1"/>
  <c r="AC15" i="26"/>
  <c r="AC18" i="26"/>
  <c r="AC57" i="26"/>
  <c r="AC32" i="26"/>
  <c r="AC38" i="26"/>
  <c r="AB50" i="26"/>
  <c r="AB46" i="26"/>
  <c r="D42" i="22"/>
  <c r="E43" i="11"/>
  <c r="AD15" i="26"/>
  <c r="AD18" i="26"/>
  <c r="AD21" i="26"/>
  <c r="AD39" i="26"/>
  <c r="AD23" i="26"/>
  <c r="AD41" i="26"/>
  <c r="AD19" i="26"/>
  <c r="AD43" i="26"/>
  <c r="AD57" i="26"/>
  <c r="AD32" i="26"/>
  <c r="AD38" i="26"/>
  <c r="AB26" i="2"/>
  <c r="H10" i="22" a="1"/>
  <c r="H10" i="22" s="1"/>
  <c r="AA56" i="2"/>
  <c r="AA53" i="2"/>
  <c r="E41" i="11"/>
  <c r="D45" i="22" s="1"/>
  <c r="E26" i="11"/>
  <c r="AB47" i="26"/>
  <c r="AB48" i="26"/>
  <c r="AB46" i="2"/>
  <c r="AD47" i="2"/>
  <c r="AD48" i="2"/>
  <c r="AB47" i="2"/>
  <c r="AA46" i="26"/>
  <c r="AA50" i="26"/>
  <c r="E29" i="11"/>
  <c r="E32" i="11" s="1"/>
  <c r="E34" i="11" s="1"/>
  <c r="E36" i="11" s="1"/>
  <c r="AB48" i="2"/>
  <c r="AD45" i="2"/>
  <c r="U50" i="2" s="1" a="1"/>
  <c r="AB25" i="26"/>
  <c r="AB26" i="26" s="1"/>
  <c r="Z61" i="26"/>
  <c r="Z51" i="26"/>
  <c r="Z62" i="26" s="1"/>
  <c r="U50" i="2" l="1"/>
  <c r="V51" i="2"/>
  <c r="V62" i="2" s="1"/>
  <c r="V61" i="2"/>
  <c r="W51" i="2"/>
  <c r="W62" i="2" s="1"/>
  <c r="W61" i="2"/>
  <c r="X61" i="2"/>
  <c r="Y51" i="2"/>
  <c r="Y62" i="2" s="1"/>
  <c r="X51" i="2"/>
  <c r="X62" i="2" s="1"/>
  <c r="Y61" i="2"/>
  <c r="Z61" i="2"/>
  <c r="Z51" i="2"/>
  <c r="Z62" i="2" s="1"/>
  <c r="AA61" i="2"/>
  <c r="AA51" i="2"/>
  <c r="AA62" i="2" s="1"/>
  <c r="AC48" i="2"/>
  <c r="AC52" i="2" s="1"/>
  <c r="AC54" i="2" s="1"/>
  <c r="P24" i="18"/>
  <c r="P25" i="18" s="1"/>
  <c r="O25" i="18"/>
  <c r="AD25" i="26"/>
  <c r="AD26" i="26" s="1"/>
  <c r="AB51" i="26"/>
  <c r="AB62" i="26" s="1"/>
  <c r="AB61" i="26"/>
  <c r="AA53" i="26"/>
  <c r="AA54" i="26"/>
  <c r="AA56" i="26" s="1"/>
  <c r="AD45" i="26"/>
  <c r="AD46" i="2"/>
  <c r="H12" i="22" a="1"/>
  <c r="H12" i="22" s="1"/>
  <c r="AB52" i="26"/>
  <c r="AB49" i="26"/>
  <c r="AC47" i="2"/>
  <c r="AD47" i="26"/>
  <c r="AD48" i="26"/>
  <c r="E31" i="3"/>
  <c r="E34" i="3" s="1"/>
  <c r="E37" i="3" s="1"/>
  <c r="E39" i="3" s="1"/>
  <c r="E41" i="3" s="1"/>
  <c r="E19" i="3"/>
  <c r="E22" i="3" s="1"/>
  <c r="E25" i="3" s="1"/>
  <c r="E27" i="3" s="1"/>
  <c r="E29" i="3" s="1"/>
  <c r="AD52" i="2"/>
  <c r="AD54" i="2" s="1"/>
  <c r="AD49" i="2"/>
  <c r="H11" i="22" a="1"/>
  <c r="H11" i="22" s="1"/>
  <c r="AC50" i="26"/>
  <c r="AC46" i="26"/>
  <c r="AB52" i="2"/>
  <c r="AB54" i="2" s="1"/>
  <c r="AB49" i="2"/>
  <c r="AB51" i="2"/>
  <c r="AB62" i="2" s="1"/>
  <c r="AB61" i="2"/>
  <c r="AC46" i="2"/>
  <c r="AA51" i="26"/>
  <c r="AA62" i="26" s="1"/>
  <c r="AA61" i="26"/>
  <c r="D43" i="22"/>
  <c r="E44" i="11"/>
  <c r="AC48" i="26"/>
  <c r="AC47" i="26"/>
  <c r="AC49" i="2" l="1"/>
  <c r="U51" i="2"/>
  <c r="U62" i="2" s="1"/>
  <c r="U61" i="2"/>
  <c r="U59" i="26" a="1"/>
  <c r="Z64" i="26" s="1"/>
  <c r="Z65" i="26" s="1"/>
  <c r="U59" i="2" a="1"/>
  <c r="AD52" i="26"/>
  <c r="AD49" i="26"/>
  <c r="AD51" i="2"/>
  <c r="AD62" i="2" s="1"/>
  <c r="AD61" i="2"/>
  <c r="H17" i="22" a="1"/>
  <c r="H17" i="22" s="1"/>
  <c r="AC56" i="2"/>
  <c r="AC53" i="2"/>
  <c r="AB56" i="2"/>
  <c r="AB53" i="2"/>
  <c r="H13" i="22" a="1"/>
  <c r="AC51" i="2"/>
  <c r="AC62" i="2" s="1"/>
  <c r="AC61" i="2"/>
  <c r="AD46" i="26"/>
  <c r="AD50" i="26"/>
  <c r="AC52" i="26"/>
  <c r="AC49" i="26"/>
  <c r="AD53" i="2"/>
  <c r="H14" i="22" a="1"/>
  <c r="H14" i="22" s="1"/>
  <c r="AD56" i="2"/>
  <c r="AC51" i="26"/>
  <c r="AC62" i="26" s="1"/>
  <c r="AC61" i="26"/>
  <c r="AB56" i="26"/>
  <c r="AB53" i="26"/>
  <c r="AB54" i="26"/>
  <c r="D47" i="22"/>
  <c r="E47" i="11"/>
  <c r="AC60" i="26" l="1"/>
  <c r="Y60" i="26"/>
  <c r="AB64" i="26"/>
  <c r="AB65" i="26" s="1"/>
  <c r="U59" i="26"/>
  <c r="AA60" i="26"/>
  <c r="W60" i="26"/>
  <c r="X64" i="26"/>
  <c r="X65" i="26" s="1"/>
  <c r="Z60" i="26"/>
  <c r="AA64" i="26"/>
  <c r="AA65" i="26" s="1"/>
  <c r="W64" i="26"/>
  <c r="W65" i="26" s="1"/>
  <c r="X60" i="26"/>
  <c r="V64" i="26"/>
  <c r="V65" i="26" s="1"/>
  <c r="V60" i="26"/>
  <c r="Y64" i="26"/>
  <c r="Y65" i="26" s="1"/>
  <c r="AD60" i="26"/>
  <c r="AB60" i="26"/>
  <c r="U59" i="2"/>
  <c r="U60" i="2" s="1"/>
  <c r="AA64" i="2"/>
  <c r="AA60" i="2"/>
  <c r="Y60" i="2"/>
  <c r="Y64" i="2"/>
  <c r="W60" i="2"/>
  <c r="AD64" i="2"/>
  <c r="V64" i="2"/>
  <c r="AD60" i="2"/>
  <c r="X60" i="2"/>
  <c r="AB60" i="2"/>
  <c r="AC64" i="2"/>
  <c r="X64" i="2"/>
  <c r="Z64" i="2"/>
  <c r="W64" i="2"/>
  <c r="V60" i="2"/>
  <c r="Z60" i="2"/>
  <c r="AC60" i="2"/>
  <c r="AB64" i="2"/>
  <c r="AD51" i="26"/>
  <c r="AD62" i="26" s="1"/>
  <c r="AD61" i="26"/>
  <c r="H13" i="22"/>
  <c r="U60" i="26"/>
  <c r="U64" i="26"/>
  <c r="U65" i="26" s="1"/>
  <c r="D49" i="22"/>
  <c r="E49" i="11"/>
  <c r="AC54" i="26"/>
  <c r="AC56" i="26" s="1"/>
  <c r="AC64" i="26" s="1"/>
  <c r="AC65" i="26" s="1"/>
  <c r="AC53" i="26"/>
  <c r="AD54" i="26"/>
  <c r="AD56" i="26"/>
  <c r="AD64" i="26" s="1"/>
  <c r="AD53" i="26"/>
  <c r="H16" i="22" l="1" a="1"/>
  <c r="H16" i="22" s="1"/>
  <c r="H18" i="22" s="1"/>
  <c r="U64" i="2"/>
  <c r="E51" i="11"/>
  <c r="D53" i="22" s="1"/>
  <c r="D51" i="22"/>
  <c r="D26" i="22"/>
  <c r="AD65" i="26"/>
  <c r="U68" i="26" s="1"/>
  <c r="V72" i="26"/>
  <c r="V73" i="26" s="1"/>
  <c r="L18" i="22" l="1"/>
  <c r="I22" i="22" a="1"/>
  <c r="I22" i="22" s="1"/>
  <c r="P18" i="22"/>
  <c r="K18" i="22"/>
  <c r="Q18" i="22"/>
  <c r="J18" i="22"/>
  <c r="I18" i="22"/>
  <c r="O18" i="22"/>
  <c r="M18" i="22"/>
  <c r="N18" i="22"/>
  <c r="V76" i="2"/>
  <c r="V78" i="2" s="1"/>
  <c r="D27" i="22"/>
  <c r="D29" i="22" l="1"/>
  <c r="D31" i="22"/>
  <c r="V83" i="2"/>
  <c r="V85" i="2" s="1"/>
  <c r="V77" i="2"/>
  <c r="D30" i="22" s="1"/>
  <c r="V75" i="2"/>
  <c r="D28" i="22" s="1"/>
  <c r="V88" i="2" l="1"/>
  <c r="D33" i="22"/>
  <c r="V90" i="2" l="1"/>
  <c r="AD111" i="2"/>
  <c r="AD97" i="2"/>
  <c r="D35" i="22"/>
  <c r="G4" i="25" s="1"/>
  <c r="G9" i="25" s="1"/>
  <c r="G11" i="25" s="1"/>
  <c r="J22" i="17" l="1"/>
  <c r="J23" i="17" s="1"/>
  <c r="D37"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Corey Cao</author>
  </authors>
  <commentList>
    <comment ref="B23" authorId="0" shapeId="0" xr:uid="{F7565BC8-E9A8-2949-83C1-444BAC87CCC0}">
      <text>
        <r>
          <rPr>
            <b/>
            <sz val="10"/>
            <color rgb="FF000000"/>
            <rFont val="Tahoma"/>
            <family val="2"/>
          </rPr>
          <t>Microsoft Office User:</t>
        </r>
        <r>
          <rPr>
            <sz val="10"/>
            <color rgb="FF000000"/>
            <rFont val="Tahoma"/>
            <family val="2"/>
          </rPr>
          <t xml:space="preserve">
</t>
        </r>
        <r>
          <rPr>
            <sz val="10"/>
            <color rgb="FF000000"/>
            <rFont val="Tahoma"/>
            <family val="2"/>
          </rPr>
          <t xml:space="preserve">General and Administrative + Sales and Marketing
</t>
        </r>
      </text>
    </comment>
    <comment ref="B25" authorId="0" shapeId="0" xr:uid="{7ABAAD12-1D2D-414F-9434-672885EB48D5}">
      <text>
        <r>
          <rPr>
            <b/>
            <sz val="10"/>
            <color rgb="FF000000"/>
            <rFont val="Tahoma"/>
            <family val="2"/>
          </rPr>
          <t>Microsoft Office User:</t>
        </r>
        <r>
          <rPr>
            <sz val="10"/>
            <color rgb="FF000000"/>
            <rFont val="Tahoma"/>
            <family val="2"/>
          </rPr>
          <t xml:space="preserve">
</t>
        </r>
        <r>
          <rPr>
            <sz val="10"/>
            <color rgb="FF000000"/>
            <rFont val="Tahoma"/>
            <family val="2"/>
          </rPr>
          <t xml:space="preserve">General and Administrative + Sales and Marketing
</t>
        </r>
      </text>
    </comment>
    <comment ref="B45" authorId="0" shapeId="0" xr:uid="{AE05C516-0519-204E-8FCA-91CDF7886450}">
      <text>
        <r>
          <rPr>
            <b/>
            <sz val="10"/>
            <color rgb="FF000000"/>
            <rFont val="Tahoma"/>
            <family val="2"/>
          </rPr>
          <t>Microsoft Office User:</t>
        </r>
        <r>
          <rPr>
            <sz val="10"/>
            <color rgb="FF000000"/>
            <rFont val="Tahoma"/>
            <family val="2"/>
          </rPr>
          <t xml:space="preserve">
</t>
        </r>
        <r>
          <rPr>
            <sz val="10"/>
            <color rgb="FF000000"/>
            <rFont val="Tahoma"/>
            <family val="2"/>
          </rPr>
          <t>Depreciation of PP&amp;E + Depreciation of right-of-use assets + Acquisitions + amortization of intangibles</t>
        </r>
      </text>
    </comment>
    <comment ref="B47" authorId="0" shapeId="0" xr:uid="{128618DC-25DE-8D4F-8157-3FECA2C0C570}">
      <text>
        <r>
          <rPr>
            <b/>
            <sz val="10"/>
            <color rgb="FF000000"/>
            <rFont val="Tahoma"/>
            <family val="2"/>
          </rPr>
          <t>Microsoft Office User:</t>
        </r>
        <r>
          <rPr>
            <sz val="10"/>
            <color rgb="FF000000"/>
            <rFont val="Tahoma"/>
            <family val="2"/>
          </rPr>
          <t xml:space="preserve">
</t>
        </r>
        <r>
          <rPr>
            <sz val="10"/>
            <color rgb="FF000000"/>
            <rFont val="Tahoma"/>
            <family val="2"/>
          </rPr>
          <t xml:space="preserve">R&amp;D + SG&amp;A + D&amp;A
</t>
        </r>
      </text>
    </comment>
    <comment ref="B48" authorId="1" shapeId="0" xr:uid="{9FEA8DAB-4C3D-264D-9E8E-C7A357090AB2}">
      <text>
        <r>
          <rPr>
            <b/>
            <sz val="10"/>
            <color rgb="FF000000"/>
            <rFont val="Tahoma"/>
            <family val="2"/>
          </rPr>
          <t>Corey Cao:</t>
        </r>
        <r>
          <rPr>
            <sz val="10"/>
            <color rgb="FF000000"/>
            <rFont val="Tahoma"/>
            <family val="2"/>
          </rPr>
          <t xml:space="preserve">
</t>
        </r>
        <r>
          <rPr>
            <sz val="10"/>
            <color rgb="FF000000"/>
            <rFont val="Tahoma"/>
            <family val="2"/>
          </rPr>
          <t xml:space="preserve">Removed Non-Recurring Expenses
</t>
        </r>
      </text>
    </comment>
    <comment ref="B50" authorId="0" shapeId="0" xr:uid="{C4906F28-C448-A34C-ACB9-2822AFEE2AE8}">
      <text>
        <r>
          <rPr>
            <b/>
            <sz val="10"/>
            <color rgb="FF000000"/>
            <rFont val="Tahoma"/>
            <family val="2"/>
          </rPr>
          <t>Microsoft Office User:</t>
        </r>
        <r>
          <rPr>
            <sz val="10"/>
            <color rgb="FF000000"/>
            <rFont val="Tahoma"/>
            <family val="2"/>
          </rPr>
          <t xml:space="preserve">
</t>
        </r>
        <r>
          <rPr>
            <sz val="10"/>
            <color rgb="FF000000"/>
            <rFont val="Tahoma"/>
            <family val="2"/>
          </rPr>
          <t>Depreciation of PP&amp;E + Depreciation of right-of-use assets + Acquisitions + amortization of intangibles</t>
        </r>
      </text>
    </comment>
    <comment ref="B52" authorId="1" shapeId="0" xr:uid="{6D263627-AA4B-204D-B07C-F2ECE46E19EE}">
      <text>
        <r>
          <rPr>
            <b/>
            <sz val="10"/>
            <color rgb="FF000000"/>
            <rFont val="Tahoma"/>
            <family val="2"/>
          </rPr>
          <t>Corey Cao:</t>
        </r>
        <r>
          <rPr>
            <sz val="10"/>
            <color rgb="FF000000"/>
            <rFont val="Tahoma"/>
            <family val="2"/>
          </rPr>
          <t xml:space="preserve">
</t>
        </r>
        <r>
          <rPr>
            <sz val="10"/>
            <color rgb="FF000000"/>
            <rFont val="Tahoma"/>
            <family val="2"/>
          </rPr>
          <t xml:space="preserve">Removed Non-Recurring Expenses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Corey Cao</author>
  </authors>
  <commentList>
    <comment ref="B23" authorId="0" shapeId="0" xr:uid="{E1998A16-9108-7442-B4C2-5529AFA446BC}">
      <text>
        <r>
          <rPr>
            <b/>
            <sz val="10"/>
            <color rgb="FF000000"/>
            <rFont val="Tahoma"/>
            <family val="2"/>
          </rPr>
          <t>Microsoft Office User:</t>
        </r>
        <r>
          <rPr>
            <sz val="10"/>
            <color rgb="FF000000"/>
            <rFont val="Tahoma"/>
            <family val="2"/>
          </rPr>
          <t xml:space="preserve">
</t>
        </r>
        <r>
          <rPr>
            <sz val="10"/>
            <color rgb="FF000000"/>
            <rFont val="Tahoma"/>
            <family val="2"/>
          </rPr>
          <t xml:space="preserve">General and Administrative + Sales and Marketing
</t>
        </r>
      </text>
    </comment>
    <comment ref="B25" authorId="0" shapeId="0" xr:uid="{E041C495-82F0-5742-9CD5-121B692C1B6E}">
      <text>
        <r>
          <rPr>
            <b/>
            <sz val="10"/>
            <color rgb="FF000000"/>
            <rFont val="Tahoma"/>
            <family val="2"/>
          </rPr>
          <t>Microsoft Office User:</t>
        </r>
        <r>
          <rPr>
            <sz val="10"/>
            <color rgb="FF000000"/>
            <rFont val="Tahoma"/>
            <family val="2"/>
          </rPr>
          <t xml:space="preserve">
</t>
        </r>
        <r>
          <rPr>
            <sz val="10"/>
            <color rgb="FF000000"/>
            <rFont val="Tahoma"/>
            <family val="2"/>
          </rPr>
          <t xml:space="preserve">General and Administrative + Sales and Marketing
</t>
        </r>
      </text>
    </comment>
    <comment ref="B45" authorId="0" shapeId="0" xr:uid="{502FD5BA-22DC-0246-9E8C-101DD2E6BEAF}">
      <text>
        <r>
          <rPr>
            <b/>
            <sz val="10"/>
            <color rgb="FF000000"/>
            <rFont val="Tahoma"/>
            <family val="2"/>
          </rPr>
          <t>Microsoft Office User:</t>
        </r>
        <r>
          <rPr>
            <sz val="10"/>
            <color rgb="FF000000"/>
            <rFont val="Tahoma"/>
            <family val="2"/>
          </rPr>
          <t xml:space="preserve">
</t>
        </r>
        <r>
          <rPr>
            <sz val="10"/>
            <color rgb="FF000000"/>
            <rFont val="Tahoma"/>
            <family val="2"/>
          </rPr>
          <t>Depreciation of PP&amp;E + Depreciation of right-of-use assets + Acquisitions + amortization of intangibles</t>
        </r>
      </text>
    </comment>
    <comment ref="B47" authorId="0" shapeId="0" xr:uid="{DF51B76A-4DDB-7C45-AB77-1509CB442511}">
      <text>
        <r>
          <rPr>
            <b/>
            <sz val="10"/>
            <color rgb="FF000000"/>
            <rFont val="Tahoma"/>
            <family val="2"/>
          </rPr>
          <t>Microsoft Office User:</t>
        </r>
        <r>
          <rPr>
            <sz val="10"/>
            <color rgb="FF000000"/>
            <rFont val="Tahoma"/>
            <family val="2"/>
          </rPr>
          <t xml:space="preserve">
</t>
        </r>
        <r>
          <rPr>
            <sz val="10"/>
            <color rgb="FF000000"/>
            <rFont val="Tahoma"/>
            <family val="2"/>
          </rPr>
          <t xml:space="preserve">R&amp;D + SG&amp;A + D&amp;A
</t>
        </r>
      </text>
    </comment>
    <comment ref="B48" authorId="1" shapeId="0" xr:uid="{E39BF740-76B4-E948-8973-EDB975375060}">
      <text>
        <r>
          <rPr>
            <b/>
            <sz val="10"/>
            <color rgb="FF000000"/>
            <rFont val="Tahoma"/>
            <family val="2"/>
          </rPr>
          <t>Corey Cao:</t>
        </r>
        <r>
          <rPr>
            <sz val="10"/>
            <color rgb="FF000000"/>
            <rFont val="Tahoma"/>
            <family val="2"/>
          </rPr>
          <t xml:space="preserve">
</t>
        </r>
        <r>
          <rPr>
            <sz val="10"/>
            <color rgb="FF000000"/>
            <rFont val="Tahoma"/>
            <family val="2"/>
          </rPr>
          <t xml:space="preserve">Removed Non-Recurring Expenses
</t>
        </r>
      </text>
    </comment>
    <comment ref="B50" authorId="0" shapeId="0" xr:uid="{796A04C8-01DE-5146-B722-3E7805DEEB5D}">
      <text>
        <r>
          <rPr>
            <b/>
            <sz val="10"/>
            <color rgb="FF000000"/>
            <rFont val="Tahoma"/>
            <family val="2"/>
          </rPr>
          <t>Microsoft Office User:</t>
        </r>
        <r>
          <rPr>
            <sz val="10"/>
            <color rgb="FF000000"/>
            <rFont val="Tahoma"/>
            <family val="2"/>
          </rPr>
          <t xml:space="preserve">
</t>
        </r>
        <r>
          <rPr>
            <sz val="10"/>
            <color rgb="FF000000"/>
            <rFont val="Tahoma"/>
            <family val="2"/>
          </rPr>
          <t>Depreciation of PP&amp;E + Depreciation of right-of-use assets + Acquisitions + amortization of intangibles</t>
        </r>
      </text>
    </comment>
    <comment ref="B52" authorId="1" shapeId="0" xr:uid="{80DC8D02-9AE3-3240-B4BF-6AA82E7E528B}">
      <text>
        <r>
          <rPr>
            <b/>
            <sz val="10"/>
            <color rgb="FF000000"/>
            <rFont val="Tahoma"/>
            <family val="2"/>
          </rPr>
          <t>Corey Cao:</t>
        </r>
        <r>
          <rPr>
            <sz val="10"/>
            <color rgb="FF000000"/>
            <rFont val="Tahoma"/>
            <family val="2"/>
          </rPr>
          <t xml:space="preserve">
</t>
        </r>
        <r>
          <rPr>
            <sz val="10"/>
            <color rgb="FF000000"/>
            <rFont val="Tahoma"/>
            <family val="2"/>
          </rPr>
          <t xml:space="preserve">Removed Non-Recurring Expenses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15" authorId="0" shapeId="0" xr:uid="{D3030A44-CBFF-3543-AA61-B8AE59340C2C}">
      <text>
        <r>
          <rPr>
            <b/>
            <sz val="10"/>
            <color rgb="FF000000"/>
            <rFont val="Tahoma"/>
            <family val="2"/>
          </rPr>
          <t>Microsoft Office User:</t>
        </r>
        <r>
          <rPr>
            <sz val="10"/>
            <color rgb="FF000000"/>
            <rFont val="Tahoma"/>
            <family val="2"/>
          </rPr>
          <t xml:space="preserve">
</t>
        </r>
        <r>
          <rPr>
            <sz val="10"/>
            <color rgb="FF000000"/>
            <rFont val="Tahoma"/>
            <family val="2"/>
          </rPr>
          <t xml:space="preserve">Cash + marketable securities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<sst xmlns="http://schemas.openxmlformats.org/spreadsheetml/2006/main" count="1633" uniqueCount="799">
  <si>
    <t>DCF Valuation</t>
  </si>
  <si>
    <t>Created By</t>
  </si>
  <si>
    <t>TFSIG TMTH</t>
  </si>
  <si>
    <t>Current Share Price</t>
  </si>
  <si>
    <t>Implied Up/Downside</t>
  </si>
  <si>
    <t>Implied Share Price</t>
  </si>
  <si>
    <t>Legend</t>
  </si>
  <si>
    <t>Black</t>
  </si>
  <si>
    <t>Data / Calculations</t>
  </si>
  <si>
    <t>Blue</t>
  </si>
  <si>
    <t>Hardcode</t>
  </si>
  <si>
    <t>Green</t>
  </si>
  <si>
    <t>Reference</t>
  </si>
  <si>
    <t>Formatting Templates</t>
  </si>
  <si>
    <t>Percentages</t>
  </si>
  <si>
    <t>Numbers</t>
  </si>
  <si>
    <t>Pitchbook Data</t>
  </si>
  <si>
    <t>LSPD Analyst</t>
  </si>
  <si>
    <t>LSPD Employees</t>
  </si>
  <si>
    <t>SHOP Analyst</t>
  </si>
  <si>
    <t>SHOP Employees</t>
  </si>
  <si>
    <t>Redburn Atlantic</t>
  </si>
  <si>
    <t>dominic.ball@redburnatlantic.com</t>
  </si>
  <si>
    <t>44 20 7000 2052</t>
  </si>
  <si>
    <t>CEO and Founder</t>
  </si>
  <si>
    <t>dax.dasilva@lightspeedpos.com</t>
  </si>
  <si>
    <t>BofA</t>
  </si>
  <si>
    <t>brad.sills@bofa.com</t>
  </si>
  <si>
    <t>(415) 676-3531</t>
  </si>
  <si>
    <t>CFO</t>
  </si>
  <si>
    <t>jeff.hoffmeister@shopify.com</t>
  </si>
  <si>
    <t>koji.ikeda@bofa.com</t>
  </si>
  <si>
    <t>(415) 913-2106</t>
  </si>
  <si>
    <t>President</t>
  </si>
  <si>
    <t>jean-david@lightspeedhq.com</t>
  </si>
  <si>
    <t>Barclays</t>
  </si>
  <si>
    <t>trevor.young@barclays.com</t>
  </si>
  <si>
    <t>(212) 526-3098</t>
  </si>
  <si>
    <t>General Counsel, Legal</t>
  </si>
  <si>
    <t>jessica.hertz@shopify.com</t>
  </si>
  <si>
    <t>raimo.lenschow@barclays.com</t>
  </si>
  <si>
    <t>(212) 526-2712</t>
  </si>
  <si>
    <t>asha.bakshani@lightspeedhq.com</t>
  </si>
  <si>
    <t>Canaccord</t>
  </si>
  <si>
    <t>DHynes@cgf.com</t>
  </si>
  <si>
    <t>(617) 371-3882</t>
  </si>
  <si>
    <t>Chief Revenue Officer</t>
  </si>
  <si>
    <t>bobby.morrison@shopify.com</t>
  </si>
  <si>
    <t>BMO</t>
  </si>
  <si>
    <t>thanos.moschopoulos@bmo.com</t>
  </si>
  <si>
    <t>416 359 5428</t>
  </si>
  <si>
    <t>Head of IR</t>
  </si>
  <si>
    <t>gus.papageorgiou@lightspeedhq.com</t>
  </si>
  <si>
    <t>CIBC</t>
  </si>
  <si>
    <t>todd.coupland@cibc.com</t>
  </si>
  <si>
    <t>416-956-6025</t>
  </si>
  <si>
    <t>Director of Brand Marketing</t>
  </si>
  <si>
    <t>brennan.loh@shopify.com</t>
  </si>
  <si>
    <t>Chief Strategy Officer</t>
  </si>
  <si>
    <t>ana.wight@lightspeedhq.com</t>
  </si>
  <si>
    <t>Citi</t>
  </si>
  <si>
    <t>tyler.radke@citi.com</t>
  </si>
  <si>
    <t>(415) 951-1660</t>
  </si>
  <si>
    <t>Founder and Acceleration Manager</t>
  </si>
  <si>
    <t>julia.chelaru@shopify.com</t>
  </si>
  <si>
    <t>Jefferies</t>
  </si>
  <si>
    <t>twilliams3@jefferies.com</t>
  </si>
  <si>
    <t>(415) 229-1546</t>
  </si>
  <si>
    <t>VP of Operations</t>
  </si>
  <si>
    <t>patrick.lacelle@lightspeedhq.com</t>
  </si>
  <si>
    <t>+1 (514) 907-1801</t>
  </si>
  <si>
    <t>Deutsche</t>
  </si>
  <si>
    <t>bhavin-s.shah@db.com</t>
  </si>
  <si>
    <t>(212) 250-6775</t>
  </si>
  <si>
    <t>JPM</t>
  </si>
  <si>
    <t>tien-tsin.huang@jpmorgan.com</t>
  </si>
  <si>
    <t>(212) 622-6632</t>
  </si>
  <si>
    <t>Evercore</t>
  </si>
  <si>
    <t>mark.mahaney@evercoreisi.com</t>
  </si>
  <si>
    <t>(415) 531-5882</t>
  </si>
  <si>
    <t>MS</t>
  </si>
  <si>
    <t>Josh.Baer@morganstanley.com</t>
  </si>
  <si>
    <t>(212) 761-4223</t>
  </si>
  <si>
    <t>GS</t>
  </si>
  <si>
    <t>gabriela.borges@gs.com</t>
  </si>
  <si>
    <t>(212) 902-7839</t>
  </si>
  <si>
    <t>National Bank</t>
  </si>
  <si>
    <t>Richard.tse@nbc.ca</t>
  </si>
  <si>
    <t>416-869-6690</t>
  </si>
  <si>
    <t>ssamana@jefferies.com</t>
  </si>
  <si>
    <t>(212) 284-4649</t>
  </si>
  <si>
    <t>Piper Sandler</t>
  </si>
  <si>
    <t>clarke.jeffries@psc.com</t>
  </si>
  <si>
    <t>(503) 275-8318</t>
  </si>
  <si>
    <t>reginald.l.smith@jpmorgan.com</t>
  </si>
  <si>
    <t>(212) 622-6743</t>
  </si>
  <si>
    <t>RBC</t>
  </si>
  <si>
    <t>daniel.perlin@rbccm.com</t>
  </si>
  <si>
    <t>(410) 625-6130</t>
  </si>
  <si>
    <t>Mizuho</t>
  </si>
  <si>
    <t>Siti.Panigrahi@mizuhogroup.com</t>
  </si>
  <si>
    <t>(415) 268-5522</t>
  </si>
  <si>
    <t>Scotia</t>
  </si>
  <si>
    <t>kevin.krishnaratne@scotiabank.com</t>
  </si>
  <si>
    <t>437-991-3697</t>
  </si>
  <si>
    <t>Keith.Weiss@morganstanley.com</t>
  </si>
  <si>
    <t>(212) 761-4149</t>
  </si>
  <si>
    <t>TD</t>
  </si>
  <si>
    <t>(416) 983 2755</t>
  </si>
  <si>
    <t>UBS</t>
  </si>
  <si>
    <t>timothy.chiodo@ubs.com</t>
  </si>
  <si>
    <t>(415) 352-4500</t>
  </si>
  <si>
    <t>Oppenheimer</t>
  </si>
  <si>
    <t>ken.wong@opco.com</t>
  </si>
  <si>
    <t>(415) 438-2915</t>
  </si>
  <si>
    <t>Wells Fargo</t>
  </si>
  <si>
    <t>Andrew.Bauch@wellsfargo.com</t>
  </si>
  <si>
    <t>(518) 633-2665</t>
  </si>
  <si>
    <t>paul.treiber@rbccm.com</t>
  </si>
  <si>
    <t>(416) 842-7811</t>
  </si>
  <si>
    <t>fahed.kunwar@redburnatlantic.com</t>
  </si>
  <si>
    <t>44 20 7000 2193</t>
  </si>
  <si>
    <t>Main narrative is: Founder is back</t>
  </si>
  <si>
    <t>https://www.perplexity.ai/search/why-did-dax-da-silva-quit-ligh-eb8ztyeeT8Wf7j42t1WriQ#0</t>
  </si>
  <si>
    <t>What the old CEO Wanted: https://www.perplexity.ai/search/what-did-jd-chauvet-prioritize-8CHO9C_aQzSnJFV8gi.cJQ#0</t>
  </si>
  <si>
    <t>(NYSE: SHOP)</t>
  </si>
  <si>
    <t>usd millions, ex per share</t>
  </si>
  <si>
    <t>SHOP Funded Debt, Q3'24 (usd mm)</t>
  </si>
  <si>
    <t>Price</t>
  </si>
  <si>
    <t>LSPD Funded Debt, Q2'25 (usd mm)</t>
  </si>
  <si>
    <t>ST Operating Lease Liabilities</t>
  </si>
  <si>
    <t>Shares</t>
  </si>
  <si>
    <t>ST Lease Liabilities</t>
  </si>
  <si>
    <t>Q3'24</t>
  </si>
  <si>
    <t>LT Operating Lease Liabilities</t>
  </si>
  <si>
    <t>Mkt Cap</t>
  </si>
  <si>
    <t>LT Lease Liabilities</t>
  </si>
  <si>
    <t>Convertible Senior Notes</t>
  </si>
  <si>
    <t>(-) Cash</t>
  </si>
  <si>
    <t>Total Funded Debt</t>
  </si>
  <si>
    <t>(+) Funded Debt</t>
  </si>
  <si>
    <t>EV</t>
  </si>
  <si>
    <t>PIC</t>
  </si>
  <si>
    <t>AD</t>
  </si>
  <si>
    <t>AS</t>
  </si>
  <si>
    <t>Net Cash</t>
  </si>
  <si>
    <t>Potential Gem: Lightspeed Capital</t>
  </si>
  <si>
    <t>Q2'25 Earnings Call</t>
  </si>
  <si>
    <t>Since CEO returned last February, the focus of the business will now be on upselling and growing the 2 historically strongest markets for LSPD = North American retail and European hospitality</t>
  </si>
  <si>
    <t>R&amp;D spending is devoted to Lightspeed Retail and Lightspeed Restuarant</t>
  </si>
  <si>
    <t>Ideal customer profile stays the same</t>
  </si>
  <si>
    <t>Goal of expending capital payouts and financial services</t>
  </si>
  <si>
    <t>Goal going forward will be to up-sale current clients</t>
  </si>
  <si>
    <t>Redburn Atlantic Conf (December 4, '24), interview with CEO Dax Dasilva</t>
  </si>
  <si>
    <t>Company's main focus is on merchants with $500k in transaction volume + multiple locations</t>
  </si>
  <si>
    <t>Why retail merchants choose Lightspeed: multi location businesses with needs for inventory management, analytics (10k-100k skews in databases), Lightspeed excels in omnichanel capabilities (selling online and in-person)</t>
  </si>
  <si>
    <t>The company also provides payment systems and capital solutions (borrowing from Lightspeed to purchase inventory for ex, in exchange Lightspeed gets paid on future revenues of the merchant)</t>
  </si>
  <si>
    <t>Why hospitality merchants choose Lightspeed: they provide front-of-house and back-of-house management</t>
  </si>
  <si>
    <t>They provide ordering workflow and kitchen workflow</t>
  </si>
  <si>
    <t>They provide services for order delivery (restaurants and fast foods, uber eats integration for ex)</t>
  </si>
  <si>
    <t>They provide analytics and order ahead</t>
  </si>
  <si>
    <t>They initially started their hospitality business in Europe and excel in fiscalization (when restaurants/hotels want to grow in multiple European countries, Lightspeed excels in fiscalizing the payment systems according to the specific country)</t>
  </si>
  <si>
    <t>A lot of noncompetes are expiring for merchants, so Lightspeed can now onboard a lot of clients in Europe</t>
  </si>
  <si>
    <t>New Order Product</t>
  </si>
  <si>
    <t>B2B service enabling better inventory and supply/demand forecasts for SMBs</t>
  </si>
  <si>
    <t>Will work as a key service to upsale current clients</t>
  </si>
  <si>
    <t>Balance Sheet Talk and Growing Net Cash Position</t>
  </si>
  <si>
    <t>NCIB share buyback, $140 mm planned and appetite for more buybacks</t>
  </si>
  <si>
    <t xml:space="preserve">JD Saint-Martin Interview Piper Sandler </t>
  </si>
  <si>
    <t xml:space="preserve">Average Revenue Per User (ARPU) for software keeps going up </t>
  </si>
  <si>
    <t>Initial most popular service in upselling cycle is payments (online or in-person)</t>
  </si>
  <si>
    <t>Fiscal Year End Date</t>
  </si>
  <si>
    <t>DCF Model</t>
  </si>
  <si>
    <t>$ mm except per share</t>
  </si>
  <si>
    <t xml:space="preserve">FY </t>
  </si>
  <si>
    <t>FY</t>
  </si>
  <si>
    <t xml:space="preserve">Projections </t>
  </si>
  <si>
    <t>Q1 2023</t>
  </si>
  <si>
    <t>Q2 2023</t>
  </si>
  <si>
    <t>Q3 2023</t>
  </si>
  <si>
    <t>Q4 2023</t>
  </si>
  <si>
    <t>Q1 2024</t>
  </si>
  <si>
    <t>Q2 2024</t>
  </si>
  <si>
    <t>Q3 2024</t>
  </si>
  <si>
    <t>Q4 2024</t>
  </si>
  <si>
    <t>Q1 2025</t>
  </si>
  <si>
    <t>Q2 2025</t>
  </si>
  <si>
    <t>Q3 2025</t>
  </si>
  <si>
    <t>Subscription Revenue</t>
  </si>
  <si>
    <t>Transaction Revenue</t>
  </si>
  <si>
    <t>Hardware + Other Revenue</t>
  </si>
  <si>
    <t>Total Revenue</t>
  </si>
  <si>
    <t>Direct Costs of Revenue</t>
  </si>
  <si>
    <t>As a % of Revenue</t>
  </si>
  <si>
    <t>Gross Profit</t>
  </si>
  <si>
    <t>R&amp;D</t>
  </si>
  <si>
    <t>Sales &amp; Marketing Expense</t>
  </si>
  <si>
    <t>General &amp; Admin Expense</t>
  </si>
  <si>
    <t>SG&amp;A</t>
  </si>
  <si>
    <t>Restructuring</t>
  </si>
  <si>
    <t>Currency Translation</t>
  </si>
  <si>
    <t>Fair Value Loss on Pref Shares</t>
  </si>
  <si>
    <t>Goodwill Impairments</t>
  </si>
  <si>
    <t>Acquisition Related-Comp</t>
  </si>
  <si>
    <t>Non-Recurring Expenses</t>
  </si>
  <si>
    <t>Depreciation of PPE</t>
  </si>
  <si>
    <t>Depreciation of Right-of-use assets</t>
  </si>
  <si>
    <t>Amortization of Intangible Assets</t>
  </si>
  <si>
    <t>D&amp;A</t>
  </si>
  <si>
    <t>EBITDA</t>
  </si>
  <si>
    <t>Adjusted EBITDA</t>
  </si>
  <si>
    <t>Adj. EBITDA Margin</t>
  </si>
  <si>
    <t>Adjusted EBIT</t>
  </si>
  <si>
    <t>ADJ. EBIT Margin</t>
  </si>
  <si>
    <t>Tax Rate</t>
  </si>
  <si>
    <t>NOPAT</t>
  </si>
  <si>
    <t>% of Revenue</t>
  </si>
  <si>
    <t>Net Interest Expense (Income)</t>
  </si>
  <si>
    <t>Net Income</t>
  </si>
  <si>
    <t>Shares Oustanding (mm)</t>
  </si>
  <si>
    <t>EPS</t>
  </si>
  <si>
    <t>Gross Margin %</t>
  </si>
  <si>
    <t>Operating Margin %</t>
  </si>
  <si>
    <t>Net Margin %</t>
  </si>
  <si>
    <t>Effective Tax Rate %</t>
  </si>
  <si>
    <t>Interest Coverage Ratio</t>
  </si>
  <si>
    <t>Cash &amp; Equivalents</t>
  </si>
  <si>
    <t>Receivables</t>
  </si>
  <si>
    <t>Merchant Cash Advances</t>
  </si>
  <si>
    <t>Inventories</t>
  </si>
  <si>
    <t>Other Current Assets</t>
  </si>
  <si>
    <t>Total Current Assets</t>
  </si>
  <si>
    <t>Lease right-of-use assets</t>
  </si>
  <si>
    <t>PP&amp;E</t>
  </si>
  <si>
    <t>Intangible Assets</t>
  </si>
  <si>
    <t>Other Long-Term Assets</t>
  </si>
  <si>
    <t>Deferred Taxes</t>
  </si>
  <si>
    <t>Total Non-Current Assets</t>
  </si>
  <si>
    <t>Total Assets</t>
  </si>
  <si>
    <t>Accounts Payable + Accrued</t>
  </si>
  <si>
    <t>Income Taxes Payable</t>
  </si>
  <si>
    <t>ST Deferred Revenue</t>
  </si>
  <si>
    <t>Total Current Liabilities</t>
  </si>
  <si>
    <t>LT Deferred Revenue</t>
  </si>
  <si>
    <t>Other LT Liabilities</t>
  </si>
  <si>
    <t>LT Deferred Tax Liabilities</t>
  </si>
  <si>
    <t>Total Non-Current Liabilities</t>
  </si>
  <si>
    <t>Total Liabilities</t>
  </si>
  <si>
    <t>Paid-in Capital</t>
  </si>
  <si>
    <t>Accumulated Deficit</t>
  </si>
  <si>
    <t>Stockholder's Equity</t>
  </si>
  <si>
    <t>Model Net Income</t>
  </si>
  <si>
    <t>Reported Net Income</t>
  </si>
  <si>
    <t>Share-Based AcquisitionComp</t>
  </si>
  <si>
    <t>Amortization of Intangibles</t>
  </si>
  <si>
    <t>Depreciation of PP&amp;E</t>
  </si>
  <si>
    <t>Deferred Taxes (Benefits)</t>
  </si>
  <si>
    <t>Share-Based Comp</t>
  </si>
  <si>
    <t>Unrealized FX Loss</t>
  </si>
  <si>
    <t>Change in Receivables</t>
  </si>
  <si>
    <t>Change in Merchant Cash Advances</t>
  </si>
  <si>
    <t>Change in Inventories</t>
  </si>
  <si>
    <t>Change in Other Assets</t>
  </si>
  <si>
    <t>Change in AP and Accrued</t>
  </si>
  <si>
    <t>Change in Taxes Payable</t>
  </si>
  <si>
    <t>Change in Deferred Revenue</t>
  </si>
  <si>
    <t>Change in Other LT Liabilities</t>
  </si>
  <si>
    <t>Net Interest Income</t>
  </si>
  <si>
    <t>CFFO</t>
  </si>
  <si>
    <t>Additions to PP&amp;E (CapEx)</t>
  </si>
  <si>
    <t>Additions to Intangibles</t>
  </si>
  <si>
    <t>Acquisitions, net of cash acquired</t>
  </si>
  <si>
    <t>Interest Income</t>
  </si>
  <si>
    <t>CFFI</t>
  </si>
  <si>
    <t>Proceeds from Options</t>
  </si>
  <si>
    <t>Share Issuance Costs</t>
  </si>
  <si>
    <t>Shares Repo</t>
  </si>
  <si>
    <t>Payment of Lease Liabilities</t>
  </si>
  <si>
    <t>Financing Costs</t>
  </si>
  <si>
    <t>CFFF</t>
  </si>
  <si>
    <t>CIC</t>
  </si>
  <si>
    <t>Growth%</t>
  </si>
  <si>
    <t>DCF Matrix</t>
  </si>
  <si>
    <t>Justification</t>
  </si>
  <si>
    <t>usd millions</t>
  </si>
  <si>
    <t>Historical</t>
  </si>
  <si>
    <t>Forecast</t>
  </si>
  <si>
    <t>Assumptions, USD mm</t>
  </si>
  <si>
    <t>Shares Post Repo</t>
  </si>
  <si>
    <t>% of revenue</t>
  </si>
  <si>
    <t>WACC</t>
  </si>
  <si>
    <t>(-) Subscription Cost</t>
  </si>
  <si>
    <t>TV growth</t>
  </si>
  <si>
    <t>Gross Subscription Profit</t>
  </si>
  <si>
    <t>TV WACC</t>
  </si>
  <si>
    <t>margin %</t>
  </si>
  <si>
    <t>Cash</t>
  </si>
  <si>
    <t>Debt</t>
  </si>
  <si>
    <t>Cash Post Repo</t>
  </si>
  <si>
    <t>(-) Transaction Cost</t>
  </si>
  <si>
    <t>Gross Transaction Profit</t>
  </si>
  <si>
    <t>(-) Hardware + Other Cost</t>
  </si>
  <si>
    <t>Gross Hardware + Other Profit</t>
  </si>
  <si>
    <t>% growth</t>
  </si>
  <si>
    <t>Total Gross Profit</t>
  </si>
  <si>
    <t>EBIT</t>
  </si>
  <si>
    <t>usd mm</t>
  </si>
  <si>
    <t>Sum of PV of FCFF</t>
  </si>
  <si>
    <t>Pre Repo</t>
  </si>
  <si>
    <t>Tax Expense</t>
  </si>
  <si>
    <t>Terminal Value</t>
  </si>
  <si>
    <t>PV of TV</t>
  </si>
  <si>
    <t>Enterprise Value</t>
  </si>
  <si>
    <t>(+) Cash</t>
  </si>
  <si>
    <t>Add: D&amp;A</t>
  </si>
  <si>
    <t>(-) Debt</t>
  </si>
  <si>
    <t>Equity Value</t>
  </si>
  <si>
    <t>Less: CapEx</t>
  </si>
  <si>
    <t>Shares Outstanding</t>
  </si>
  <si>
    <t>Share Price</t>
  </si>
  <si>
    <t>Change in NCWC</t>
  </si>
  <si>
    <t>Current Price</t>
  </si>
  <si>
    <t>FCFF</t>
  </si>
  <si>
    <t>upside %</t>
  </si>
  <si>
    <t>Post Repo</t>
  </si>
  <si>
    <t>SG&amp;A % of Revenue</t>
  </si>
  <si>
    <r>
      <t xml:space="preserve">Sensitivity Analysis Post Share Repo, </t>
    </r>
    <r>
      <rPr>
        <b/>
        <i/>
        <sz val="18"/>
        <color theme="1"/>
        <rFont val="Arial"/>
        <family val="2"/>
      </rPr>
      <t>usd</t>
    </r>
  </si>
  <si>
    <t>Revenue</t>
  </si>
  <si>
    <t>Sales and Marketing Expenses</t>
  </si>
  <si>
    <t>General and Administrative Expenses</t>
  </si>
  <si>
    <t>Research and Development</t>
  </si>
  <si>
    <t>R&amp;D is expected to decline as the company scales existing product lines over launching new offerings. Investments in AI and other financial solutions will require sustained R&amp;D spending however.</t>
  </si>
  <si>
    <t>Depreciation &amp; Amortization</t>
  </si>
  <si>
    <t>Lightspeed is likely to capitalize more software/AI based investments which will increase amortization over time. That being said, D&amp;A has trended downwards as previous aqusitions are fully amortized, and as the firm moves towards profitability, they are likely to slow down depreciation reductions to maintain depreciation-related tax deductions</t>
  </si>
  <si>
    <t>CapEX</t>
  </si>
  <si>
    <t>CapEX is negative, merchant cash activities cause repayments to exceed new loans, along with SaaS firms having relatively low CapEX, and minimal spending on PPE. Q3 2025 CapEx was $16m, collections from merchant cash activities offset this and cause CapEX to be "negative".The firm is expected to invest more into AI and cloud infrastructure, which should lead to higher CapEX spending, and we expect it to stabilize at 1%  in the long term</t>
  </si>
  <si>
    <t>Losses and deferred tax assets should offset taxable income 2025/26, but as the company reaches profitability, the tax should gradually increase until close to the stat rate (26.5%), but should remain slightly lower with tax credits/deductions</t>
  </si>
  <si>
    <t>TTM</t>
  </si>
  <si>
    <t>Total Revenue Growth</t>
  </si>
  <si>
    <t>Total Gross Margin %</t>
  </si>
  <si>
    <t>R&amp;D % of Revenue</t>
  </si>
  <si>
    <t>D&amp;A + Restructuring % of Rev</t>
  </si>
  <si>
    <t>Net Interest Income % of Rev</t>
  </si>
  <si>
    <t>Tax Expense % of EBIT</t>
  </si>
  <si>
    <t>CAPEX % of Revenue</t>
  </si>
  <si>
    <t>TV = (FCFFlast*(1+TVg))(TVWACC-TVg)</t>
  </si>
  <si>
    <t>% of EBIT</t>
  </si>
  <si>
    <t>PV of TV = TV/((1+TVWACC)^10)</t>
  </si>
  <si>
    <t>CAPEX</t>
  </si>
  <si>
    <t>PV of FCFF = FCFF/((1+WACC)^t)</t>
  </si>
  <si>
    <r>
      <t xml:space="preserve">Sensitivity Analysis Pre Share Repo, </t>
    </r>
    <r>
      <rPr>
        <b/>
        <i/>
        <sz val="18"/>
        <color theme="1"/>
        <rFont val="Arial"/>
        <family val="2"/>
      </rPr>
      <t>usd</t>
    </r>
  </si>
  <si>
    <t>Assumptions, usd mm</t>
  </si>
  <si>
    <t>Reverse DCF</t>
  </si>
  <si>
    <t>(-) Subscription Costs</t>
  </si>
  <si>
    <t>margin%</t>
  </si>
  <si>
    <t>(-) Transaction Costs</t>
  </si>
  <si>
    <t>(-) Hardware + Other Costs</t>
  </si>
  <si>
    <t>(-) COGS</t>
  </si>
  <si>
    <t>D&amp;A + Restructuring</t>
  </si>
  <si>
    <t>CapEx</t>
  </si>
  <si>
    <t>Quarter</t>
  </si>
  <si>
    <t>LTM</t>
  </si>
  <si>
    <t>Forward and Estimates</t>
  </si>
  <si>
    <t>Ticker</t>
  </si>
  <si>
    <t>Company</t>
  </si>
  <si>
    <t>Service</t>
  </si>
  <si>
    <t>Geography</t>
  </si>
  <si>
    <t>Funded Debt</t>
  </si>
  <si>
    <t>LTM Revenue</t>
  </si>
  <si>
    <t>LTM EPS</t>
  </si>
  <si>
    <t>PE</t>
  </si>
  <si>
    <t>EV/Sales</t>
  </si>
  <si>
    <t>EV/GP</t>
  </si>
  <si>
    <t>P/GP</t>
  </si>
  <si>
    <t>2026 GP</t>
  </si>
  <si>
    <t>2026 Sales</t>
  </si>
  <si>
    <t>2026 FCF</t>
  </si>
  <si>
    <t>EV/ '26 Sales</t>
  </si>
  <si>
    <t>P/'26 Sales</t>
  </si>
  <si>
    <t>EV/ '26 FCF</t>
  </si>
  <si>
    <t>EV/'26 GP</t>
  </si>
  <si>
    <t>Weight</t>
  </si>
  <si>
    <t>NASDAQ: PYPL</t>
  </si>
  <si>
    <t>PayPal Holdings, Inc.</t>
  </si>
  <si>
    <t>Online payments, money transfers</t>
  </si>
  <si>
    <t>US</t>
  </si>
  <si>
    <t>NYSE: SHOP</t>
  </si>
  <si>
    <t>Shopify</t>
  </si>
  <si>
    <t>ecommerce software</t>
  </si>
  <si>
    <t>Canada</t>
  </si>
  <si>
    <t>NYSE: XYZ</t>
  </si>
  <si>
    <t>Block (prev. Square, Inc.)</t>
  </si>
  <si>
    <t>NYSE: TOST</t>
  </si>
  <si>
    <t>Toast, Inc.</t>
  </si>
  <si>
    <t>Restaurant management software</t>
  </si>
  <si>
    <t>NA</t>
  </si>
  <si>
    <t>NASDAQ: AFRM</t>
  </si>
  <si>
    <t>Affirm Holdings, Inc.</t>
  </si>
  <si>
    <t>Payment solutions for merchants and ppl</t>
  </si>
  <si>
    <t>NYSE: LSPD</t>
  </si>
  <si>
    <t>Lightspeed Commerce</t>
  </si>
  <si>
    <t xml:space="preserve">Payment solutions for merchants </t>
  </si>
  <si>
    <t>Median (ex. LSPD)</t>
  </si>
  <si>
    <t>Mean (ex. LSPD)</t>
  </si>
  <si>
    <t>EV/'26 Sales</t>
  </si>
  <si>
    <t>PV of '26 Sales</t>
  </si>
  <si>
    <t>Comparable Ratio</t>
  </si>
  <si>
    <t>Implied Equity Value</t>
  </si>
  <si>
    <t>Estimated Share Price</t>
  </si>
  <si>
    <t>EV/'26 FCF</t>
  </si>
  <si>
    <t>PV of '26 FCF</t>
  </si>
  <si>
    <t>Reconciled Relative Valuation Price</t>
  </si>
  <si>
    <t>Implied Price</t>
  </si>
  <si>
    <t>Rationale</t>
  </si>
  <si>
    <t>Price/'26 Sales</t>
  </si>
  <si>
    <t>Reflects scale and revenue growth forecasts</t>
  </si>
  <si>
    <t>Reflects equity pricing and investor sentiment</t>
  </si>
  <si>
    <t>EV/'26 Gross Profit</t>
  </si>
  <si>
    <t>EV/'26 Gross Profit (GP)</t>
  </si>
  <si>
    <t>2026 Gross Profit</t>
  </si>
  <si>
    <t>PV of '26 GP</t>
  </si>
  <si>
    <t>Bottom-Up Beta (usd millions)</t>
  </si>
  <si>
    <t>LTM EBITDA Margin %</t>
  </si>
  <si>
    <t>Levered Beta (5Y)</t>
  </si>
  <si>
    <t>D/E</t>
  </si>
  <si>
    <t>Effective Tax Rate LTM</t>
  </si>
  <si>
    <t>Unlevered Beta</t>
  </si>
  <si>
    <t>TSX: LSPD</t>
  </si>
  <si>
    <t>Relevered Beta</t>
  </si>
  <si>
    <t>weighted average</t>
  </si>
  <si>
    <t>Credit Spread</t>
  </si>
  <si>
    <t>in millions</t>
  </si>
  <si>
    <t>COGS</t>
  </si>
  <si>
    <t>Operating Profit (EBIT)</t>
  </si>
  <si>
    <t>Cost of Debt Build Up</t>
  </si>
  <si>
    <t>Risk-Free Rate</t>
  </si>
  <si>
    <t>Credit Rating</t>
  </si>
  <si>
    <t>Cost of Debt (Pre Tax)</t>
  </si>
  <si>
    <t>Cost of Debt</t>
  </si>
  <si>
    <t xml:space="preserve">NWC </t>
  </si>
  <si>
    <t>Projected</t>
  </si>
  <si>
    <t>2020A</t>
  </si>
  <si>
    <t>2021A</t>
  </si>
  <si>
    <t>2022A</t>
  </si>
  <si>
    <t>2023A</t>
  </si>
  <si>
    <t>2024A</t>
  </si>
  <si>
    <t>2025E</t>
  </si>
  <si>
    <t>2026E</t>
  </si>
  <si>
    <t>2027E</t>
  </si>
  <si>
    <t>2028E</t>
  </si>
  <si>
    <t>2029E</t>
  </si>
  <si>
    <t>2030E</t>
  </si>
  <si>
    <t>2031E</t>
  </si>
  <si>
    <t>2032E</t>
  </si>
  <si>
    <t>2033E</t>
  </si>
  <si>
    <t>2034E</t>
  </si>
  <si>
    <t>Current Assets</t>
  </si>
  <si>
    <t>Accounts and Other Receivables</t>
  </si>
  <si>
    <t>Prepaid and Other Current Assets</t>
  </si>
  <si>
    <t>Current Liabilites</t>
  </si>
  <si>
    <t>Accounts Payable</t>
  </si>
  <si>
    <t>Unearned Revenue</t>
  </si>
  <si>
    <t>Days per Period</t>
  </si>
  <si>
    <t>Accounts Receivable Days</t>
  </si>
  <si>
    <r>
      <t>Prepaid and Other Current Assets</t>
    </r>
    <r>
      <rPr>
        <i/>
        <sz val="11"/>
        <color theme="1"/>
        <rFont val="Arial"/>
        <family val="2"/>
      </rPr>
      <t xml:space="preserve"> (% of Revenue)</t>
    </r>
  </si>
  <si>
    <t>Accounts Payable Days</t>
  </si>
  <si>
    <r>
      <t xml:space="preserve">Unearned Revenue </t>
    </r>
    <r>
      <rPr>
        <i/>
        <sz val="11"/>
        <color rgb="FF000000"/>
        <rFont val="Arial"/>
        <family val="2"/>
      </rPr>
      <t>(% of Revenue)</t>
    </r>
  </si>
  <si>
    <t>Net Working Capital</t>
  </si>
  <si>
    <t>Increase in Net Working Capital</t>
  </si>
  <si>
    <t>Point-of-Sale (POS) Software Developpers Market Share (US)</t>
  </si>
  <si>
    <t>https://my.ibisworld.com/us/en/industry-specialized/OD5897/companies#companies_market-share</t>
  </si>
  <si>
    <t>Paypal</t>
  </si>
  <si>
    <t>Block</t>
  </si>
  <si>
    <t>Toast</t>
  </si>
  <si>
    <t>LSPD</t>
  </si>
  <si>
    <t>PayPal</t>
  </si>
  <si>
    <t>Online Payments Softwares Market Share (US)</t>
  </si>
  <si>
    <t>https://my.ibisworld.com/us/en/industry-specialized/OD4521/companies#companies_market-share</t>
  </si>
  <si>
    <t>LSPD Historical Acquisitions usd mm</t>
  </si>
  <si>
    <t># of Deals</t>
  </si>
  <si>
    <t>Total Spent, usd mm</t>
  </si>
  <si>
    <t>FY Net Cash</t>
  </si>
  <si>
    <t>Competitors' Revenue per Employee</t>
  </si>
  <si>
    <t># of Employees</t>
  </si>
  <si>
    <t>Rev/Empl, usd</t>
  </si>
  <si>
    <t>Competitors' SG&amp;A per Employee</t>
  </si>
  <si>
    <t>SG&amp;A Expense</t>
  </si>
  <si>
    <t>SG&amp;A/Employee</t>
  </si>
  <si>
    <t>Competitors' COGS per Employee</t>
  </si>
  <si>
    <t>COGS/Empl</t>
  </si>
  <si>
    <t>Competitors' COGS + SG&amp;A per Employee</t>
  </si>
  <si>
    <t>COGS + SG&amp;A</t>
  </si>
  <si>
    <t>COGS+SG&amp;A/Empl</t>
  </si>
  <si>
    <t>Natural Language Processing (NLP) Output (Q3 '23 - Q3 '25)</t>
  </si>
  <si>
    <t>Sentiment</t>
  </si>
  <si>
    <t>Sentiment Score</t>
  </si>
  <si>
    <t>Confidence Level</t>
  </si>
  <si>
    <t>Key Phrases</t>
  </si>
  <si>
    <t>Industry Benchmark</t>
  </si>
  <si>
    <t>Opening Sentiment</t>
  </si>
  <si>
    <t>Closing Sentiment</t>
  </si>
  <si>
    <t>Challenge Tone (When Talking Abt Challenges)</t>
  </si>
  <si>
    <t>Readability Score</t>
  </si>
  <si>
    <t>Financial Correlation</t>
  </si>
  <si>
    <t>Optimistic</t>
  </si>
  <si>
    <t>['Profitable growth', 'deliberate effort', 'strong foundation']</t>
  </si>
  <si>
    <t>Cautiously Positive</t>
  </si>
  <si>
    <t>Confident Outlook</t>
  </si>
  <si>
    <t>Acknowledged macro risks, emphasized resilience</t>
  </si>
  <si>
    <t>More Optimistic</t>
  </si>
  <si>
    <t>['Accelerating execution', 'streamlined organization', 'breakthrough']</t>
  </si>
  <si>
    <t>Confident Start</t>
  </si>
  <si>
    <t>Positive Growth</t>
  </si>
  <si>
    <t>Highlighted cost optimization, reducing inefficiencies</t>
  </si>
  <si>
    <t>Highly Optimistic</t>
  </si>
  <si>
    <t>['Scaling rapidly', 'expanding payments', 'driving market share']</t>
  </si>
  <si>
    <t>Strong Start</t>
  </si>
  <si>
    <t>Continued Expansion</t>
  </si>
  <si>
    <t>Balanced risk with opportunity in payments growth</t>
  </si>
  <si>
    <t>Strongly Optimistic</t>
  </si>
  <si>
    <t>['Exceeding expectations', 'positioned for leadership', 'enhanced efficiency']</t>
  </si>
  <si>
    <t>Encouraging</t>
  </si>
  <si>
    <t>Sustainable Strength</t>
  </si>
  <si>
    <t>Confident despite economic headwinds</t>
  </si>
  <si>
    <t>Confident &amp; Strategic</t>
  </si>
  <si>
    <t>['Thriving in transformation', 'dominant market position', 'strategic growth']</t>
  </si>
  <si>
    <t>Market Leadership</t>
  </si>
  <si>
    <t>Capitalizing on Market Position</t>
  </si>
  <si>
    <t>Strategic response to competition</t>
  </si>
  <si>
    <t>Confident Execution</t>
  </si>
  <si>
    <t>['Executing at scale', 'driving value creation', 'margin expansion']</t>
  </si>
  <si>
    <t>Solid Execution</t>
  </si>
  <si>
    <t>Scaling Profitability</t>
  </si>
  <si>
    <t>Addressed restructuring, ensuring efficiency</t>
  </si>
  <si>
    <t>Highly Confident</t>
  </si>
  <si>
    <t>['Record-setting performance', 'aggressive expansion', 'capital deployment']</t>
  </si>
  <si>
    <t>Strategic Vision</t>
  </si>
  <si>
    <t>Maximizing Returns</t>
  </si>
  <si>
    <t>Managing capital effectively amid uncertainty</t>
  </si>
  <si>
    <t>Strategic &amp; Assertive</t>
  </si>
  <si>
    <t>['Maximizing shareholder value', 'accelerating transformation', 'doubling down']</t>
  </si>
  <si>
    <t>Bold Outlook</t>
  </si>
  <si>
    <t>Executing at Scale</t>
  </si>
  <si>
    <t>Executing transformation amid strategic review</t>
  </si>
  <si>
    <t>Assertively Optimistic</t>
  </si>
  <si>
    <t>['Redefining leadership', 'industry dominance', 'aggressive repurchase']</t>
  </si>
  <si>
    <t>Dominant Positioning</t>
  </si>
  <si>
    <t>Redefining the Industry</t>
  </si>
  <si>
    <t>Defining leadership in a competitive space</t>
  </si>
  <si>
    <t>Mixed Mgmt NLP Financial Delivery Based on Promises (Q3 '23 - Q3 '25)</t>
  </si>
  <si>
    <t>Key Objective</t>
  </si>
  <si>
    <t>Guidance</t>
  </si>
  <si>
    <t>Outcome</t>
  </si>
  <si>
    <t>Score (1-10)</t>
  </si>
  <si>
    <t>Revenue Growth</t>
  </si>
  <si>
    <t>20-25% YoY</t>
  </si>
  <si>
    <t>24% in FY24, 16% TTM</t>
  </si>
  <si>
    <t>EBITDA Break-even</t>
  </si>
  <si>
    <t>Targeted for FY24</t>
  </si>
  <si>
    <t>Still negative, but massive improvement</t>
  </si>
  <si>
    <t>Payments Penetration</t>
  </si>
  <si>
    <t>30-35% GPV Target</t>
  </si>
  <si>
    <t>Achieved 32%</t>
  </si>
  <si>
    <t>Cost Efficiency</t>
  </si>
  <si>
    <t>SG&amp;A &amp; R&amp;D Optimization</t>
  </si>
  <si>
    <t>SG&amp;A down, R&amp;D cut, but restructuring costs persist</t>
  </si>
  <si>
    <t>Net Income Path to Profitability</t>
  </si>
  <si>
    <t>Reduce losses</t>
  </si>
  <si>
    <t>Losses narrowed, but still negative</t>
  </si>
  <si>
    <t>Cash Flow Improvement</t>
  </si>
  <si>
    <t>Positive FCF Target</t>
  </si>
  <si>
    <t>Still negative (-$57M), but improving</t>
  </si>
  <si>
    <t>Stock Performance &amp; Buybacks</t>
  </si>
  <si>
    <t>Shareholder Value Focus</t>
  </si>
  <si>
    <t>$40M repo, but stock down</t>
  </si>
  <si>
    <t>Average Score</t>
  </si>
  <si>
    <r>
      <rPr>
        <b/>
        <sz val="16"/>
        <color rgb="FFFF0000"/>
        <rFont val="Times New Roman"/>
        <family val="1"/>
      </rPr>
      <t>JP Chauvet</t>
    </r>
    <r>
      <rPr>
        <b/>
        <sz val="16"/>
        <color theme="1"/>
        <rFont val="Times New Roman"/>
        <family val="1"/>
      </rPr>
      <t xml:space="preserve"> NLP Financial Delivery Based on Promises (Q3 '23 - Q3 '24)</t>
    </r>
  </si>
  <si>
    <t>24% YoY growth, aligned with guidance</t>
  </si>
  <si>
    <t>Achieve positive EBITDA</t>
  </si>
  <si>
    <t>EBITDA improved significantly but remained negative</t>
  </si>
  <si>
    <t>Payments GPV at 32%, met expectations</t>
  </si>
  <si>
    <t>SG&amp;A &amp; R&amp;D reduced, but restructuring costs remained</t>
  </si>
  <si>
    <t>Losses narrowed but not yet profitable</t>
  </si>
  <si>
    <t>Move towards positive FCF</t>
  </si>
  <si>
    <t>FCF still negative but improving</t>
  </si>
  <si>
    <t>Enhance shareholder returns</t>
  </si>
  <si>
    <t>Stock repurchases occurred, but share price remained under pressure</t>
  </si>
  <si>
    <t>Average Efficiency Score</t>
  </si>
  <si>
    <r>
      <rPr>
        <b/>
        <sz val="16"/>
        <color rgb="FF00B050"/>
        <rFont val="Times New Roman"/>
        <family val="1"/>
      </rPr>
      <t>Dax Dasilva</t>
    </r>
    <r>
      <rPr>
        <b/>
        <sz val="16"/>
        <color theme="1"/>
        <rFont val="Times New Roman"/>
        <family val="1"/>
      </rPr>
      <t xml:space="preserve"> NLP Financial Delivery Based on Promises (Q4 '24 - Q3 '25)</t>
    </r>
  </si>
  <si>
    <t>15-20% YoY</t>
  </si>
  <si>
    <t>16% YoY growth, within guidance</t>
  </si>
  <si>
    <t>Sustain positive EBITDA</t>
  </si>
  <si>
    <t>Achieved positive EBITDA but with some volatility</t>
  </si>
  <si>
    <t>35-40% GPV Target</t>
  </si>
  <si>
    <t>Payments GPV reached 38%, exceeding target</t>
  </si>
  <si>
    <t>Enhance operational efficiency</t>
  </si>
  <si>
    <t>SG&amp;A cuts and operational efficiencies improved margins</t>
  </si>
  <si>
    <t>Further reduce losses</t>
  </si>
  <si>
    <t>Losses continued to narrow but profitability still elusive</t>
  </si>
  <si>
    <t>Achieve positive FCF</t>
  </si>
  <si>
    <t>FCF improved but remained negative</t>
  </si>
  <si>
    <t>Share buybacks executed but stock performance mixed</t>
  </si>
  <si>
    <t>Upside Efficiency VS Prior CEO</t>
  </si>
  <si>
    <t>Date</t>
  </si>
  <si>
    <t>Software [Total Global Technology Spending ($ in mn):&gt; By Sector]</t>
  </si>
  <si>
    <t>Growth %</t>
  </si>
  <si>
    <t>Justifications</t>
  </si>
  <si>
    <t>FCFF/Share</t>
  </si>
  <si>
    <r>
      <rPr>
        <b/>
        <sz val="11"/>
        <color theme="1"/>
        <rFont val="Arial"/>
        <family val="2"/>
      </rPr>
      <t>Subscriptions:</t>
    </r>
    <r>
      <rPr>
        <sz val="11"/>
        <color theme="1"/>
        <rFont val="Arial"/>
        <family val="2"/>
      </rPr>
      <t xml:space="preserve"> Average revenue per user increased 29% YoY in 2024. Lightspeed's target of SMBs may be affected negatively by economic slowdowns (tariffs/lower spending due to CoL increases), Growth should stabilize around 5%, as new client acquisition growth slows, and the firm works on main taining existing contracts. </t>
    </r>
  </si>
  <si>
    <t>Direct Costs of Revenue (COGS)</t>
  </si>
  <si>
    <t>Total Revenue: Firm guidance is 20% Growth for FY 2025</t>
  </si>
  <si>
    <t>Direct Costs of Revenue (COGS):</t>
  </si>
  <si>
    <t>Revenue costs remain high throughout 2025-2027 due to increases in transaction based revenue, which implies more processing fees. Improves slightly over time due to scalability, subscription revenues will scale with lower incremental costs</t>
  </si>
  <si>
    <t>R&amp;D:</t>
  </si>
  <si>
    <r>
      <rPr>
        <sz val="11"/>
        <color theme="1"/>
        <rFont val="Arial"/>
        <family val="2"/>
      </rPr>
      <t>R&amp;D spending declines as software becomes more scalable, however we expect a slow decline as the firm will still invest in AI for automation. Absolute R&amp;D investment continues to increase</t>
    </r>
    <r>
      <rPr>
        <b/>
        <sz val="11"/>
        <color theme="1"/>
        <rFont val="Arial"/>
        <family val="2"/>
      </rPr>
      <t xml:space="preserve">. </t>
    </r>
  </si>
  <si>
    <t>Sales &amp; Marketing:</t>
  </si>
  <si>
    <t>Lightspeed's plan for profitability is to reduce spending on traditional marketing/trade shows and instead increase headcount for sales employees. We should see continued investment in sales given the firm's expansion efforts in NA and EU. There will be an increase in S&amp;M initially, with a gradual decline due to gains in efficiency with AI/less need from new customer acquisition</t>
  </si>
  <si>
    <t>General &amp; Admin:</t>
  </si>
  <si>
    <t>Firm guidance indicates G&amp;A to decrease over time, by leveraging automaton and efficiency improvements. However, the firm has had increases in employee-related costs due to more selective hiring/wage adjustments, as well as an increase in litigation expenses ($7.5M 2024 vs $1.4M 2023). Decreases to share-based comp contributed to cost reduction</t>
  </si>
  <si>
    <t>Reflects progress towards profitability</t>
  </si>
  <si>
    <t>Cash &amp; Cash Equivalents</t>
  </si>
  <si>
    <t>Net Debt</t>
  </si>
  <si>
    <t>Legacy payment processor, but larger than LSPD</t>
  </si>
  <si>
    <t>omni-channel ecomm platform, similar SMB focus</t>
  </si>
  <si>
    <t>Similar POS offering and SMB focus</t>
  </si>
  <si>
    <t>Restaurant POS system and SaaS</t>
  </si>
  <si>
    <t>Fintech payment solution similar to LSPD Capital</t>
  </si>
  <si>
    <t>We believe revenues will grow 22% after 2025, mainly fueled by the growth in transaction revenue. This assumption stems from the management team's reorganization which aims to boost ARPU in North American retail and European hospitality. By allocating or redirecting a great number of ressources towards these segments, the firm believes in can eventually upsell newly acquired merchants into other tiered revenue.</t>
  </si>
  <si>
    <t>Since we believe a great contingent of future sales will come from transaction revenue, the gross margins can be predicted at around 40% since most of the COGS are very indispensable in payments (payment processing with networks, banks, credit facilities, etc.). Gross margins greatly influence our model, hence our sensitivity analysis which measures the effects or lower/higher COGS in the implied share price.</t>
  </si>
  <si>
    <t>Increase in NWC</t>
  </si>
  <si>
    <t>Income Tax</t>
  </si>
  <si>
    <t xml:space="preserve">Although the assumption forecasts for Sales and Marketing expenses are similar to General and Administrative Expenses, we believe the company will hone the majority of layoffs in this sector of operations. </t>
  </si>
  <si>
    <t xml:space="preserve">SG&amp;A expenses have historically stood between 30-40% of revenue for LSPD. However, with the announced reorganization and the two employee layoffs in 2024, it's clear that the company will aim to lower its headcount to achieve profitability. It's important to note that the company plans to redirect sales people to focus on North American retail and European hospitality. </t>
  </si>
  <si>
    <t>CapEx:</t>
  </si>
  <si>
    <t>Tax Rate:</t>
  </si>
  <si>
    <r>
      <t xml:space="preserve">Intangibles: </t>
    </r>
    <r>
      <rPr>
        <sz val="11"/>
        <color rgb="FF000000"/>
        <rFont val="Arial"/>
        <family val="2"/>
      </rPr>
      <t>No major new acquisitions, keeping amortization levels stable before gradually decreasing. Amortization decreases as existing intangibles reach full amortization</t>
    </r>
  </si>
  <si>
    <r>
      <t xml:space="preserve">Right-of-Use: </t>
    </r>
    <r>
      <rPr>
        <sz val="11"/>
        <color rgb="FF000000"/>
        <rFont val="Arial"/>
        <family val="2"/>
      </rPr>
      <t>The firm's ROU depreciation is related to leases for office space/vehicles. 2025 depreciation is higher to reflect remaining lease depreciation before reductions take full effect.New lease signings are expected to be selective, focusing on cost efficiency. Minimum lease payments are expected to decline annually</t>
    </r>
  </si>
  <si>
    <t xml:space="preserve">Effective tax rate rises as tax shields are used. The effective tax rate stabilizes in the short term, refelcting continued loss carryforwards. As the firm moves towards more consistent profitability the rate will rise towards 15%. By 2034, tax rate should reach 20%, not yet at the stat rate of 26.5%, given </t>
  </si>
  <si>
    <t>PV of FCFF</t>
  </si>
  <si>
    <t>Sum of PV FCFF</t>
  </si>
  <si>
    <t>Perpetual Growth Rate Method</t>
  </si>
  <si>
    <t>TV Growth</t>
  </si>
  <si>
    <t>10 Yr FCFF * (1+g)</t>
  </si>
  <si>
    <t>TV</t>
  </si>
  <si>
    <t>% of EV</t>
  </si>
  <si>
    <t>Implied Upside</t>
  </si>
  <si>
    <t>For larger firms (market cap &gt; $5 billion)</t>
  </si>
  <si>
    <t>For smaller and riskier firms (market cap &lt; $5 billion)</t>
  </si>
  <si>
    <t>If interest coverage ratio is</t>
  </si>
  <si>
    <t>&gt;</t>
  </si>
  <si>
    <t>≤ to</t>
  </si>
  <si>
    <t>Rating is</t>
  </si>
  <si>
    <t>Spread is</t>
  </si>
  <si>
    <t>greater than</t>
  </si>
  <si>
    <t>D2/D</t>
  </si>
  <si>
    <t>C2/C</t>
  </si>
  <si>
    <t>Ca2/CC</t>
  </si>
  <si>
    <t>Caa/CCC</t>
  </si>
  <si>
    <t>B3/B-</t>
  </si>
  <si>
    <t>B2/B</t>
  </si>
  <si>
    <t>B1/B+</t>
  </si>
  <si>
    <t>Ba2/BB</t>
  </si>
  <si>
    <t>Ba1/BB+</t>
  </si>
  <si>
    <t>Baa2/BBB</t>
  </si>
  <si>
    <t>A3/A-</t>
  </si>
  <si>
    <t>A2/A</t>
  </si>
  <si>
    <t>A1/A+</t>
  </si>
  <si>
    <t>Aa2/AA</t>
  </si>
  <si>
    <t>Aaa/AAA</t>
  </si>
  <si>
    <t>WACC Build Up</t>
  </si>
  <si>
    <t>TV WACC Build Up</t>
  </si>
  <si>
    <t>Current Portion of LT Debt</t>
  </si>
  <si>
    <t>Long-term Debt</t>
  </si>
  <si>
    <t>Lease Liabilities (non-current)</t>
  </si>
  <si>
    <t>Total Debt</t>
  </si>
  <si>
    <t>Cash and Cash Equivalents</t>
  </si>
  <si>
    <t>Short-term Investments</t>
  </si>
  <si>
    <t>Beta</t>
  </si>
  <si>
    <t>Market Return</t>
  </si>
  <si>
    <t>Equity Risk Premium</t>
  </si>
  <si>
    <t>Cost of Equity</t>
  </si>
  <si>
    <t xml:space="preserve">Diluted Securities </t>
  </si>
  <si>
    <t>Diluted Shares Outstanding</t>
  </si>
  <si>
    <t>Debt (%)</t>
  </si>
  <si>
    <t>Equity (%)</t>
  </si>
  <si>
    <t>S&amp;P 500 Annual Returns</t>
  </si>
  <si>
    <t>Period</t>
  </si>
  <si>
    <t>NASDAQ Annual Returns</t>
  </si>
  <si>
    <t>% Change</t>
  </si>
  <si>
    <t>10Y Average</t>
  </si>
  <si>
    <t>11/3/2024</t>
  </si>
  <si>
    <t>5Y Average</t>
  </si>
  <si>
    <t>12/29/2023</t>
  </si>
  <si>
    <t>10Y COVID adjusted</t>
  </si>
  <si>
    <t>12/30/2022</t>
  </si>
  <si>
    <t>5Y COVID adjusted</t>
  </si>
  <si>
    <t>12/31/2021</t>
  </si>
  <si>
    <t>Historic Annual</t>
  </si>
  <si>
    <t>12/31/2020</t>
  </si>
  <si>
    <t>Avg.</t>
  </si>
  <si>
    <t>12/31/2019</t>
  </si>
  <si>
    <t>12/31/2018</t>
  </si>
  <si>
    <t>12/29/2017</t>
  </si>
  <si>
    <t>12/30/2016</t>
  </si>
  <si>
    <t>12/31/2015</t>
  </si>
  <si>
    <t>12/31/2014</t>
  </si>
  <si>
    <t>12/31/2013</t>
  </si>
  <si>
    <t>12/31/2012</t>
  </si>
  <si>
    <t>12/30/2011</t>
  </si>
  <si>
    <t>12/31/2010</t>
  </si>
  <si>
    <t>12/31/2009</t>
  </si>
  <si>
    <t>Damodoran ERP</t>
  </si>
  <si>
    <t>Damodoran Market Return</t>
  </si>
  <si>
    <t>Market Return for WACC</t>
  </si>
  <si>
    <t>Market Return for TV WACC</t>
  </si>
  <si>
    <t>Summary</t>
  </si>
  <si>
    <t>DCF Summary</t>
  </si>
  <si>
    <t>Total Revenues</t>
  </si>
  <si>
    <r>
      <t>Less:</t>
    </r>
    <r>
      <rPr>
        <sz val="11"/>
        <color rgb="FF000000"/>
        <rFont val="Arial"/>
        <family val="2"/>
      </rPr>
      <t xml:space="preserve"> Income Tax</t>
    </r>
  </si>
  <si>
    <r>
      <t xml:space="preserve">Less: </t>
    </r>
    <r>
      <rPr>
        <sz val="11"/>
        <color rgb="FF000000"/>
        <rFont val="Arial"/>
        <family val="2"/>
      </rPr>
      <t>CapEX</t>
    </r>
  </si>
  <si>
    <r>
      <t>Less:</t>
    </r>
    <r>
      <rPr>
        <sz val="11"/>
        <color rgb="FF000000"/>
        <rFont val="Arial"/>
        <family val="2"/>
      </rPr>
      <t xml:space="preserve"> Change in NWC</t>
    </r>
  </si>
  <si>
    <r>
      <t>Add:</t>
    </r>
    <r>
      <rPr>
        <sz val="11"/>
        <color rgb="FF000000"/>
        <rFont val="Arial"/>
        <family val="2"/>
      </rPr>
      <t xml:space="preserve"> D&amp;A</t>
    </r>
  </si>
  <si>
    <t>DCF Valuation Results</t>
  </si>
  <si>
    <t>In Millions of USD</t>
  </si>
  <si>
    <t>10yr Perpetual Growth Rate Method</t>
  </si>
  <si>
    <t>WACC Assumptions</t>
  </si>
  <si>
    <t>Perpetual Growth Rate</t>
  </si>
  <si>
    <t>PV of Terminal Value</t>
  </si>
  <si>
    <t>Market Risk Premium</t>
  </si>
  <si>
    <t>Terminal Value as % of EV</t>
  </si>
  <si>
    <t>Forecast Period as % of EV</t>
  </si>
  <si>
    <t>Cost of Debt (Pre-Tax)</t>
  </si>
  <si>
    <t>(-) Net Debt</t>
  </si>
  <si>
    <t>Implied Upside (Downside)</t>
  </si>
  <si>
    <r>
      <t xml:space="preserve">PPE: </t>
    </r>
    <r>
      <rPr>
        <sz val="11"/>
        <color rgb="FF000000"/>
        <rFont val="Arial"/>
        <family val="2"/>
      </rPr>
      <t>Firm uses straight-line deprecation, furniture/equipment over 5 years and computer equipment over 3 years. Depreciation should slowly decrease, as total spending on PPE (CapEx) will not increase YoY</t>
    </r>
  </si>
  <si>
    <r>
      <t xml:space="preserve">Hardware/Other: </t>
    </r>
    <r>
      <rPr>
        <sz val="11"/>
        <color theme="1"/>
        <rFont val="Arial"/>
        <family val="2"/>
      </rPr>
      <t xml:space="preserve"> Short-term growth is driven by sales incentives, i.e bundled hardware+software. Hardware will decline over time as software/payment are the firm's main focuses, and the firm does not regularly invest into hardware upgrades.</t>
    </r>
  </si>
  <si>
    <r>
      <t xml:space="preserve">Transactions: </t>
    </r>
    <r>
      <rPr>
        <sz val="11"/>
        <color theme="1"/>
        <rFont val="Arial"/>
        <family val="2"/>
      </rPr>
      <t>The firm's strategy is to target merchants with  high volume of transactions, such as restaurants. With an overall shift across retail/hospitality towards digital payment, transcations should remain as Lightspeed's main revenue driver. Growth driven by increased adoption of services.</t>
    </r>
  </si>
  <si>
    <t>10yr Perpetual Growth Rate Method (Bull Case)</t>
  </si>
  <si>
    <t>TGR</t>
  </si>
  <si>
    <t>10 Year Sensitivity Analysis</t>
  </si>
  <si>
    <t>Reverse DCF Summary</t>
  </si>
  <si>
    <t>PayPal, Inc. (NASDAQ: PYPL)</t>
  </si>
  <si>
    <t>Shopify (NYSE: SHOP)</t>
  </si>
  <si>
    <t>Block, Inc. (NYSE: XYZ)</t>
  </si>
  <si>
    <t>Toast, Inc. (NYSE: TOST)</t>
  </si>
  <si>
    <t>Affirm Holdings, Inc. (NASDAQ: AFRM)</t>
  </si>
  <si>
    <t>Business Description</t>
  </si>
  <si>
    <t>Weight Rationale</t>
  </si>
  <si>
    <t>ecommerce software, POS</t>
  </si>
  <si>
    <t>Similar merchant online payment service</t>
  </si>
  <si>
    <t>Omni-channel, POS + similar geography</t>
  </si>
  <si>
    <t>SMB POS software offering</t>
  </si>
  <si>
    <t>Restaurant-focused POS offering</t>
  </si>
  <si>
    <t>Offers POS financing services</t>
  </si>
  <si>
    <t>Feb 18, '25</t>
  </si>
  <si>
    <t>MRQ</t>
  </si>
  <si>
    <t>Lightspeed Commerce (NYSE: LSPD)</t>
  </si>
  <si>
    <t>Median (excluding LSPD)</t>
  </si>
  <si>
    <t>Average (excluding LSPD)</t>
  </si>
  <si>
    <t>USD mm</t>
  </si>
  <si>
    <t>Add: Net Interest Income</t>
  </si>
  <si>
    <t>Less: Taxes</t>
  </si>
  <si>
    <t>Less: Change in NCWC</t>
  </si>
  <si>
    <t>2020H</t>
  </si>
  <si>
    <t>2021H</t>
  </si>
  <si>
    <t>2022H</t>
  </si>
  <si>
    <t>2023H</t>
  </si>
  <si>
    <t>2024H</t>
  </si>
  <si>
    <t>Shares Outstanding Post Repo</t>
  </si>
  <si>
    <r>
      <t xml:space="preserve">Assumptions, </t>
    </r>
    <r>
      <rPr>
        <i/>
        <sz val="11"/>
        <color theme="0"/>
        <rFont val="Arial"/>
        <family val="2"/>
      </rPr>
      <t>USD mm</t>
    </r>
  </si>
  <si>
    <t>Add: Cash</t>
  </si>
  <si>
    <t>Less: Debt</t>
  </si>
  <si>
    <t xml:space="preserve">LSP </t>
  </si>
  <si>
    <t>Company Overview</t>
  </si>
  <si>
    <t>Lightspeed</t>
  </si>
  <si>
    <t>Company Name</t>
  </si>
  <si>
    <t>Lightspeed Commerce Inc.</t>
  </si>
  <si>
    <t>Exchange</t>
  </si>
  <si>
    <t>Currency</t>
  </si>
  <si>
    <t>52 Week High</t>
  </si>
  <si>
    <t>52 Week Low</t>
  </si>
  <si>
    <r>
      <t xml:space="preserve">Market Cap </t>
    </r>
    <r>
      <rPr>
        <i/>
        <sz val="11"/>
        <color rgb="FF000000"/>
        <rFont val="Arial"/>
        <family val="2"/>
      </rPr>
      <t>(in millions)</t>
    </r>
  </si>
  <si>
    <t>Dilluted Securities</t>
  </si>
  <si>
    <t>Fiscal Year End</t>
  </si>
  <si>
    <t>Latest Reported Earnings</t>
  </si>
  <si>
    <t>Latest Quarterly Earnings</t>
  </si>
  <si>
    <t>NYSE</t>
  </si>
  <si>
    <t>USD</t>
  </si>
  <si>
    <t>Reconciled Share Price</t>
  </si>
  <si>
    <t>DCF Implied Share Price</t>
  </si>
  <si>
    <t>RV Implied Share Price</t>
  </si>
  <si>
    <t xml:space="preserve">Weight </t>
  </si>
  <si>
    <t>Old CEO Score</t>
  </si>
  <si>
    <t>New CEO Score</t>
  </si>
  <si>
    <t>CEO Efficiency Score</t>
  </si>
  <si>
    <t xml:space="preserve">CapEx spending increases YoY due to continued software investments, and capitlization of software dev, Lightspeed is focused on enhancing existing platforms rather than aggressive new investment, or acquisitions. </t>
  </si>
  <si>
    <t>Reconciled Price</t>
  </si>
  <si>
    <t>Interest Expense</t>
  </si>
  <si>
    <t>Given that the firm's unprofitability, we derived the credit spread from a combination of their discount rate on their leases, as well as their lease interest rate (5.22%). The firm borrows close to the risk free rate, and does not uitlize much debt. We believe it would be accurate to assign a spread for a B1/B+ rating: 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</si>
</sst>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7" formatCode="&quot;$&quot;#,##0.00_);\(&quot;$&quot;#,##0.00\)"/>
    <numFmt numFmtId="44" formatCode="_(&quot;$&quot;* #,##0.00_);_(&quot;$&quot;* \(#,##0.00\);_(&quot;$&quot;* &quot;-&quot;??_);_(@_)"/>
    <numFmt numFmtId="43" formatCode="_(* #,##0.00_);_(* \(#,##0.00\);_(* &quot;-&quot;??_);_(@_)"/>
    <numFmt numFmtId="164" formatCode="&quot;$&quot;#,##0.00"/>
    <numFmt numFmtId="165" formatCode="0_);\(0\)"/>
    <numFmt numFmtId="166" formatCode="0.00\x"/>
    <numFmt numFmtId="167" formatCode="0.0%"/>
    <numFmt numFmtId="168" formatCode="#,##0.0_);\(#,##0.0\)"/>
    <numFmt numFmtId="169" formatCode="0.0\x"/>
    <numFmt numFmtId="170" formatCode="0.00%;\(0.00%\);0.00%"/>
    <numFmt numFmtId="171" formatCode="_(* #,##0.0_);_(* \(#,##0.0\)_)\ ;_(* 0_)"/>
    <numFmt numFmtId="172" formatCode="0.0_);\(0.0\)"/>
    <numFmt numFmtId="173" formatCode="0.00_);\(0.00\)"/>
    <numFmt numFmtId="174" formatCode="_(* #,##0.00_);_(* \(#,##0.00\)_)\ ;_(* 0.0_)"/>
    <numFmt numFmtId="175" formatCode="_([$$-409]* #,##0_);_([$$-409]* \(#,##0\);_([$$-409]* &quot;-&quot;_);_(@_)"/>
    <numFmt numFmtId="176" formatCode="_([$$-409]* #,##0.00_);_([$$-409]* \(#,##0.00\);_([$$-409]* &quot;-&quot;??_);_(@_)"/>
  </numFmts>
  <fonts count="89">
    <font>
      <sz val="11"/>
      <color theme="1"/>
      <name val="Aptos Narrow"/>
      <family val="2"/>
      <scheme val="minor"/>
    </font>
    <font>
      <sz val="11"/>
      <color theme="1"/>
      <name val="Aptos Narrow"/>
      <family val="2"/>
      <scheme val="minor"/>
    </font>
    <font>
      <sz val="10"/>
      <color rgb="FF000000"/>
      <name val="Tahoma"/>
      <family val="2"/>
    </font>
    <font>
      <b/>
      <sz val="10"/>
      <color rgb="FF000000"/>
      <name val="Tahoma"/>
      <family val="2"/>
    </font>
    <font>
      <b/>
      <sz val="11"/>
      <color theme="1"/>
      <name val="Aptos Narrow"/>
      <family val="2"/>
      <scheme val="minor"/>
    </font>
    <font>
      <b/>
      <u/>
      <sz val="11"/>
      <color theme="1"/>
      <name val="Aptos Narrow"/>
      <family val="2"/>
      <scheme val="minor"/>
    </font>
    <font>
      <sz val="11"/>
      <color theme="1"/>
      <name val="Aptos Narrow"/>
      <family val="2"/>
      <scheme val="minor"/>
    </font>
    <font>
      <b/>
      <sz val="11"/>
      <color theme="0"/>
      <name val="Aptos Narrow"/>
      <family val="2"/>
      <scheme val="minor"/>
    </font>
    <font>
      <b/>
      <sz val="12"/>
      <color theme="0"/>
      <name val="Aptos Narrow"/>
      <family val="2"/>
      <scheme val="minor"/>
    </font>
    <font>
      <b/>
      <u/>
      <sz val="16"/>
      <color theme="1"/>
      <name val="Aptos Narrow"/>
      <family val="2"/>
      <scheme val="minor"/>
    </font>
    <font>
      <b/>
      <sz val="16"/>
      <color theme="1"/>
      <name val="Aptos Narrow"/>
      <family val="2"/>
      <scheme val="minor"/>
    </font>
    <font>
      <b/>
      <sz val="11"/>
      <color theme="1"/>
      <name val="Aptos Narrow"/>
      <family val="2"/>
      <scheme val="minor"/>
    </font>
    <font>
      <sz val="11"/>
      <color theme="3"/>
      <name val="Aptos Narrow"/>
      <family val="2"/>
      <scheme val="minor"/>
    </font>
    <font>
      <i/>
      <sz val="11"/>
      <color theme="1"/>
      <name val="Aptos Narrow"/>
      <family val="2"/>
      <scheme val="minor"/>
    </font>
    <font>
      <sz val="11"/>
      <color theme="0"/>
      <name val="Aptos Narrow"/>
      <family val="2"/>
      <scheme val="minor"/>
    </font>
    <font>
      <b/>
      <sz val="18"/>
      <color theme="0"/>
      <name val="Aptos Narrow"/>
      <family val="2"/>
      <scheme val="minor"/>
    </font>
    <font>
      <sz val="11"/>
      <color theme="0"/>
      <name val="Aptos Narrow"/>
      <family val="2"/>
      <scheme val="minor"/>
    </font>
    <font>
      <u/>
      <sz val="11"/>
      <color theme="10"/>
      <name val="Aptos Narrow"/>
      <family val="2"/>
      <scheme val="minor"/>
    </font>
    <font>
      <sz val="10"/>
      <color rgb="FF000000"/>
      <name val="Verdana"/>
      <family val="2"/>
    </font>
    <font>
      <sz val="11"/>
      <color rgb="FF000000"/>
      <name val="Verdana"/>
      <family val="2"/>
    </font>
    <font>
      <b/>
      <u/>
      <sz val="14"/>
      <color theme="1"/>
      <name val="Aptos Narrow"/>
      <family val="2"/>
      <scheme val="minor"/>
    </font>
    <font>
      <i/>
      <sz val="11"/>
      <color theme="0"/>
      <name val="Aptos Narrow"/>
      <family val="2"/>
      <scheme val="minor"/>
    </font>
    <font>
      <b/>
      <sz val="14"/>
      <color theme="0"/>
      <name val="Aptos Narrow"/>
      <family val="2"/>
      <scheme val="minor"/>
    </font>
    <font>
      <i/>
      <sz val="10"/>
      <color theme="1"/>
      <name val="Aptos Narrow"/>
      <family val="2"/>
      <scheme val="minor"/>
    </font>
    <font>
      <b/>
      <sz val="11"/>
      <color theme="1"/>
      <name val="Times New Roman"/>
      <family val="1"/>
    </font>
    <font>
      <i/>
      <sz val="11"/>
      <color rgb="FFFF0000"/>
      <name val="Aptos Narrow"/>
      <family val="2"/>
      <scheme val="minor"/>
    </font>
    <font>
      <i/>
      <u/>
      <sz val="11"/>
      <color theme="1"/>
      <name val="Aptos Narrow"/>
      <family val="2"/>
      <scheme val="minor"/>
    </font>
    <font>
      <b/>
      <sz val="11"/>
      <color theme="0"/>
      <name val="Aptos Narrow"/>
      <family val="2"/>
      <scheme val="minor"/>
    </font>
    <font>
      <i/>
      <sz val="12"/>
      <color rgb="FFFF0000"/>
      <name val="Aptos Narrow"/>
      <family val="2"/>
      <scheme val="minor"/>
    </font>
    <font>
      <sz val="12"/>
      <color rgb="FF000000"/>
      <name val="Aptos Narrow"/>
      <family val="2"/>
      <scheme val="minor"/>
    </font>
    <font>
      <b/>
      <sz val="22"/>
      <color theme="1"/>
      <name val="Times New Roman Bold"/>
    </font>
    <font>
      <b/>
      <sz val="22"/>
      <color theme="1"/>
      <name val="Times New Roman"/>
      <family val="1"/>
    </font>
    <font>
      <sz val="18"/>
      <color rgb="FFFF0000"/>
      <name val="Aptos Narrow"/>
      <family val="2"/>
      <scheme val="minor"/>
    </font>
    <font>
      <sz val="18"/>
      <color rgb="FF00005C"/>
      <name val="Aptos Narrow"/>
      <family val="2"/>
      <scheme val="minor"/>
    </font>
    <font>
      <b/>
      <sz val="16"/>
      <color theme="1"/>
      <name val="Times New Roman"/>
      <family val="1"/>
    </font>
    <font>
      <b/>
      <sz val="16"/>
      <color rgb="FFFF0000"/>
      <name val="Times New Roman"/>
      <family val="1"/>
    </font>
    <font>
      <b/>
      <sz val="16"/>
      <color rgb="FF00B050"/>
      <name val="Times New Roman"/>
      <family val="1"/>
    </font>
    <font>
      <b/>
      <sz val="18"/>
      <color theme="1"/>
      <name val="Arial"/>
      <family val="2"/>
    </font>
    <font>
      <b/>
      <i/>
      <sz val="18"/>
      <color theme="1"/>
      <name val="Arial"/>
      <family val="2"/>
    </font>
    <font>
      <b/>
      <sz val="12"/>
      <color rgb="FFFFFFFF"/>
      <name val="Arial"/>
      <family val="2"/>
    </font>
    <font>
      <i/>
      <sz val="11"/>
      <color rgb="FF000000"/>
      <name val="Arial"/>
      <family val="2"/>
    </font>
    <font>
      <sz val="11"/>
      <color rgb="FF000000"/>
      <name val="Arial"/>
      <family val="2"/>
    </font>
    <font>
      <b/>
      <sz val="11"/>
      <color rgb="FF000000"/>
      <name val="Arial"/>
      <family val="2"/>
    </font>
    <font>
      <b/>
      <sz val="11"/>
      <color rgb="FF196B24"/>
      <name val="Arial"/>
      <family val="2"/>
    </font>
    <font>
      <sz val="11"/>
      <color rgb="FF196B24"/>
      <name val="Arial"/>
      <family val="2"/>
    </font>
    <font>
      <b/>
      <sz val="11"/>
      <name val="Arial"/>
      <family val="2"/>
    </font>
    <font>
      <sz val="11"/>
      <color rgb="FF156082"/>
      <name val="Arial"/>
      <family val="2"/>
    </font>
    <font>
      <b/>
      <sz val="11"/>
      <color rgb="FFFFFFFF"/>
      <name val="Arial"/>
      <family val="2"/>
    </font>
    <font>
      <sz val="11"/>
      <color theme="1"/>
      <name val="Arial"/>
      <family val="2"/>
    </font>
    <font>
      <b/>
      <sz val="11"/>
      <color theme="0"/>
      <name val="Arial"/>
      <family val="2"/>
    </font>
    <font>
      <b/>
      <sz val="36"/>
      <color theme="1"/>
      <name val="Arial"/>
      <family val="2"/>
    </font>
    <font>
      <sz val="36"/>
      <color theme="1"/>
      <name val="Arial"/>
      <family val="2"/>
    </font>
    <font>
      <sz val="11"/>
      <color theme="0"/>
      <name val="Arial"/>
      <family val="2"/>
    </font>
    <font>
      <sz val="11"/>
      <name val="Arial"/>
      <family val="2"/>
    </font>
    <font>
      <sz val="11"/>
      <color theme="4"/>
      <name val="Arial"/>
      <family val="2"/>
    </font>
    <font>
      <sz val="11"/>
      <color theme="6"/>
      <name val="Arial"/>
      <family val="2"/>
    </font>
    <font>
      <b/>
      <sz val="11"/>
      <color theme="1"/>
      <name val="Arial"/>
      <family val="2"/>
    </font>
    <font>
      <sz val="11"/>
      <name val="Aptos Narrow"/>
      <family val="2"/>
      <scheme val="minor"/>
    </font>
    <font>
      <sz val="11"/>
      <color theme="4"/>
      <name val="Aptos Narrow"/>
      <family val="2"/>
      <scheme val="minor"/>
    </font>
    <font>
      <sz val="11"/>
      <color theme="6"/>
      <name val="Aptos Narrow"/>
      <family val="2"/>
      <scheme val="minor"/>
    </font>
    <font>
      <sz val="11"/>
      <color indexed="8"/>
      <name val="Arial"/>
      <family val="2"/>
    </font>
    <font>
      <b/>
      <sz val="12"/>
      <color theme="0"/>
      <name val="Arial"/>
      <family val="2"/>
    </font>
    <font>
      <i/>
      <sz val="11"/>
      <color theme="1"/>
      <name val="Arial"/>
      <family val="2"/>
    </font>
    <font>
      <sz val="10"/>
      <name val="Arial"/>
      <family val="2"/>
    </font>
    <font>
      <b/>
      <sz val="14"/>
      <color theme="0"/>
      <name val="Aptos Display"/>
      <family val="2"/>
      <scheme val="major"/>
    </font>
    <font>
      <sz val="14"/>
      <color theme="0"/>
      <name val="Aptos Display"/>
      <family val="2"/>
      <scheme val="major"/>
    </font>
    <font>
      <sz val="8"/>
      <name val="Arial"/>
      <family val="2"/>
    </font>
    <font>
      <b/>
      <sz val="11"/>
      <color indexed="8"/>
      <name val="Arial"/>
      <family val="2"/>
    </font>
    <font>
      <sz val="8"/>
      <color theme="0"/>
      <name val="Arial"/>
      <family val="2"/>
    </font>
    <font>
      <b/>
      <sz val="12"/>
      <color theme="1"/>
      <name val="Arial"/>
      <family val="2"/>
    </font>
    <font>
      <b/>
      <i/>
      <sz val="11"/>
      <color theme="1"/>
      <name val="Arial"/>
      <family val="2"/>
    </font>
    <font>
      <b/>
      <sz val="14"/>
      <color theme="0"/>
      <name val="Arial"/>
      <family val="2"/>
    </font>
    <font>
      <i/>
      <sz val="11"/>
      <color theme="0"/>
      <name val="Arial"/>
      <family val="2"/>
    </font>
    <font>
      <i/>
      <sz val="10"/>
      <color theme="1"/>
      <name val="Arial"/>
      <family val="2"/>
    </font>
    <font>
      <i/>
      <sz val="11"/>
      <color rgb="FFFF0000"/>
      <name val="Arial"/>
      <family val="2"/>
    </font>
    <font>
      <b/>
      <i/>
      <sz val="11"/>
      <name val="Arial"/>
      <family val="2"/>
    </font>
    <font>
      <i/>
      <sz val="11"/>
      <name val="Arial"/>
      <family val="2"/>
    </font>
    <font>
      <sz val="11"/>
      <color rgb="FFFFFFFF"/>
      <name val="Arial"/>
      <family val="2"/>
    </font>
    <font>
      <b/>
      <i/>
      <sz val="11"/>
      <color rgb="FF000000"/>
      <name val="Arial"/>
      <family val="2"/>
    </font>
    <font>
      <b/>
      <u/>
      <sz val="14"/>
      <color theme="1"/>
      <name val="Arial"/>
      <family val="2"/>
    </font>
    <font>
      <b/>
      <sz val="11"/>
      <color rgb="FF002060"/>
      <name val="Arial"/>
      <family val="2"/>
    </font>
    <font>
      <sz val="11"/>
      <color rgb="FFFFFFFF"/>
      <name val="Aptos Narrow"/>
      <family val="2"/>
      <scheme val="minor"/>
    </font>
    <font>
      <sz val="11"/>
      <color rgb="FF000000"/>
      <name val="Aptos Narrow"/>
      <family val="2"/>
      <scheme val="minor"/>
    </font>
    <font>
      <b/>
      <sz val="11"/>
      <color rgb="FF000000"/>
      <name val="Aptos Narrow"/>
      <family val="2"/>
      <scheme val="minor"/>
    </font>
    <font>
      <b/>
      <sz val="14"/>
      <color rgb="FFFFFFFF"/>
      <name val="Arial"/>
      <family val="2"/>
    </font>
    <font>
      <b/>
      <sz val="14"/>
      <color rgb="FF000000"/>
      <name val="Arial"/>
      <family val="2"/>
    </font>
    <font>
      <sz val="9"/>
      <color theme="0"/>
      <name val="Arial"/>
      <family val="2"/>
    </font>
    <font>
      <sz val="9"/>
      <color theme="1"/>
      <name val="Arial"/>
      <family val="2"/>
    </font>
    <font>
      <b/>
      <sz val="9"/>
      <color theme="1"/>
      <name val="Arial"/>
      <family val="2"/>
    </font>
  </fonts>
  <fills count="3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theme="6" tint="0.79998168889431442"/>
        <bgColor indexed="64"/>
      </patternFill>
    </fill>
    <fill>
      <patternFill patternType="solid">
        <fgColor rgb="FF00005C"/>
        <bgColor indexed="64"/>
      </patternFill>
    </fill>
    <fill>
      <patternFill patternType="solid">
        <fgColor theme="3" tint="0.749992370372631"/>
        <bgColor indexed="64"/>
      </patternFill>
    </fill>
    <fill>
      <patternFill patternType="solid">
        <fgColor rgb="FF081A2C"/>
        <bgColor indexed="64"/>
      </patternFill>
    </fill>
    <fill>
      <patternFill patternType="solid">
        <fgColor rgb="FF2E89DB"/>
        <bgColor indexed="64"/>
      </patternFill>
    </fill>
    <fill>
      <patternFill patternType="solid">
        <fgColor rgb="FFDDD9C3"/>
        <bgColor indexed="64"/>
      </patternFill>
    </fill>
    <fill>
      <patternFill patternType="solid">
        <fgColor theme="5" tint="0.59999389629810485"/>
        <bgColor indexed="64"/>
      </patternFill>
    </fill>
    <fill>
      <patternFill patternType="solid">
        <fgColor rgb="FF0432FF"/>
        <bgColor indexed="64"/>
      </patternFill>
    </fill>
    <fill>
      <patternFill patternType="solid">
        <fgColor rgb="FF156082"/>
        <bgColor rgb="FF000000"/>
      </patternFill>
    </fill>
    <fill>
      <patternFill patternType="solid">
        <fgColor rgb="FFFFFFFF"/>
        <bgColor rgb="FF000000"/>
      </patternFill>
    </fill>
    <fill>
      <patternFill patternType="solid">
        <fgColor rgb="FFE8E8E8"/>
        <bgColor rgb="FF000000"/>
      </patternFill>
    </fill>
    <fill>
      <patternFill patternType="solid">
        <fgColor rgb="FFDAE9F8"/>
        <bgColor rgb="FF000000"/>
      </patternFill>
    </fill>
    <fill>
      <patternFill patternType="solid">
        <fgColor theme="4"/>
        <bgColor indexed="64"/>
      </patternFill>
    </fill>
    <fill>
      <patternFill patternType="solid">
        <fgColor theme="0"/>
        <bgColor indexed="64"/>
      </patternFill>
    </fill>
    <fill>
      <patternFill patternType="solid">
        <fgColor theme="3"/>
        <bgColor indexed="64"/>
      </patternFill>
    </fill>
    <fill>
      <patternFill patternType="solid">
        <fgColor theme="2"/>
        <bgColor indexed="64"/>
      </patternFill>
    </fill>
    <fill>
      <patternFill patternType="solid">
        <fgColor theme="0"/>
        <bgColor rgb="FF000000"/>
      </patternFill>
    </fill>
    <fill>
      <patternFill patternType="solid">
        <fgColor theme="3" tint="0.89999084444715716"/>
        <bgColor rgb="FF000000"/>
      </patternFill>
    </fill>
    <fill>
      <patternFill patternType="solid">
        <fgColor theme="3" tint="0.89999084444715716"/>
        <bgColor indexed="64"/>
      </patternFill>
    </fill>
    <fill>
      <patternFill patternType="solid">
        <fgColor rgb="FFD0D0D0"/>
        <bgColor rgb="FF000000"/>
      </patternFill>
    </fill>
    <fill>
      <patternFill patternType="solid">
        <fgColor rgb="FFA6C9EC"/>
        <bgColor rgb="FF000000"/>
      </patternFill>
    </fill>
    <fill>
      <patternFill patternType="solid">
        <fgColor rgb="FF4D93D9"/>
        <bgColor rgb="FF000000"/>
      </patternFill>
    </fill>
    <fill>
      <patternFill patternType="solid">
        <fgColor rgb="FF215C98"/>
        <bgColor rgb="FF000000"/>
      </patternFill>
    </fill>
    <fill>
      <patternFill patternType="solid">
        <fgColor rgb="FF153D64"/>
        <bgColor rgb="FF000000"/>
      </patternFill>
    </fill>
    <fill>
      <patternFill patternType="solid">
        <fgColor rgb="FF0E2841"/>
        <bgColor rgb="FF000000"/>
      </patternFill>
    </fill>
    <fill>
      <patternFill patternType="solid">
        <fgColor rgb="FF0F3557"/>
        <bgColor indexed="64"/>
      </patternFill>
    </fill>
    <fill>
      <patternFill patternType="solid">
        <fgColor rgb="FF0F3557"/>
        <bgColor rgb="FF000000"/>
      </patternFill>
    </fill>
  </fills>
  <borders count="1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indexed="64"/>
      </top>
      <bottom/>
      <diagonal/>
    </border>
    <border>
      <left/>
      <right style="medium">
        <color rgb="FF000000"/>
      </right>
      <top/>
      <bottom style="thin">
        <color indexed="64"/>
      </bottom>
      <diagonal/>
    </border>
    <border>
      <left style="medium">
        <color rgb="FF000000"/>
      </left>
      <right/>
      <top style="thin">
        <color indexed="64"/>
      </top>
      <bottom style="medium">
        <color rgb="FF000000"/>
      </bottom>
      <diagonal/>
    </border>
    <border>
      <left/>
      <right style="medium">
        <color rgb="FF000000"/>
      </right>
      <top/>
      <bottom style="medium">
        <color rgb="FF000000"/>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theme="0"/>
      </bottom>
      <diagonal/>
    </border>
    <border>
      <left/>
      <right/>
      <top/>
      <bottom style="thin">
        <color theme="0"/>
      </bottom>
      <diagonal/>
    </border>
    <border>
      <left/>
      <right style="medium">
        <color indexed="64"/>
      </right>
      <top/>
      <bottom style="thin">
        <color theme="0"/>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theme="0"/>
      </bottom>
      <diagonal/>
    </border>
    <border>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double">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8"/>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theme="4"/>
      </top>
      <bottom/>
      <diagonal/>
    </border>
    <border>
      <left/>
      <right/>
      <top/>
      <bottom style="thin">
        <color theme="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bottom style="medium">
        <color indexed="64"/>
      </bottom>
      <diagonal/>
    </border>
    <border>
      <left style="medium">
        <color indexed="64"/>
      </left>
      <right/>
      <top style="thin">
        <color rgb="FFFFFFFF"/>
      </top>
      <bottom style="thin">
        <color rgb="FFFFFFFF"/>
      </bottom>
      <diagonal/>
    </border>
    <border>
      <left style="medium">
        <color indexed="64"/>
      </left>
      <right style="thin">
        <color rgb="FFFFFFFF"/>
      </right>
      <top/>
      <bottom style="thin">
        <color rgb="FFFFFFFF"/>
      </bottom>
      <diagonal/>
    </border>
    <border>
      <left style="thin">
        <color rgb="FFFFFFFF"/>
      </left>
      <right style="medium">
        <color indexed="64"/>
      </right>
      <top/>
      <bottom style="thin">
        <color rgb="FFFFFFFF"/>
      </bottom>
      <diagonal/>
    </border>
    <border>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top style="thin">
        <color theme="1"/>
      </top>
      <bottom/>
      <diagonal/>
    </border>
    <border>
      <left style="thin">
        <color theme="1"/>
      </left>
      <right/>
      <top/>
      <bottom/>
      <diagonal/>
    </border>
    <border>
      <left style="thin">
        <color theme="1"/>
      </left>
      <right/>
      <top style="thin">
        <color indexed="64"/>
      </top>
      <bottom style="medium">
        <color indexed="64"/>
      </bottom>
      <diagonal/>
    </border>
    <border>
      <left style="thin">
        <color theme="1"/>
      </left>
      <right/>
      <top style="thin">
        <color rgb="FFFFFFFF"/>
      </top>
      <bottom style="thin">
        <color rgb="FFFFFFFF"/>
      </bottom>
      <diagonal/>
    </border>
    <border>
      <left style="thin">
        <color theme="1"/>
      </left>
      <right style="thin">
        <color rgb="FFFFFFFF"/>
      </right>
      <top/>
      <bottom style="thin">
        <color rgb="FFFFFFFF"/>
      </bottom>
      <diagonal/>
    </border>
    <border>
      <left style="medium">
        <color indexed="64"/>
      </left>
      <right/>
      <top/>
      <bottom style="medium">
        <color theme="1"/>
      </bottom>
      <diagonal/>
    </border>
    <border>
      <left/>
      <right style="medium">
        <color indexed="64"/>
      </right>
      <top/>
      <bottom style="medium">
        <color theme="1"/>
      </bottom>
      <diagonal/>
    </border>
    <border>
      <left/>
      <right style="medium">
        <color indexed="64"/>
      </right>
      <top style="thin">
        <color theme="1"/>
      </top>
      <bottom/>
      <diagonal/>
    </border>
    <border>
      <left style="medium">
        <color indexed="64"/>
      </left>
      <right/>
      <top style="thin">
        <color theme="1"/>
      </top>
      <bottom/>
      <diagonal/>
    </border>
    <border>
      <left/>
      <right style="thin">
        <color theme="1"/>
      </right>
      <top style="medium">
        <color indexed="64"/>
      </top>
      <bottom style="thin">
        <color indexed="64"/>
      </bottom>
      <diagonal/>
    </border>
    <border>
      <left/>
      <right style="thin">
        <color theme="1"/>
      </right>
      <top/>
      <bottom style="thin">
        <color indexed="64"/>
      </bottom>
      <diagonal/>
    </border>
    <border>
      <left/>
      <right style="thin">
        <color theme="1"/>
      </right>
      <top/>
      <bottom/>
      <diagonal/>
    </border>
    <border>
      <left/>
      <right style="thin">
        <color theme="1"/>
      </right>
      <top style="thin">
        <color theme="1"/>
      </top>
      <bottom/>
      <diagonal/>
    </border>
    <border>
      <left/>
      <right style="thin">
        <color theme="1"/>
      </right>
      <top style="thin">
        <color indexed="64"/>
      </top>
      <bottom style="thin">
        <color indexed="64"/>
      </bottom>
      <diagonal/>
    </border>
    <border>
      <left/>
      <right/>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style="thin">
        <color theme="1"/>
      </left>
      <right/>
      <top/>
      <bottom style="thin">
        <color theme="4"/>
      </bottom>
      <diagonal/>
    </border>
    <border>
      <left style="thin">
        <color theme="1"/>
      </left>
      <right/>
      <top style="thin">
        <color theme="4"/>
      </top>
      <bottom/>
      <diagonal/>
    </border>
    <border>
      <left/>
      <right style="thin">
        <color theme="1"/>
      </right>
      <top/>
      <bottom style="thin">
        <color theme="4"/>
      </bottom>
      <diagonal/>
    </border>
    <border>
      <left style="thin">
        <color theme="1"/>
      </left>
      <right/>
      <top style="thin">
        <color theme="4"/>
      </top>
      <bottom style="thin">
        <color theme="1"/>
      </bottom>
      <diagonal/>
    </border>
    <border>
      <left/>
      <right/>
      <top style="thin">
        <color theme="4"/>
      </top>
      <bottom style="thin">
        <color theme="1"/>
      </bottom>
      <diagonal/>
    </border>
    <border>
      <left/>
      <right style="thin">
        <color theme="1"/>
      </right>
      <top style="thin">
        <color theme="4"/>
      </top>
      <bottom style="thin">
        <color theme="1"/>
      </bottom>
      <diagonal/>
    </border>
    <border>
      <left/>
      <right style="medium">
        <color rgb="FF000000"/>
      </right>
      <top style="medium">
        <color indexed="64"/>
      </top>
      <bottom style="thin">
        <color indexed="64"/>
      </bottom>
      <diagonal/>
    </border>
    <border>
      <left style="thin">
        <color rgb="FFFFFFFF"/>
      </left>
      <right style="thin">
        <color rgb="FFFFFFFF"/>
      </right>
      <top style="thin">
        <color rgb="FFFFFFFF"/>
      </top>
      <bottom style="thin">
        <color rgb="FFFFFFFF"/>
      </bottom>
      <diagonal/>
    </border>
    <border>
      <left/>
      <right/>
      <top/>
      <bottom style="thin">
        <color theme="1"/>
      </bottom>
      <diagonal/>
    </border>
    <border>
      <left/>
      <right style="thin">
        <color rgb="FF000000"/>
      </right>
      <top/>
      <bottom/>
      <diagonal/>
    </border>
    <border>
      <left/>
      <right style="thin">
        <color rgb="FF000000"/>
      </right>
      <top/>
      <bottom style="thin">
        <color rgb="FF156082"/>
      </bottom>
      <diagonal/>
    </border>
    <border>
      <left style="thin">
        <color indexed="64"/>
      </left>
      <right/>
      <top style="medium">
        <color indexed="64"/>
      </top>
      <bottom style="thin">
        <color indexed="64"/>
      </bottom>
      <diagonal/>
    </border>
    <border>
      <left style="thin">
        <color indexed="64"/>
      </left>
      <right/>
      <top style="medium">
        <color indexed="64"/>
      </top>
      <bottom style="medium">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17" fillId="0" borderId="0" applyNumberFormat="0" applyFill="0" applyBorder="0" applyAlignment="0" applyProtection="0"/>
    <xf numFmtId="43" fontId="1" fillId="0" borderId="0" applyFont="0" applyFill="0" applyBorder="0" applyAlignment="0" applyProtection="0"/>
    <xf numFmtId="0" fontId="63" fillId="0" borderId="0"/>
  </cellStyleXfs>
  <cellXfs count="936">
    <xf numFmtId="0" fontId="0" fillId="0" borderId="0" xfId="0"/>
    <xf numFmtId="0" fontId="0" fillId="0" borderId="1" xfId="0" applyBorder="1"/>
    <xf numFmtId="0" fontId="0" fillId="0" borderId="2" xfId="0" applyBorder="1"/>
    <xf numFmtId="0" fontId="0" fillId="0" borderId="3" xfId="0" applyBorder="1"/>
    <xf numFmtId="0" fontId="0" fillId="0" borderId="5" xfId="0" applyBorder="1"/>
    <xf numFmtId="0" fontId="0" fillId="0" borderId="0" xfId="0" applyAlignment="1">
      <alignment horizontal="center"/>
    </xf>
    <xf numFmtId="37" fontId="0" fillId="0" borderId="6" xfId="0" applyNumberFormat="1" applyBorder="1"/>
    <xf numFmtId="37" fontId="0" fillId="0" borderId="4" xfId="0" applyNumberFormat="1" applyBorder="1"/>
    <xf numFmtId="164" fontId="0" fillId="0" borderId="2" xfId="0" applyNumberFormat="1" applyBorder="1"/>
    <xf numFmtId="0" fontId="4" fillId="0" borderId="0" xfId="0" applyFont="1"/>
    <xf numFmtId="0" fontId="5" fillId="0" borderId="0" xfId="0" applyFont="1"/>
    <xf numFmtId="0" fontId="0" fillId="0" borderId="7" xfId="0" applyBorder="1"/>
    <xf numFmtId="37" fontId="0" fillId="0" borderId="0" xfId="0" applyNumberFormat="1"/>
    <xf numFmtId="37" fontId="0" fillId="0" borderId="7" xfId="0" applyNumberFormat="1" applyBorder="1"/>
    <xf numFmtId="37" fontId="4" fillId="0" borderId="0" xfId="0" applyNumberFormat="1" applyFont="1"/>
    <xf numFmtId="0" fontId="6" fillId="0" borderId="0" xfId="0" applyFont="1"/>
    <xf numFmtId="164" fontId="0" fillId="0" borderId="0" xfId="0" applyNumberFormat="1" applyAlignment="1">
      <alignment horizontal="center"/>
    </xf>
    <xf numFmtId="165" fontId="0" fillId="0" borderId="0" xfId="0" applyNumberFormat="1" applyAlignment="1">
      <alignment horizontal="center"/>
    </xf>
    <xf numFmtId="0" fontId="0" fillId="0" borderId="0" xfId="0" applyAlignment="1">
      <alignment horizontal="left"/>
    </xf>
    <xf numFmtId="0" fontId="0" fillId="0" borderId="7" xfId="0" applyBorder="1" applyAlignment="1">
      <alignment horizontal="left"/>
    </xf>
    <xf numFmtId="44" fontId="0" fillId="0" borderId="0" xfId="1" applyFont="1" applyAlignment="1">
      <alignment horizontal="center"/>
    </xf>
    <xf numFmtId="9" fontId="0" fillId="0" borderId="0" xfId="2" applyFont="1" applyAlignment="1">
      <alignment horizontal="center"/>
    </xf>
    <xf numFmtId="37" fontId="0" fillId="0" borderId="0" xfId="0" applyNumberFormat="1" applyAlignment="1">
      <alignment horizontal="center"/>
    </xf>
    <xf numFmtId="37" fontId="0" fillId="0" borderId="7" xfId="0" applyNumberFormat="1" applyBorder="1" applyAlignment="1">
      <alignment horizontal="center"/>
    </xf>
    <xf numFmtId="37" fontId="4" fillId="0" borderId="0" xfId="0" applyNumberFormat="1" applyFont="1" applyAlignment="1">
      <alignment horizontal="center"/>
    </xf>
    <xf numFmtId="0" fontId="9" fillId="0" borderId="0" xfId="0" applyFont="1"/>
    <xf numFmtId="0" fontId="11" fillId="0" borderId="0" xfId="0" applyFont="1" applyAlignment="1">
      <alignment vertical="top"/>
    </xf>
    <xf numFmtId="0" fontId="12" fillId="0" borderId="0" xfId="0" applyFont="1"/>
    <xf numFmtId="9" fontId="13" fillId="0" borderId="0" xfId="2" applyFont="1" applyAlignment="1">
      <alignment horizontal="center"/>
    </xf>
    <xf numFmtId="0" fontId="10" fillId="4" borderId="0" xfId="0" applyFont="1" applyFill="1"/>
    <xf numFmtId="0" fontId="0" fillId="4" borderId="0" xfId="0" applyFill="1"/>
    <xf numFmtId="0" fontId="0" fillId="0" borderId="1" xfId="0" applyBorder="1" applyAlignment="1">
      <alignment horizontal="center"/>
    </xf>
    <xf numFmtId="37" fontId="0" fillId="0" borderId="10" xfId="0" applyNumberFormat="1"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15" fillId="5" borderId="0" xfId="0" applyFont="1" applyFill="1"/>
    <xf numFmtId="0" fontId="16" fillId="5" borderId="0" xfId="0" applyFont="1" applyFill="1"/>
    <xf numFmtId="0" fontId="14" fillId="6" borderId="0" xfId="0" applyFont="1" applyFill="1"/>
    <xf numFmtId="0" fontId="0" fillId="0" borderId="3" xfId="0" applyBorder="1" applyAlignment="1">
      <alignment horizontal="center"/>
    </xf>
    <xf numFmtId="0" fontId="0" fillId="0" borderId="4" xfId="0" applyBorder="1"/>
    <xf numFmtId="0" fontId="0" fillId="0" borderId="6" xfId="0" applyBorder="1"/>
    <xf numFmtId="0" fontId="17" fillId="0" borderId="0" xfId="3" applyBorder="1" applyAlignment="1">
      <alignment horizontal="center"/>
    </xf>
    <xf numFmtId="0" fontId="17" fillId="0" borderId="0" xfId="3" applyBorder="1"/>
    <xf numFmtId="0" fontId="18" fillId="0" borderId="0" xfId="0" applyFont="1"/>
    <xf numFmtId="0" fontId="18" fillId="0" borderId="4" xfId="0" applyFont="1" applyBorder="1"/>
    <xf numFmtId="0" fontId="18" fillId="0" borderId="6" xfId="0" applyFont="1" applyBorder="1"/>
    <xf numFmtId="0" fontId="19" fillId="0" borderId="4" xfId="0" applyFont="1" applyBorder="1"/>
    <xf numFmtId="0" fontId="0" fillId="0" borderId="6" xfId="0" quotePrefix="1" applyBorder="1" applyAlignment="1">
      <alignment horizontal="center"/>
    </xf>
    <xf numFmtId="166" fontId="0" fillId="0" borderId="0" xfId="0" applyNumberFormat="1" applyAlignment="1">
      <alignment horizontal="center"/>
    </xf>
    <xf numFmtId="166" fontId="0" fillId="0" borderId="10" xfId="0" applyNumberFormat="1" applyBorder="1" applyAlignment="1">
      <alignment horizontal="center"/>
    </xf>
    <xf numFmtId="0" fontId="20" fillId="0" borderId="0" xfId="0" applyFont="1"/>
    <xf numFmtId="2" fontId="0" fillId="0" borderId="0" xfId="0" applyNumberFormat="1" applyAlignment="1">
      <alignment horizontal="center"/>
    </xf>
    <xf numFmtId="166" fontId="0" fillId="7" borderId="7" xfId="0" applyNumberFormat="1" applyFill="1" applyBorder="1" applyAlignment="1">
      <alignment horizontal="center"/>
    </xf>
    <xf numFmtId="0" fontId="0" fillId="0" borderId="8" xfId="0" applyBorder="1"/>
    <xf numFmtId="10" fontId="0" fillId="0" borderId="4" xfId="0" applyNumberFormat="1" applyBorder="1"/>
    <xf numFmtId="0" fontId="13" fillId="0" borderId="7" xfId="0" applyFont="1" applyBorder="1"/>
    <xf numFmtId="9" fontId="23" fillId="0" borderId="0" xfId="2" applyFont="1" applyFill="1" applyBorder="1" applyAlignment="1">
      <alignment horizontal="center"/>
    </xf>
    <xf numFmtId="9" fontId="0" fillId="0" borderId="0" xfId="0" applyNumberFormat="1" applyAlignment="1">
      <alignment horizontal="center"/>
    </xf>
    <xf numFmtId="0" fontId="0" fillId="0" borderId="0" xfId="0" applyAlignment="1">
      <alignment horizontal="right"/>
    </xf>
    <xf numFmtId="9" fontId="25" fillId="0" borderId="0" xfId="2" applyFont="1" applyAlignment="1">
      <alignment horizontal="center"/>
    </xf>
    <xf numFmtId="0" fontId="4" fillId="0" borderId="0" xfId="0" applyFont="1" applyAlignment="1">
      <alignment horizontal="center"/>
    </xf>
    <xf numFmtId="0" fontId="13" fillId="0" borderId="0" xfId="0" applyFont="1" applyAlignment="1">
      <alignment horizontal="left"/>
    </xf>
    <xf numFmtId="9" fontId="25" fillId="0" borderId="0" xfId="2" applyFont="1" applyBorder="1" applyAlignment="1">
      <alignment horizontal="center"/>
    </xf>
    <xf numFmtId="9" fontId="25" fillId="0" borderId="7" xfId="2" applyFont="1" applyBorder="1" applyAlignment="1">
      <alignment horizontal="center"/>
    </xf>
    <xf numFmtId="0" fontId="0" fillId="0" borderId="17" xfId="0" applyBorder="1"/>
    <xf numFmtId="1" fontId="0" fillId="0" borderId="0" xfId="0" applyNumberFormat="1" applyAlignment="1">
      <alignment horizontal="center"/>
    </xf>
    <xf numFmtId="3" fontId="0" fillId="0" borderId="0" xfId="0" applyNumberFormat="1" applyAlignment="1">
      <alignment horizontal="center"/>
    </xf>
    <xf numFmtId="37" fontId="0" fillId="0" borderId="17" xfId="0" applyNumberFormat="1" applyBorder="1" applyAlignment="1">
      <alignment horizontal="center"/>
    </xf>
    <xf numFmtId="0" fontId="26" fillId="0" borderId="0" xfId="0" applyFont="1" applyAlignment="1">
      <alignment horizontal="left"/>
    </xf>
    <xf numFmtId="37" fontId="0" fillId="0" borderId="7" xfId="0" applyNumberFormat="1" applyBorder="1" applyAlignment="1">
      <alignment horizontal="right"/>
    </xf>
    <xf numFmtId="37" fontId="0" fillId="0" borderId="0" xfId="0" applyNumberFormat="1" applyAlignment="1">
      <alignment horizontal="right"/>
    </xf>
    <xf numFmtId="0" fontId="4" fillId="0" borderId="14" xfId="0" applyFont="1" applyBorder="1" applyAlignment="1">
      <alignment horizontal="left"/>
    </xf>
    <xf numFmtId="164" fontId="4" fillId="0" borderId="15" xfId="0" applyNumberFormat="1" applyFont="1" applyBorder="1" applyAlignment="1">
      <alignment horizontal="right"/>
    </xf>
    <xf numFmtId="164" fontId="0" fillId="0" borderId="0" xfId="0" applyNumberFormat="1" applyAlignment="1">
      <alignment horizontal="right"/>
    </xf>
    <xf numFmtId="0" fontId="4" fillId="0" borderId="14" xfId="0" applyFont="1" applyBorder="1"/>
    <xf numFmtId="164" fontId="4" fillId="0" borderId="15" xfId="0" applyNumberFormat="1" applyFont="1" applyBorder="1"/>
    <xf numFmtId="164" fontId="0" fillId="0" borderId="0" xfId="0" applyNumberFormat="1"/>
    <xf numFmtId="0" fontId="6" fillId="0" borderId="0" xfId="0" applyFont="1" applyAlignment="1">
      <alignment horizontal="left"/>
    </xf>
    <xf numFmtId="0" fontId="6" fillId="0" borderId="0" xfId="0" applyFont="1" applyAlignment="1">
      <alignment horizontal="right"/>
    </xf>
    <xf numFmtId="0" fontId="6" fillId="0" borderId="10" xfId="0" applyFont="1" applyBorder="1" applyAlignment="1">
      <alignment horizontal="left"/>
    </xf>
    <xf numFmtId="0" fontId="6" fillId="0" borderId="10" xfId="0" applyFont="1" applyBorder="1" applyAlignment="1">
      <alignment horizontal="right"/>
    </xf>
    <xf numFmtId="37" fontId="0" fillId="0" borderId="2" xfId="0" applyNumberFormat="1" applyBorder="1"/>
    <xf numFmtId="166" fontId="0" fillId="0" borderId="6" xfId="0" applyNumberFormat="1" applyBorder="1"/>
    <xf numFmtId="166" fontId="0" fillId="0" borderId="7" xfId="0" applyNumberFormat="1" applyBorder="1" applyAlignment="1">
      <alignment horizontal="center"/>
    </xf>
    <xf numFmtId="9" fontId="0" fillId="0" borderId="0" xfId="2" applyFont="1"/>
    <xf numFmtId="37" fontId="0" fillId="0" borderId="0" xfId="2" applyNumberFormat="1" applyFont="1"/>
    <xf numFmtId="0" fontId="17" fillId="0" borderId="0" xfId="3"/>
    <xf numFmtId="167" fontId="0" fillId="0" borderId="0" xfId="2" applyNumberFormat="1" applyFont="1"/>
    <xf numFmtId="0" fontId="0" fillId="0" borderId="0" xfId="2" applyNumberFormat="1" applyFont="1"/>
    <xf numFmtId="14" fontId="0" fillId="0" borderId="0" xfId="0" applyNumberFormat="1"/>
    <xf numFmtId="0" fontId="0" fillId="0" borderId="0" xfId="0" applyAlignment="1">
      <alignment horizontal="center" vertical="center" textRotation="180"/>
    </xf>
    <xf numFmtId="37" fontId="6" fillId="0" borderId="0" xfId="0" applyNumberFormat="1" applyFont="1" applyAlignment="1">
      <alignment horizontal="right"/>
    </xf>
    <xf numFmtId="39" fontId="0" fillId="0" borderId="0" xfId="0" applyNumberFormat="1" applyAlignment="1">
      <alignment horizontal="center"/>
    </xf>
    <xf numFmtId="9" fontId="23" fillId="0" borderId="0" xfId="2" applyFont="1" applyAlignment="1">
      <alignment horizontal="center"/>
    </xf>
    <xf numFmtId="0" fontId="13" fillId="0" borderId="0" xfId="0" applyFont="1" applyAlignment="1">
      <alignment horizontal="right"/>
    </xf>
    <xf numFmtId="0" fontId="25" fillId="0" borderId="0" xfId="0" applyFont="1" applyAlignment="1">
      <alignment horizontal="center"/>
    </xf>
    <xf numFmtId="9" fontId="28" fillId="0" borderId="0" xfId="2" applyFont="1" applyAlignment="1">
      <alignment horizontal="center"/>
    </xf>
    <xf numFmtId="0" fontId="29" fillId="0" borderId="0" xfId="0" applyFont="1"/>
    <xf numFmtId="0" fontId="29" fillId="0" borderId="0" xfId="0" applyFont="1" applyAlignment="1">
      <alignment horizontal="center"/>
    </xf>
    <xf numFmtId="0" fontId="0" fillId="0" borderId="8" xfId="0" applyBorder="1" applyAlignment="1">
      <alignment horizontal="center"/>
    </xf>
    <xf numFmtId="9" fontId="4" fillId="0" borderId="0" xfId="2" applyFont="1" applyAlignment="1">
      <alignment horizontal="center"/>
    </xf>
    <xf numFmtId="0" fontId="0" fillId="0" borderId="10" xfId="0" applyBorder="1" applyAlignment="1">
      <alignment horizontal="center"/>
    </xf>
    <xf numFmtId="9" fontId="0" fillId="0" borderId="6" xfId="0" applyNumberFormat="1" applyBorder="1" applyAlignment="1">
      <alignment horizontal="center"/>
    </xf>
    <xf numFmtId="0" fontId="4" fillId="0" borderId="3" xfId="0" applyFont="1" applyBorder="1" applyAlignment="1">
      <alignment horizontal="center"/>
    </xf>
    <xf numFmtId="9" fontId="4" fillId="0" borderId="4" xfId="2" applyFont="1" applyBorder="1" applyAlignment="1">
      <alignment horizontal="center"/>
    </xf>
    <xf numFmtId="0" fontId="0" fillId="0" borderId="17" xfId="0" applyBorder="1" applyAlignment="1">
      <alignment horizontal="center"/>
    </xf>
    <xf numFmtId="0" fontId="13" fillId="0" borderId="0" xfId="0" applyFont="1" applyAlignment="1">
      <alignment horizontal="center"/>
    </xf>
    <xf numFmtId="164" fontId="0" fillId="0" borderId="15" xfId="0" applyNumberFormat="1" applyBorder="1"/>
    <xf numFmtId="9" fontId="25" fillId="0" borderId="0" xfId="2" applyFont="1" applyFill="1" applyBorder="1" applyAlignment="1">
      <alignment horizontal="center"/>
    </xf>
    <xf numFmtId="9" fontId="25" fillId="0" borderId="0" xfId="2" applyFont="1" applyFill="1" applyAlignment="1">
      <alignment horizontal="center"/>
    </xf>
    <xf numFmtId="9" fontId="23" fillId="0" borderId="0" xfId="2" applyFont="1" applyFill="1" applyAlignment="1">
      <alignment horizontal="center"/>
    </xf>
    <xf numFmtId="0" fontId="14" fillId="0" borderId="0" xfId="0" applyFont="1" applyAlignment="1">
      <alignment vertical="center"/>
    </xf>
    <xf numFmtId="0" fontId="16" fillId="0" borderId="0" xfId="0" applyFont="1" applyAlignment="1">
      <alignment vertical="center" textRotation="90"/>
    </xf>
    <xf numFmtId="0" fontId="37" fillId="0" borderId="0" xfId="0" applyFont="1"/>
    <xf numFmtId="164" fontId="14" fillId="8" borderId="1" xfId="0" applyNumberFormat="1" applyFont="1" applyFill="1" applyBorder="1" applyAlignment="1">
      <alignment horizontal="center"/>
    </xf>
    <xf numFmtId="164" fontId="14" fillId="8" borderId="10" xfId="0" applyNumberFormat="1" applyFont="1" applyFill="1" applyBorder="1" applyAlignment="1">
      <alignment horizontal="center"/>
    </xf>
    <xf numFmtId="164" fontId="14" fillId="8" borderId="2" xfId="0" applyNumberFormat="1" applyFont="1" applyFill="1" applyBorder="1" applyAlignment="1">
      <alignment horizontal="center"/>
    </xf>
    <xf numFmtId="164" fontId="14" fillId="8" borderId="3" xfId="0" applyNumberFormat="1" applyFont="1" applyFill="1" applyBorder="1" applyAlignment="1">
      <alignment horizontal="center"/>
    </xf>
    <xf numFmtId="164" fontId="14" fillId="8" borderId="4" xfId="0" applyNumberFormat="1" applyFont="1" applyFill="1" applyBorder="1" applyAlignment="1">
      <alignment horizontal="center"/>
    </xf>
    <xf numFmtId="164" fontId="14" fillId="8" borderId="5" xfId="0" applyNumberFormat="1" applyFont="1" applyFill="1" applyBorder="1" applyAlignment="1">
      <alignment horizontal="center"/>
    </xf>
    <xf numFmtId="164" fontId="14" fillId="8" borderId="7" xfId="0" applyNumberFormat="1" applyFont="1" applyFill="1" applyBorder="1" applyAlignment="1">
      <alignment horizontal="center"/>
    </xf>
    <xf numFmtId="164" fontId="14" fillId="8" borderId="6" xfId="0" applyNumberFormat="1" applyFont="1" applyFill="1" applyBorder="1" applyAlignment="1">
      <alignment horizontal="center"/>
    </xf>
    <xf numFmtId="164" fontId="14" fillId="11" borderId="0" xfId="0" applyNumberFormat="1" applyFont="1" applyFill="1" applyAlignment="1">
      <alignment horizontal="center"/>
    </xf>
    <xf numFmtId="164" fontId="0" fillId="12" borderId="0" xfId="0" applyNumberFormat="1" applyFill="1" applyAlignment="1">
      <alignment horizontal="center"/>
    </xf>
    <xf numFmtId="164" fontId="14" fillId="14" borderId="9" xfId="0" applyNumberFormat="1" applyFont="1" applyFill="1" applyBorder="1" applyAlignment="1">
      <alignment horizontal="center"/>
    </xf>
    <xf numFmtId="0" fontId="17" fillId="5" borderId="0" xfId="3" applyFill="1"/>
    <xf numFmtId="0" fontId="13" fillId="0" borderId="0" xfId="0" applyFont="1"/>
    <xf numFmtId="9" fontId="13" fillId="0" borderId="0" xfId="2" applyFont="1"/>
    <xf numFmtId="9" fontId="13" fillId="0" borderId="0" xfId="2" applyFont="1" applyFill="1" applyBorder="1" applyAlignment="1">
      <alignment horizontal="left"/>
    </xf>
    <xf numFmtId="9" fontId="13" fillId="0" borderId="0" xfId="2" applyFont="1" applyAlignment="1">
      <alignment horizontal="right"/>
    </xf>
    <xf numFmtId="0" fontId="39" fillId="15" borderId="24" xfId="0" applyFont="1" applyFill="1" applyBorder="1" applyAlignment="1">
      <alignment horizontal="left" vertical="center" wrapText="1"/>
    </xf>
    <xf numFmtId="2" fontId="39" fillId="15" borderId="25" xfId="0" applyNumberFormat="1" applyFont="1" applyFill="1" applyBorder="1" applyAlignment="1">
      <alignment vertical="center" wrapText="1"/>
    </xf>
    <xf numFmtId="0" fontId="40" fillId="0" borderId="26" xfId="0" applyFont="1" applyBorder="1" applyAlignment="1">
      <alignment horizontal="left" vertical="center" wrapText="1"/>
    </xf>
    <xf numFmtId="0" fontId="41" fillId="0" borderId="0" xfId="0" applyFont="1"/>
    <xf numFmtId="14" fontId="41" fillId="0" borderId="27" xfId="0" applyNumberFormat="1" applyFont="1" applyBorder="1" applyAlignment="1">
      <alignment vertical="center" wrapText="1"/>
    </xf>
    <xf numFmtId="0" fontId="42" fillId="0" borderId="28" xfId="0" applyFont="1" applyBorder="1" applyAlignment="1">
      <alignment horizontal="left" vertical="center" wrapText="1"/>
    </xf>
    <xf numFmtId="168" fontId="43" fillId="0" borderId="29" xfId="0" applyNumberFormat="1" applyFont="1" applyBorder="1"/>
    <xf numFmtId="0" fontId="41" fillId="16" borderId="26" xfId="0" applyFont="1" applyFill="1" applyBorder="1" applyAlignment="1">
      <alignment horizontal="left" vertical="center" wrapText="1"/>
    </xf>
    <xf numFmtId="43" fontId="41" fillId="16" borderId="27" xfId="0" applyNumberFormat="1" applyFont="1" applyFill="1" applyBorder="1" applyAlignment="1">
      <alignment vertical="center" wrapText="1"/>
    </xf>
    <xf numFmtId="0" fontId="41" fillId="0" borderId="26" xfId="0" applyFont="1" applyBorder="1" applyAlignment="1">
      <alignment horizontal="left" vertical="center" wrapText="1"/>
    </xf>
    <xf numFmtId="168" fontId="44" fillId="0" borderId="27" xfId="0" applyNumberFormat="1" applyFont="1" applyBorder="1"/>
    <xf numFmtId="0" fontId="41" fillId="0" borderId="26" xfId="0" applyFont="1" applyBorder="1"/>
    <xf numFmtId="168" fontId="44" fillId="0" borderId="29" xfId="0" applyNumberFormat="1" applyFont="1" applyBorder="1"/>
    <xf numFmtId="0" fontId="42" fillId="0" borderId="30" xfId="0" applyFont="1" applyBorder="1" applyAlignment="1">
      <alignment horizontal="left" vertical="center" wrapText="1"/>
    </xf>
    <xf numFmtId="168" fontId="45" fillId="0" borderId="27" xfId="0" applyNumberFormat="1" applyFont="1" applyBorder="1"/>
    <xf numFmtId="43" fontId="41" fillId="16" borderId="27" xfId="0" applyNumberFormat="1" applyFont="1" applyFill="1" applyBorder="1" applyAlignment="1">
      <alignment horizontal="right" vertical="center" wrapText="1"/>
    </xf>
    <xf numFmtId="0" fontId="42" fillId="0" borderId="26" xfId="0" applyFont="1" applyBorder="1" applyAlignment="1">
      <alignment horizontal="left" vertical="center" wrapText="1"/>
    </xf>
    <xf numFmtId="43" fontId="42" fillId="0" borderId="31" xfId="0" applyNumberFormat="1" applyFont="1" applyBorder="1" applyAlignment="1">
      <alignment horizontal="right" vertical="center" wrapText="1"/>
    </xf>
    <xf numFmtId="0" fontId="42" fillId="0" borderId="32" xfId="0" applyFont="1" applyBorder="1" applyAlignment="1">
      <alignment horizontal="left" vertical="center" wrapText="1"/>
    </xf>
    <xf numFmtId="169" fontId="45" fillId="0" borderId="33" xfId="0" applyNumberFormat="1" applyFont="1" applyBorder="1" applyAlignment="1">
      <alignment horizontal="right" vertical="center"/>
    </xf>
    <xf numFmtId="0" fontId="47" fillId="15" borderId="24" xfId="0" applyFont="1" applyFill="1" applyBorder="1" applyAlignment="1">
      <alignment horizontal="left" vertical="center" wrapText="1"/>
    </xf>
    <xf numFmtId="0" fontId="47" fillId="15" borderId="25" xfId="0" applyFont="1" applyFill="1" applyBorder="1" applyAlignment="1">
      <alignment vertical="center" wrapText="1"/>
    </xf>
    <xf numFmtId="0" fontId="41" fillId="0" borderId="34" xfId="0" applyFont="1" applyBorder="1" applyAlignment="1">
      <alignment horizontal="left" vertical="center" wrapText="1"/>
    </xf>
    <xf numFmtId="0" fontId="41" fillId="0" borderId="35" xfId="0" applyFont="1" applyBorder="1" applyAlignment="1">
      <alignment vertical="center" wrapText="1"/>
    </xf>
    <xf numFmtId="0" fontId="0" fillId="0" borderId="34" xfId="0" applyBorder="1" applyAlignment="1">
      <alignment horizontal="left" vertical="center" wrapText="1"/>
    </xf>
    <xf numFmtId="10" fontId="44" fillId="0" borderId="35" xfId="0" applyNumberFormat="1" applyFont="1" applyBorder="1" applyAlignment="1">
      <alignment vertical="center" wrapText="1"/>
    </xf>
    <xf numFmtId="10" fontId="41" fillId="17" borderId="35" xfId="0" applyNumberFormat="1" applyFont="1" applyFill="1" applyBorder="1" applyAlignment="1">
      <alignment vertical="center" wrapText="1"/>
    </xf>
    <xf numFmtId="10" fontId="41" fillId="17" borderId="35" xfId="0" applyNumberFormat="1" applyFont="1" applyFill="1" applyBorder="1" applyAlignment="1">
      <alignment horizontal="right" vertical="center" wrapText="1"/>
    </xf>
    <xf numFmtId="10" fontId="41" fillId="16" borderId="35" xfId="0" applyNumberFormat="1" applyFont="1" applyFill="1" applyBorder="1" applyAlignment="1">
      <alignment horizontal="right" vertical="center" wrapText="1"/>
    </xf>
    <xf numFmtId="0" fontId="42" fillId="18" borderId="36" xfId="0" applyFont="1" applyFill="1" applyBorder="1" applyAlignment="1">
      <alignment horizontal="left" vertical="center" wrapText="1"/>
    </xf>
    <xf numFmtId="10" fontId="42" fillId="18" borderId="37" xfId="0" applyNumberFormat="1" applyFont="1" applyFill="1" applyBorder="1" applyAlignment="1">
      <alignment horizontal="right" vertical="center" wrapText="1"/>
    </xf>
    <xf numFmtId="0" fontId="48" fillId="0" borderId="0" xfId="0" applyFont="1"/>
    <xf numFmtId="0" fontId="48" fillId="19" borderId="0" xfId="0" applyFont="1" applyFill="1"/>
    <xf numFmtId="0" fontId="49" fillId="19" borderId="0" xfId="0" applyFont="1" applyFill="1"/>
    <xf numFmtId="0" fontId="52" fillId="19" borderId="40" xfId="0" applyFont="1" applyFill="1" applyBorder="1"/>
    <xf numFmtId="0" fontId="52" fillId="19" borderId="41" xfId="0" applyFont="1" applyFill="1" applyBorder="1"/>
    <xf numFmtId="0" fontId="49" fillId="19" borderId="41" xfId="0" applyFont="1" applyFill="1" applyBorder="1" applyAlignment="1">
      <alignment horizontal="center" vertical="center"/>
    </xf>
    <xf numFmtId="0" fontId="52" fillId="19" borderId="42" xfId="0" applyFont="1" applyFill="1" applyBorder="1"/>
    <xf numFmtId="0" fontId="52" fillId="19" borderId="34" xfId="0" applyFont="1" applyFill="1" applyBorder="1"/>
    <xf numFmtId="0" fontId="52" fillId="19" borderId="0" xfId="0" applyFont="1" applyFill="1"/>
    <xf numFmtId="0" fontId="52" fillId="19" borderId="0" xfId="0" applyFont="1" applyFill="1" applyAlignment="1">
      <alignment horizontal="center" vertical="center"/>
    </xf>
    <xf numFmtId="0" fontId="52" fillId="19" borderId="35" xfId="0" applyFont="1" applyFill="1" applyBorder="1"/>
    <xf numFmtId="0" fontId="52" fillId="19" borderId="45" xfId="0" applyFont="1" applyFill="1" applyBorder="1"/>
    <xf numFmtId="0" fontId="52" fillId="19" borderId="46" xfId="0" applyFont="1" applyFill="1" applyBorder="1"/>
    <xf numFmtId="0" fontId="52" fillId="19" borderId="46" xfId="0" applyFont="1" applyFill="1" applyBorder="1" applyAlignment="1">
      <alignment horizontal="center" vertical="center"/>
    </xf>
    <xf numFmtId="0" fontId="52" fillId="19" borderId="47" xfId="0" applyFont="1" applyFill="1" applyBorder="1"/>
    <xf numFmtId="0" fontId="49" fillId="19" borderId="0" xfId="0" applyFont="1" applyFill="1" applyAlignment="1">
      <alignment horizontal="center" vertical="center"/>
    </xf>
    <xf numFmtId="44" fontId="49" fillId="19" borderId="48" xfId="1" applyFont="1" applyFill="1" applyBorder="1" applyAlignment="1">
      <alignment wrapText="1"/>
    </xf>
    <xf numFmtId="170" fontId="27" fillId="19" borderId="49" xfId="0" applyNumberFormat="1" applyFont="1" applyFill="1" applyBorder="1" applyAlignment="1">
      <alignment horizontal="right" vertical="center"/>
    </xf>
    <xf numFmtId="44" fontId="49" fillId="19" borderId="22" xfId="1" applyFont="1" applyFill="1" applyBorder="1" applyAlignment="1">
      <alignment horizontal="right" wrapText="1"/>
    </xf>
    <xf numFmtId="0" fontId="52" fillId="19" borderId="43" xfId="0" applyFont="1" applyFill="1" applyBorder="1"/>
    <xf numFmtId="0" fontId="52" fillId="19" borderId="17" xfId="0" applyFont="1" applyFill="1" applyBorder="1"/>
    <xf numFmtId="0" fontId="52" fillId="19" borderId="44" xfId="0" applyFont="1" applyFill="1" applyBorder="1"/>
    <xf numFmtId="0" fontId="53" fillId="0" borderId="50" xfId="0" applyFont="1" applyBorder="1"/>
    <xf numFmtId="0" fontId="53" fillId="0" borderId="51" xfId="0" applyFont="1" applyBorder="1"/>
    <xf numFmtId="0" fontId="45" fillId="0" borderId="51" xfId="0" applyFont="1" applyBorder="1" applyAlignment="1">
      <alignment horizontal="center" vertical="center"/>
    </xf>
    <xf numFmtId="0" fontId="53" fillId="0" borderId="52" xfId="0" applyFont="1" applyBorder="1"/>
    <xf numFmtId="0" fontId="53" fillId="0" borderId="34" xfId="0" applyFont="1" applyBorder="1"/>
    <xf numFmtId="0" fontId="53" fillId="0" borderId="0" xfId="0" applyFont="1"/>
    <xf numFmtId="0" fontId="45" fillId="0" borderId="0" xfId="0" applyFont="1" applyAlignment="1">
      <alignment horizontal="center" vertical="center"/>
    </xf>
    <xf numFmtId="0" fontId="53" fillId="0" borderId="35" xfId="0" applyFont="1" applyBorder="1"/>
    <xf numFmtId="0" fontId="52" fillId="0" borderId="34" xfId="0" applyFont="1" applyBorder="1"/>
    <xf numFmtId="0" fontId="54" fillId="0" borderId="0" xfId="0" applyFont="1"/>
    <xf numFmtId="0" fontId="52" fillId="0" borderId="0" xfId="0" applyFont="1"/>
    <xf numFmtId="0" fontId="52" fillId="0" borderId="35" xfId="0" applyFont="1" applyBorder="1"/>
    <xf numFmtId="0" fontId="55" fillId="0" borderId="43" xfId="0" applyFont="1" applyBorder="1"/>
    <xf numFmtId="0" fontId="55" fillId="0" borderId="17" xfId="0" applyFont="1" applyBorder="1"/>
    <xf numFmtId="0" fontId="52" fillId="0" borderId="17" xfId="0" applyFont="1" applyBorder="1"/>
    <xf numFmtId="0" fontId="45" fillId="0" borderId="17" xfId="0" applyFont="1" applyBorder="1" applyAlignment="1">
      <alignment horizontal="center" vertical="center"/>
    </xf>
    <xf numFmtId="0" fontId="52" fillId="0" borderId="44" xfId="0" applyFont="1" applyBorder="1"/>
    <xf numFmtId="0" fontId="48" fillId="0" borderId="53" xfId="0" applyFont="1" applyBorder="1"/>
    <xf numFmtId="0" fontId="48" fillId="0" borderId="55" xfId="0" applyFont="1" applyBorder="1"/>
    <xf numFmtId="0" fontId="48" fillId="0" borderId="34" xfId="0" applyFont="1" applyBorder="1"/>
    <xf numFmtId="0" fontId="56" fillId="0" borderId="0" xfId="0" applyFont="1" applyAlignment="1">
      <alignment horizontal="center" wrapText="1"/>
    </xf>
    <xf numFmtId="0" fontId="48" fillId="0" borderId="35" xfId="0" applyFont="1" applyBorder="1"/>
    <xf numFmtId="0" fontId="56" fillId="0" borderId="0" xfId="0" applyFont="1" applyAlignment="1">
      <alignment horizontal="left" vertical="center"/>
    </xf>
    <xf numFmtId="170" fontId="0" fillId="0" borderId="0" xfId="0" applyNumberFormat="1" applyAlignment="1">
      <alignment horizontal="right" vertical="center"/>
    </xf>
    <xf numFmtId="0" fontId="48" fillId="0" borderId="0" xfId="0" applyFont="1" applyAlignment="1">
      <alignment horizontal="left" vertical="center"/>
    </xf>
    <xf numFmtId="10" fontId="54" fillId="0" borderId="0" xfId="2" applyNumberFormat="1" applyFont="1" applyBorder="1" applyAlignment="1">
      <alignment horizontal="right" vertical="center"/>
    </xf>
    <xf numFmtId="10" fontId="55" fillId="0" borderId="0" xfId="2" applyNumberFormat="1" applyFont="1" applyBorder="1" applyAlignment="1">
      <alignment horizontal="right" vertical="center"/>
    </xf>
    <xf numFmtId="0" fontId="56" fillId="0" borderId="0" xfId="0" applyFont="1" applyAlignment="1">
      <alignment horizontal="left"/>
    </xf>
    <xf numFmtId="168" fontId="57" fillId="0" borderId="0" xfId="0" applyNumberFormat="1" applyFont="1" applyAlignment="1">
      <alignment horizontal="right" vertical="center"/>
    </xf>
    <xf numFmtId="0" fontId="48" fillId="0" borderId="0" xfId="0" applyFont="1" applyAlignment="1">
      <alignment horizontal="left"/>
    </xf>
    <xf numFmtId="168" fontId="58" fillId="0" borderId="0" xfId="0" applyNumberFormat="1" applyFont="1" applyAlignment="1">
      <alignment horizontal="right" vertical="center"/>
    </xf>
    <xf numFmtId="168" fontId="59" fillId="0" borderId="0" xfId="0" applyNumberFormat="1" applyFont="1" applyAlignment="1">
      <alignment horizontal="right" vertical="center"/>
    </xf>
    <xf numFmtId="0" fontId="48" fillId="0" borderId="43" xfId="0" applyFont="1" applyBorder="1"/>
    <xf numFmtId="0" fontId="48" fillId="0" borderId="17" xfId="0" applyFont="1" applyBorder="1"/>
    <xf numFmtId="0" fontId="48" fillId="0" borderId="17" xfId="0" applyFont="1" applyBorder="1" applyAlignment="1">
      <alignment horizontal="right" vertical="center"/>
    </xf>
    <xf numFmtId="0" fontId="48" fillId="0" borderId="44" xfId="0" applyFont="1" applyBorder="1"/>
    <xf numFmtId="0" fontId="0" fillId="20" borderId="0" xfId="0" applyFill="1"/>
    <xf numFmtId="0" fontId="0" fillId="21" borderId="0" xfId="0" applyFill="1"/>
    <xf numFmtId="39" fontId="0" fillId="0" borderId="7" xfId="0" applyNumberFormat="1" applyBorder="1" applyAlignment="1">
      <alignment horizontal="center"/>
    </xf>
    <xf numFmtId="0" fontId="48" fillId="20" borderId="34" xfId="0" applyFont="1" applyFill="1" applyBorder="1" applyAlignment="1">
      <alignment horizontal="left" vertical="center" wrapText="1"/>
    </xf>
    <xf numFmtId="0" fontId="48" fillId="20" borderId="0" xfId="0" applyFont="1" applyFill="1" applyAlignment="1">
      <alignment horizontal="right" vertical="center" wrapText="1"/>
    </xf>
    <xf numFmtId="0" fontId="62" fillId="0" borderId="57" xfId="0" applyFont="1" applyBorder="1" applyAlignment="1">
      <alignment horizontal="left" vertical="center" wrapText="1"/>
    </xf>
    <xf numFmtId="14" fontId="48" fillId="20" borderId="7" xfId="0" applyNumberFormat="1" applyFont="1" applyFill="1" applyBorder="1" applyAlignment="1">
      <alignment horizontal="right" vertical="center" wrapText="1"/>
    </xf>
    <xf numFmtId="2" fontId="48" fillId="20" borderId="0" xfId="0" applyNumberFormat="1" applyFont="1" applyFill="1" applyAlignment="1">
      <alignment horizontal="right" vertical="center" wrapText="1"/>
    </xf>
    <xf numFmtId="0" fontId="48" fillId="20" borderId="57" xfId="0" applyFont="1" applyFill="1" applyBorder="1" applyAlignment="1">
      <alignment horizontal="left" vertical="center" wrapText="1"/>
    </xf>
    <xf numFmtId="43" fontId="48" fillId="20" borderId="7" xfId="0" applyNumberFormat="1" applyFont="1" applyFill="1" applyBorder="1" applyAlignment="1">
      <alignment horizontal="right" vertical="center" wrapText="1"/>
    </xf>
    <xf numFmtId="0" fontId="56" fillId="20" borderId="60" xfId="0" applyFont="1" applyFill="1" applyBorder="1" applyAlignment="1">
      <alignment horizontal="left" vertical="center" wrapText="1"/>
    </xf>
    <xf numFmtId="0" fontId="60" fillId="0" borderId="34" xfId="5" applyFont="1" applyBorder="1" applyAlignment="1">
      <alignment horizontal="left" vertical="center" wrapText="1"/>
    </xf>
    <xf numFmtId="0" fontId="56" fillId="20" borderId="34" xfId="0" applyFont="1" applyFill="1" applyBorder="1" applyAlignment="1">
      <alignment horizontal="left" vertical="center" wrapText="1"/>
    </xf>
    <xf numFmtId="0" fontId="56" fillId="20" borderId="49" xfId="0" applyFont="1" applyFill="1" applyBorder="1" applyAlignment="1">
      <alignment horizontal="left" vertical="center" wrapText="1"/>
    </xf>
    <xf numFmtId="0" fontId="48" fillId="0" borderId="43" xfId="0" applyFont="1" applyBorder="1" applyAlignment="1">
      <alignment horizontal="left" vertical="center" wrapText="1"/>
    </xf>
    <xf numFmtId="39" fontId="6" fillId="0" borderId="0" xfId="0" applyNumberFormat="1" applyFont="1" applyAlignment="1">
      <alignment horizontal="center"/>
    </xf>
    <xf numFmtId="0" fontId="21" fillId="21" borderId="0" xfId="0" applyFont="1" applyFill="1" applyAlignment="1">
      <alignment horizontal="center"/>
    </xf>
    <xf numFmtId="0" fontId="7" fillId="21" borderId="0" xfId="0" applyFont="1" applyFill="1" applyAlignment="1">
      <alignment horizontal="center"/>
    </xf>
    <xf numFmtId="0" fontId="16" fillId="21" borderId="0" xfId="0" applyFont="1" applyFill="1"/>
    <xf numFmtId="0" fontId="22" fillId="21" borderId="0" xfId="0" applyFont="1" applyFill="1" applyAlignment="1">
      <alignment horizontal="center"/>
    </xf>
    <xf numFmtId="10" fontId="23" fillId="0" borderId="0" xfId="2" applyNumberFormat="1" applyFont="1" applyFill="1" applyAlignment="1">
      <alignment horizontal="center"/>
    </xf>
    <xf numFmtId="39" fontId="13" fillId="0" borderId="7" xfId="0" applyNumberFormat="1" applyFont="1" applyBorder="1" applyAlignment="1">
      <alignment horizontal="center"/>
    </xf>
    <xf numFmtId="0" fontId="6" fillId="9" borderId="9" xfId="0" applyFont="1" applyFill="1" applyBorder="1" applyAlignment="1">
      <alignment horizontal="left"/>
    </xf>
    <xf numFmtId="0" fontId="6" fillId="9" borderId="9" xfId="0" applyFont="1" applyFill="1" applyBorder="1" applyAlignment="1">
      <alignment horizontal="right"/>
    </xf>
    <xf numFmtId="0" fontId="13" fillId="9" borderId="9" xfId="0" applyFont="1" applyFill="1" applyBorder="1" applyAlignment="1">
      <alignment horizontal="left"/>
    </xf>
    <xf numFmtId="0" fontId="13" fillId="9" borderId="9" xfId="0" applyFont="1" applyFill="1" applyBorder="1" applyAlignment="1">
      <alignment horizontal="right"/>
    </xf>
    <xf numFmtId="10" fontId="6" fillId="9" borderId="9" xfId="0" applyNumberFormat="1" applyFont="1" applyFill="1" applyBorder="1" applyAlignment="1">
      <alignment horizontal="right"/>
    </xf>
    <xf numFmtId="0" fontId="0" fillId="9" borderId="9" xfId="0" applyFill="1" applyBorder="1"/>
    <xf numFmtId="9" fontId="0" fillId="9" borderId="9" xfId="0" applyNumberFormat="1" applyFill="1" applyBorder="1"/>
    <xf numFmtId="0" fontId="53" fillId="0" borderId="0" xfId="5" applyFont="1" applyAlignment="1">
      <alignment horizontal="left"/>
    </xf>
    <xf numFmtId="0" fontId="66" fillId="0" borderId="0" xfId="5" applyFont="1" applyAlignment="1">
      <alignment horizontal="left"/>
    </xf>
    <xf numFmtId="0" fontId="66" fillId="0" borderId="35" xfId="5" applyFont="1" applyBorder="1" applyAlignment="1">
      <alignment horizontal="left"/>
    </xf>
    <xf numFmtId="0" fontId="53" fillId="0" borderId="34" xfId="5" applyFont="1" applyBorder="1" applyAlignment="1">
      <alignment horizontal="left" vertical="top" wrapText="1"/>
    </xf>
    <xf numFmtId="0" fontId="53" fillId="0" borderId="0" xfId="5" applyFont="1" applyAlignment="1">
      <alignment horizontal="left" vertical="top" wrapText="1"/>
    </xf>
    <xf numFmtId="0" fontId="53" fillId="0" borderId="35" xfId="5" applyFont="1" applyBorder="1" applyAlignment="1">
      <alignment horizontal="left" vertical="top" wrapText="1"/>
    </xf>
    <xf numFmtId="0" fontId="45" fillId="0" borderId="34" xfId="5" applyFont="1" applyBorder="1" applyAlignment="1">
      <alignment horizontal="left"/>
    </xf>
    <xf numFmtId="0" fontId="67" fillId="0" borderId="34" xfId="5" applyFont="1" applyBorder="1" applyAlignment="1">
      <alignment horizontal="left" vertical="top"/>
    </xf>
    <xf numFmtId="0" fontId="49" fillId="21" borderId="60" xfId="5" applyFont="1" applyFill="1" applyBorder="1" applyAlignment="1">
      <alignment horizontal="left"/>
    </xf>
    <xf numFmtId="0" fontId="52" fillId="21" borderId="10" xfId="5" applyFont="1" applyFill="1" applyBorder="1" applyAlignment="1">
      <alignment horizontal="left"/>
    </xf>
    <xf numFmtId="0" fontId="52" fillId="21" borderId="0" xfId="5" applyFont="1" applyFill="1" applyAlignment="1">
      <alignment horizontal="left"/>
    </xf>
    <xf numFmtId="0" fontId="68" fillId="21" borderId="0" xfId="5" applyFont="1" applyFill="1" applyAlignment="1">
      <alignment horizontal="left"/>
    </xf>
    <xf numFmtId="0" fontId="68" fillId="21" borderId="35" xfId="5" applyFont="1" applyFill="1" applyBorder="1" applyAlignment="1">
      <alignment horizontal="left"/>
    </xf>
    <xf numFmtId="0" fontId="41" fillId="23" borderId="0" xfId="0" applyFont="1" applyFill="1" applyAlignment="1">
      <alignment horizontal="left" vertical="center" wrapText="1"/>
    </xf>
    <xf numFmtId="0" fontId="42" fillId="23" borderId="0" xfId="0" applyFont="1" applyFill="1" applyAlignment="1">
      <alignment horizontal="left" vertical="center" wrapText="1"/>
    </xf>
    <xf numFmtId="16" fontId="48" fillId="0" borderId="0" xfId="0" applyNumberFormat="1" applyFont="1" applyAlignment="1">
      <alignment horizontal="center"/>
    </xf>
    <xf numFmtId="37" fontId="48" fillId="0" borderId="0" xfId="0" applyNumberFormat="1" applyFont="1" applyAlignment="1">
      <alignment horizontal="center"/>
    </xf>
    <xf numFmtId="0" fontId="62" fillId="20" borderId="0" xfId="0" applyFont="1" applyFill="1" applyAlignment="1">
      <alignment horizontal="right"/>
    </xf>
    <xf numFmtId="0" fontId="48" fillId="20" borderId="0" xfId="0" applyFont="1" applyFill="1" applyAlignment="1">
      <alignment horizontal="center"/>
    </xf>
    <xf numFmtId="0" fontId="48" fillId="20" borderId="0" xfId="0" applyFont="1" applyFill="1"/>
    <xf numFmtId="0" fontId="56" fillId="20" borderId="0" xfId="0" applyFont="1" applyFill="1" applyAlignment="1">
      <alignment horizontal="center"/>
    </xf>
    <xf numFmtId="37" fontId="69" fillId="20" borderId="0" xfId="0" applyNumberFormat="1" applyFont="1" applyFill="1" applyAlignment="1">
      <alignment horizontal="center"/>
    </xf>
    <xf numFmtId="0" fontId="69" fillId="20" borderId="0" xfId="0" applyFont="1" applyFill="1" applyAlignment="1">
      <alignment horizontal="left"/>
    </xf>
    <xf numFmtId="0" fontId="69" fillId="20" borderId="0" xfId="0" applyFont="1" applyFill="1" applyAlignment="1">
      <alignment horizontal="center"/>
    </xf>
    <xf numFmtId="173" fontId="48" fillId="0" borderId="0" xfId="0" applyNumberFormat="1" applyFont="1" applyAlignment="1">
      <alignment horizontal="center"/>
    </xf>
    <xf numFmtId="0" fontId="62" fillId="0" borderId="0" xfId="0" applyFont="1" applyAlignment="1">
      <alignment horizontal="right"/>
    </xf>
    <xf numFmtId="10" fontId="48" fillId="0" borderId="0" xfId="0" applyNumberFormat="1" applyFont="1" applyAlignment="1">
      <alignment horizontal="center"/>
    </xf>
    <xf numFmtId="10" fontId="48" fillId="0" borderId="8" xfId="0" applyNumberFormat="1" applyFont="1" applyBorder="1" applyAlignment="1">
      <alignment horizontal="center"/>
    </xf>
    <xf numFmtId="173" fontId="56" fillId="0" borderId="8" xfId="0" applyNumberFormat="1" applyFont="1" applyBorder="1" applyAlignment="1">
      <alignment horizontal="center"/>
    </xf>
    <xf numFmtId="0" fontId="48" fillId="0" borderId="8" xfId="0" applyFont="1" applyBorder="1"/>
    <xf numFmtId="0" fontId="48" fillId="0" borderId="7" xfId="0" applyFont="1" applyBorder="1"/>
    <xf numFmtId="37" fontId="48" fillId="0" borderId="7" xfId="0" applyNumberFormat="1" applyFont="1" applyBorder="1" applyAlignment="1">
      <alignment horizontal="center"/>
    </xf>
    <xf numFmtId="37" fontId="56" fillId="0" borderId="0" xfId="0" applyNumberFormat="1" applyFont="1" applyAlignment="1">
      <alignment horizontal="center"/>
    </xf>
    <xf numFmtId="9" fontId="48" fillId="0" borderId="0" xfId="0" applyNumberFormat="1" applyFont="1" applyAlignment="1">
      <alignment horizontal="center"/>
    </xf>
    <xf numFmtId="0" fontId="56" fillId="0" borderId="12" xfId="0" applyFont="1" applyBorder="1" applyAlignment="1">
      <alignment horizontal="left"/>
    </xf>
    <xf numFmtId="173" fontId="56" fillId="0" borderId="12" xfId="0" applyNumberFormat="1" applyFont="1" applyBorder="1" applyAlignment="1">
      <alignment horizontal="center"/>
    </xf>
    <xf numFmtId="0" fontId="48" fillId="0" borderId="10" xfId="0" applyFont="1" applyBorder="1" applyAlignment="1">
      <alignment horizontal="left"/>
    </xf>
    <xf numFmtId="174" fontId="60" fillId="0" borderId="10" xfId="0" applyNumberFormat="1" applyFont="1" applyBorder="1" applyAlignment="1">
      <alignment horizontal="center" vertical="center" wrapText="1"/>
    </xf>
    <xf numFmtId="173" fontId="48" fillId="0" borderId="10" xfId="0" applyNumberFormat="1" applyFont="1" applyBorder="1" applyAlignment="1">
      <alignment horizontal="center"/>
    </xf>
    <xf numFmtId="173" fontId="60" fillId="0" borderId="10" xfId="0" applyNumberFormat="1" applyFont="1" applyBorder="1" applyAlignment="1">
      <alignment horizontal="center" wrapText="1"/>
    </xf>
    <xf numFmtId="165" fontId="48" fillId="0" borderId="10" xfId="0" applyNumberFormat="1" applyFont="1" applyBorder="1" applyAlignment="1">
      <alignment horizontal="center"/>
    </xf>
    <xf numFmtId="39" fontId="60" fillId="0" borderId="10" xfId="0" applyNumberFormat="1" applyFont="1" applyBorder="1" applyAlignment="1">
      <alignment horizontal="center" wrapText="1"/>
    </xf>
    <xf numFmtId="172" fontId="48" fillId="0" borderId="10" xfId="0" applyNumberFormat="1" applyFont="1" applyBorder="1" applyAlignment="1">
      <alignment horizontal="center"/>
    </xf>
    <xf numFmtId="0" fontId="62" fillId="0" borderId="7" xfId="0" applyFont="1" applyBorder="1" applyAlignment="1">
      <alignment horizontal="right"/>
    </xf>
    <xf numFmtId="9" fontId="48" fillId="0" borderId="7" xfId="0" applyNumberFormat="1" applyFont="1" applyBorder="1" applyAlignment="1">
      <alignment horizontal="center"/>
    </xf>
    <xf numFmtId="10" fontId="48" fillId="0" borderId="7" xfId="0" applyNumberFormat="1" applyFont="1" applyBorder="1" applyAlignment="1">
      <alignment horizontal="center"/>
    </xf>
    <xf numFmtId="0" fontId="56" fillId="0" borderId="10" xfId="0" applyFont="1" applyBorder="1" applyAlignment="1">
      <alignment horizontal="left"/>
    </xf>
    <xf numFmtId="165" fontId="48" fillId="0" borderId="0" xfId="0" applyNumberFormat="1" applyFont="1" applyAlignment="1">
      <alignment horizontal="center"/>
    </xf>
    <xf numFmtId="0" fontId="48" fillId="0" borderId="10" xfId="0" applyFont="1" applyBorder="1"/>
    <xf numFmtId="173" fontId="41" fillId="0" borderId="10" xfId="0" applyNumberFormat="1" applyFont="1" applyBorder="1" applyAlignment="1">
      <alignment horizontal="center"/>
    </xf>
    <xf numFmtId="0" fontId="48" fillId="0" borderId="0" xfId="0" applyFont="1" applyAlignment="1">
      <alignment horizontal="center"/>
    </xf>
    <xf numFmtId="0" fontId="41" fillId="0" borderId="0" xfId="0" applyFont="1" applyAlignment="1">
      <alignment horizontal="center"/>
    </xf>
    <xf numFmtId="0" fontId="48" fillId="0" borderId="56" xfId="0" applyFont="1" applyBorder="1" applyAlignment="1">
      <alignment horizontal="left"/>
    </xf>
    <xf numFmtId="173" fontId="48" fillId="0" borderId="56" xfId="0" applyNumberFormat="1" applyFont="1" applyBorder="1" applyAlignment="1">
      <alignment horizontal="center"/>
    </xf>
    <xf numFmtId="165" fontId="48" fillId="0" borderId="0" xfId="0" applyNumberFormat="1" applyFont="1"/>
    <xf numFmtId="0" fontId="48" fillId="0" borderId="56" xfId="0" applyFont="1" applyBorder="1"/>
    <xf numFmtId="44" fontId="48" fillId="0" borderId="0" xfId="1" applyFont="1" applyAlignment="1">
      <alignment horizontal="center"/>
    </xf>
    <xf numFmtId="44" fontId="48" fillId="0" borderId="0" xfId="1" applyFont="1" applyBorder="1" applyAlignment="1">
      <alignment horizontal="center"/>
    </xf>
    <xf numFmtId="10" fontId="48" fillId="0" borderId="0" xfId="2" applyNumberFormat="1" applyFont="1" applyAlignment="1">
      <alignment horizontal="center"/>
    </xf>
    <xf numFmtId="39" fontId="48" fillId="0" borderId="0" xfId="2" applyNumberFormat="1" applyFont="1" applyAlignment="1">
      <alignment horizontal="center"/>
    </xf>
    <xf numFmtId="39" fontId="48" fillId="0" borderId="0" xfId="0" applyNumberFormat="1" applyFont="1" applyAlignment="1">
      <alignment horizontal="center"/>
    </xf>
    <xf numFmtId="0" fontId="48" fillId="0" borderId="7" xfId="0" applyFont="1" applyBorder="1" applyAlignment="1">
      <alignment horizontal="left"/>
    </xf>
    <xf numFmtId="39" fontId="48" fillId="0" borderId="7" xfId="0" applyNumberFormat="1" applyFont="1" applyBorder="1" applyAlignment="1">
      <alignment horizontal="center"/>
    </xf>
    <xf numFmtId="39" fontId="56" fillId="0" borderId="0" xfId="0" applyNumberFormat="1" applyFont="1" applyAlignment="1">
      <alignment horizontal="center"/>
    </xf>
    <xf numFmtId="37" fontId="48" fillId="0" borderId="0" xfId="0" applyNumberFormat="1" applyFont="1"/>
    <xf numFmtId="9" fontId="70" fillId="0" borderId="0" xfId="2" applyFont="1" applyAlignment="1">
      <alignment horizontal="right"/>
    </xf>
    <xf numFmtId="39" fontId="62" fillId="0" borderId="0" xfId="2" applyNumberFormat="1" applyFont="1" applyAlignment="1">
      <alignment horizontal="center"/>
    </xf>
    <xf numFmtId="10" fontId="62" fillId="0" borderId="0" xfId="2" applyNumberFormat="1" applyFont="1" applyAlignment="1">
      <alignment horizontal="center"/>
    </xf>
    <xf numFmtId="9" fontId="62" fillId="0" borderId="0" xfId="2" applyFont="1" applyBorder="1" applyAlignment="1">
      <alignment horizontal="center"/>
    </xf>
    <xf numFmtId="164" fontId="48" fillId="0" borderId="0" xfId="0" applyNumberFormat="1" applyFont="1" applyAlignment="1">
      <alignment horizontal="center"/>
    </xf>
    <xf numFmtId="10" fontId="48" fillId="0" borderId="0" xfId="0" applyNumberFormat="1" applyFont="1"/>
    <xf numFmtId="173" fontId="56" fillId="0" borderId="0" xfId="0" applyNumberFormat="1" applyFont="1" applyAlignment="1">
      <alignment horizontal="center"/>
    </xf>
    <xf numFmtId="0" fontId="48" fillId="0" borderId="7" xfId="0" applyFont="1" applyBorder="1" applyAlignment="1">
      <alignment horizontal="right"/>
    </xf>
    <xf numFmtId="0" fontId="70" fillId="0" borderId="8" xfId="0" applyFont="1" applyBorder="1" applyAlignment="1">
      <alignment horizontal="right"/>
    </xf>
    <xf numFmtId="37" fontId="56" fillId="0" borderId="8" xfId="0" applyNumberFormat="1" applyFont="1" applyBorder="1" applyAlignment="1">
      <alignment horizontal="center"/>
    </xf>
    <xf numFmtId="10" fontId="48" fillId="22" borderId="0" xfId="0" applyNumberFormat="1" applyFont="1" applyFill="1" applyAlignment="1">
      <alignment horizontal="center"/>
    </xf>
    <xf numFmtId="10" fontId="48" fillId="20" borderId="0" xfId="0" applyNumberFormat="1" applyFont="1" applyFill="1" applyAlignment="1">
      <alignment horizontal="center"/>
    </xf>
    <xf numFmtId="173" fontId="48" fillId="0" borderId="12" xfId="0" applyNumberFormat="1" applyFont="1" applyBorder="1" applyAlignment="1">
      <alignment horizontal="center"/>
    </xf>
    <xf numFmtId="165" fontId="56" fillId="0" borderId="7" xfId="0" applyNumberFormat="1" applyFont="1" applyBorder="1" applyAlignment="1">
      <alignment horizontal="center"/>
    </xf>
    <xf numFmtId="173" fontId="55" fillId="0" borderId="10" xfId="0" applyNumberFormat="1" applyFont="1" applyBorder="1" applyAlignment="1">
      <alignment horizontal="center"/>
    </xf>
    <xf numFmtId="10" fontId="55" fillId="0" borderId="0" xfId="0" applyNumberFormat="1" applyFont="1" applyAlignment="1">
      <alignment horizontal="center"/>
    </xf>
    <xf numFmtId="165" fontId="55" fillId="0" borderId="10" xfId="0" applyNumberFormat="1" applyFont="1" applyBorder="1" applyAlignment="1">
      <alignment horizontal="center"/>
    </xf>
    <xf numFmtId="9" fontId="55" fillId="0" borderId="0" xfId="0" applyNumberFormat="1" applyFont="1" applyAlignment="1">
      <alignment horizontal="center"/>
    </xf>
    <xf numFmtId="170" fontId="48" fillId="0" borderId="0" xfId="0" applyNumberFormat="1" applyFont="1" applyAlignment="1">
      <alignment horizontal="center"/>
    </xf>
    <xf numFmtId="170" fontId="48" fillId="0" borderId="7" xfId="0" applyNumberFormat="1" applyFont="1" applyBorder="1" applyAlignment="1">
      <alignment horizontal="center"/>
    </xf>
    <xf numFmtId="170" fontId="56" fillId="0" borderId="7" xfId="0" applyNumberFormat="1" applyFont="1" applyBorder="1" applyAlignment="1">
      <alignment horizontal="center"/>
    </xf>
    <xf numFmtId="0" fontId="56" fillId="0" borderId="0" xfId="0" applyFont="1"/>
    <xf numFmtId="173" fontId="41" fillId="0" borderId="10" xfId="0" applyNumberFormat="1" applyFont="1" applyBorder="1" applyAlignment="1">
      <alignment horizontal="center" wrapText="1"/>
    </xf>
    <xf numFmtId="39" fontId="54" fillId="0" borderId="10" xfId="0" applyNumberFormat="1" applyFont="1" applyBorder="1" applyAlignment="1">
      <alignment horizontal="center" wrapText="1"/>
    </xf>
    <xf numFmtId="10" fontId="54" fillId="0" borderId="7" xfId="0" applyNumberFormat="1" applyFont="1" applyBorder="1" applyAlignment="1">
      <alignment horizontal="center"/>
    </xf>
    <xf numFmtId="0" fontId="7" fillId="19" borderId="0" xfId="0" applyFont="1" applyFill="1" applyAlignment="1">
      <alignment horizontal="center"/>
    </xf>
    <xf numFmtId="173" fontId="44" fillId="0" borderId="10" xfId="0" applyNumberFormat="1" applyFont="1" applyBorder="1" applyAlignment="1">
      <alignment horizontal="center"/>
    </xf>
    <xf numFmtId="0" fontId="41" fillId="0" borderId="10" xfId="0" applyFont="1" applyBorder="1" applyAlignment="1">
      <alignment horizontal="left"/>
    </xf>
    <xf numFmtId="0" fontId="40" fillId="0" borderId="0" xfId="0" applyFont="1" applyAlignment="1">
      <alignment horizontal="right"/>
    </xf>
    <xf numFmtId="10" fontId="41" fillId="17" borderId="0" xfId="0" applyNumberFormat="1" applyFont="1" applyFill="1" applyAlignment="1">
      <alignment horizontal="center"/>
    </xf>
    <xf numFmtId="37" fontId="48" fillId="0" borderId="4" xfId="0" applyNumberFormat="1" applyFont="1" applyBorder="1" applyAlignment="1">
      <alignment horizontal="center"/>
    </xf>
    <xf numFmtId="0" fontId="62" fillId="0" borderId="7" xfId="0" applyFont="1" applyBorder="1" applyAlignment="1">
      <alignment horizontal="left"/>
    </xf>
    <xf numFmtId="37" fontId="62" fillId="0" borderId="7" xfId="0" applyNumberFormat="1" applyFont="1" applyBorder="1" applyAlignment="1">
      <alignment horizontal="center"/>
    </xf>
    <xf numFmtId="37" fontId="62" fillId="0" borderId="6" xfId="0" applyNumberFormat="1" applyFont="1" applyBorder="1" applyAlignment="1">
      <alignment horizontal="center"/>
    </xf>
    <xf numFmtId="0" fontId="73" fillId="0" borderId="0" xfId="0" applyFont="1" applyAlignment="1">
      <alignment horizontal="center"/>
    </xf>
    <xf numFmtId="9" fontId="73" fillId="0" borderId="0" xfId="2" applyFont="1" applyFill="1" applyBorder="1" applyAlignment="1">
      <alignment horizontal="center"/>
    </xf>
    <xf numFmtId="9" fontId="73" fillId="0" borderId="4" xfId="2" applyFont="1" applyFill="1" applyBorder="1" applyAlignment="1">
      <alignment horizontal="center"/>
    </xf>
    <xf numFmtId="0" fontId="48" fillId="0" borderId="4" xfId="0" applyFont="1" applyBorder="1"/>
    <xf numFmtId="0" fontId="48" fillId="0" borderId="6" xfId="0" applyFont="1" applyBorder="1"/>
    <xf numFmtId="0" fontId="52" fillId="0" borderId="7" xfId="0" applyFont="1" applyBorder="1" applyAlignment="1">
      <alignment horizontal="center"/>
    </xf>
    <xf numFmtId="37" fontId="56" fillId="0" borderId="4" xfId="0" applyNumberFormat="1" applyFont="1" applyBorder="1" applyAlignment="1">
      <alignment horizontal="center"/>
    </xf>
    <xf numFmtId="0" fontId="62" fillId="0" borderId="7" xfId="0" applyFont="1" applyBorder="1"/>
    <xf numFmtId="0" fontId="73" fillId="0" borderId="0" xfId="0" applyFont="1"/>
    <xf numFmtId="9" fontId="73" fillId="0" borderId="0" xfId="2" applyFont="1" applyBorder="1" applyAlignment="1">
      <alignment horizontal="center"/>
    </xf>
    <xf numFmtId="9" fontId="73" fillId="0" borderId="4" xfId="2" applyFont="1" applyBorder="1" applyAlignment="1">
      <alignment horizontal="center"/>
    </xf>
    <xf numFmtId="3" fontId="48" fillId="0" borderId="0" xfId="0" applyNumberFormat="1" applyFont="1" applyAlignment="1">
      <alignment horizontal="center"/>
    </xf>
    <xf numFmtId="0" fontId="74" fillId="0" borderId="0" xfId="0" applyFont="1"/>
    <xf numFmtId="9" fontId="74" fillId="0" borderId="0" xfId="2" applyFont="1" applyBorder="1" applyAlignment="1">
      <alignment horizontal="center"/>
    </xf>
    <xf numFmtId="9" fontId="74" fillId="0" borderId="4" xfId="2" applyFont="1" applyBorder="1" applyAlignment="1">
      <alignment horizontal="center"/>
    </xf>
    <xf numFmtId="9" fontId="74" fillId="0" borderId="0" xfId="2" applyFont="1" applyAlignment="1">
      <alignment horizontal="center"/>
    </xf>
    <xf numFmtId="165" fontId="48" fillId="0" borderId="4" xfId="0" applyNumberFormat="1" applyFont="1" applyBorder="1" applyAlignment="1">
      <alignment horizontal="center"/>
    </xf>
    <xf numFmtId="0" fontId="74" fillId="0" borderId="7" xfId="0" applyFont="1" applyBorder="1"/>
    <xf numFmtId="9" fontId="74" fillId="0" borderId="7" xfId="2" applyFont="1" applyBorder="1" applyAlignment="1">
      <alignment horizontal="center"/>
    </xf>
    <xf numFmtId="9" fontId="74" fillId="0" borderId="6" xfId="2" applyFont="1" applyBorder="1" applyAlignment="1">
      <alignment horizontal="center"/>
    </xf>
    <xf numFmtId="37" fontId="48" fillId="0" borderId="2" xfId="0" applyNumberFormat="1" applyFont="1" applyBorder="1" applyAlignment="1">
      <alignment horizontal="center"/>
    </xf>
    <xf numFmtId="1" fontId="48" fillId="0" borderId="0" xfId="0" applyNumberFormat="1" applyFont="1" applyAlignment="1">
      <alignment horizontal="center"/>
    </xf>
    <xf numFmtId="1" fontId="48" fillId="0" borderId="4" xfId="0" applyNumberFormat="1" applyFont="1" applyBorder="1" applyAlignment="1">
      <alignment horizontal="center"/>
    </xf>
    <xf numFmtId="0" fontId="48" fillId="0" borderId="18" xfId="0" applyFont="1" applyBorder="1"/>
    <xf numFmtId="37" fontId="48" fillId="0" borderId="19" xfId="0" applyNumberFormat="1" applyFont="1" applyBorder="1" applyAlignment="1">
      <alignment horizontal="center"/>
    </xf>
    <xf numFmtId="37" fontId="48" fillId="0" borderId="17" xfId="0" applyNumberFormat="1" applyFont="1" applyBorder="1" applyAlignment="1">
      <alignment horizontal="center"/>
    </xf>
    <xf numFmtId="0" fontId="56" fillId="0" borderId="4" xfId="0" applyFont="1" applyBorder="1"/>
    <xf numFmtId="0" fontId="13" fillId="9" borderId="16" xfId="0" applyFont="1" applyFill="1" applyBorder="1" applyAlignment="1">
      <alignment horizontal="left"/>
    </xf>
    <xf numFmtId="0" fontId="13" fillId="9" borderId="16" xfId="0" applyFont="1" applyFill="1" applyBorder="1" applyAlignment="1">
      <alignment horizontal="right"/>
    </xf>
    <xf numFmtId="0" fontId="72" fillId="21" borderId="0" xfId="0" applyFont="1" applyFill="1" applyAlignment="1">
      <alignment horizontal="center"/>
    </xf>
    <xf numFmtId="0" fontId="71" fillId="21" borderId="0" xfId="0" applyFont="1" applyFill="1" applyAlignment="1">
      <alignment horizontal="center"/>
    </xf>
    <xf numFmtId="0" fontId="71" fillId="21" borderId="4" xfId="0" applyFont="1" applyFill="1" applyBorder="1" applyAlignment="1">
      <alignment horizontal="center"/>
    </xf>
    <xf numFmtId="173" fontId="48" fillId="0" borderId="0" xfId="0" applyNumberFormat="1" applyFont="1"/>
    <xf numFmtId="0" fontId="48" fillId="0" borderId="67" xfId="0" applyFont="1" applyBorder="1"/>
    <xf numFmtId="9" fontId="56" fillId="0" borderId="0" xfId="2" applyFont="1" applyBorder="1" applyAlignment="1">
      <alignment horizontal="center"/>
    </xf>
    <xf numFmtId="10" fontId="55" fillId="0" borderId="0" xfId="0" applyNumberFormat="1" applyFont="1"/>
    <xf numFmtId="43" fontId="55" fillId="16" borderId="27" xfId="0" applyNumberFormat="1" applyFont="1" applyFill="1" applyBorder="1" applyAlignment="1">
      <alignment vertical="center" wrapText="1"/>
    </xf>
    <xf numFmtId="0" fontId="41" fillId="0" borderId="0" xfId="0" applyFont="1" applyAlignment="1">
      <alignment vertical="center"/>
    </xf>
    <xf numFmtId="0" fontId="76" fillId="0" borderId="13" xfId="0" applyFont="1" applyBorder="1" applyAlignment="1">
      <alignment vertical="center"/>
    </xf>
    <xf numFmtId="0" fontId="76" fillId="0" borderId="69" xfId="0" applyFont="1" applyBorder="1" applyAlignment="1">
      <alignment vertical="center"/>
    </xf>
    <xf numFmtId="0" fontId="45" fillId="0" borderId="13" xfId="0" applyFont="1" applyBorder="1" applyAlignment="1">
      <alignment horizontal="center" vertical="center"/>
    </xf>
    <xf numFmtId="0" fontId="45" fillId="0" borderId="69" xfId="0" applyFont="1" applyBorder="1" applyAlignment="1">
      <alignment horizontal="center" vertical="center"/>
    </xf>
    <xf numFmtId="0" fontId="75" fillId="0" borderId="70" xfId="0" applyFont="1" applyBorder="1" applyAlignment="1">
      <alignment horizontal="center" vertical="center"/>
    </xf>
    <xf numFmtId="0" fontId="75" fillId="0" borderId="6" xfId="0" applyFont="1" applyBorder="1" applyAlignment="1">
      <alignment horizontal="center" vertical="center"/>
    </xf>
    <xf numFmtId="0" fontId="75" fillId="0" borderId="58" xfId="0" applyFont="1" applyBorder="1" applyAlignment="1">
      <alignment horizontal="center" vertical="center"/>
    </xf>
    <xf numFmtId="0" fontId="45" fillId="0" borderId="70" xfId="0" applyFont="1" applyBorder="1" applyAlignment="1">
      <alignment horizontal="center" vertical="center"/>
    </xf>
    <xf numFmtId="0" fontId="45" fillId="0" borderId="6" xfId="0" applyFont="1" applyBorder="1" applyAlignment="1">
      <alignment horizontal="center" vertical="center"/>
    </xf>
    <xf numFmtId="0" fontId="45" fillId="0" borderId="58" xfId="0" applyFont="1" applyBorder="1" applyAlignment="1">
      <alignment horizontal="center" vertical="center"/>
    </xf>
    <xf numFmtId="0" fontId="53" fillId="0" borderId="70" xfId="0" applyFont="1" applyBorder="1" applyAlignment="1">
      <alignment horizontal="center" vertical="center"/>
    </xf>
    <xf numFmtId="0" fontId="53" fillId="0" borderId="6" xfId="0" applyFont="1" applyBorder="1" applyAlignment="1">
      <alignment horizontal="center" vertical="center"/>
    </xf>
    <xf numFmtId="10" fontId="53" fillId="0" borderId="58" xfId="0" applyNumberFormat="1" applyFont="1" applyBorder="1" applyAlignment="1">
      <alignment horizontal="center" vertical="center"/>
    </xf>
    <xf numFmtId="0" fontId="53" fillId="0" borderId="4" xfId="0" applyFont="1" applyBorder="1" applyAlignment="1">
      <alignment horizontal="center" vertical="center"/>
    </xf>
    <xf numFmtId="0" fontId="53" fillId="0" borderId="7" xfId="0" applyFont="1" applyBorder="1" applyAlignment="1">
      <alignment horizontal="center" vertical="center"/>
    </xf>
    <xf numFmtId="0" fontId="53" fillId="0" borderId="71" xfId="0" applyFont="1" applyBorder="1" applyAlignment="1">
      <alignment horizontal="center" vertical="center"/>
    </xf>
    <xf numFmtId="0" fontId="53" fillId="0" borderId="72" xfId="0" applyFont="1" applyBorder="1" applyAlignment="1">
      <alignment horizontal="center" vertical="center"/>
    </xf>
    <xf numFmtId="0" fontId="53" fillId="0" borderId="18" xfId="0" applyFont="1" applyBorder="1" applyAlignment="1">
      <alignment horizontal="center" vertical="center"/>
    </xf>
    <xf numFmtId="10" fontId="53" fillId="16" borderId="44" xfId="0" applyNumberFormat="1" applyFont="1" applyFill="1" applyBorder="1" applyAlignment="1">
      <alignment horizontal="center" vertical="center"/>
    </xf>
    <xf numFmtId="10" fontId="48" fillId="0" borderId="35" xfId="0" applyNumberFormat="1" applyFont="1" applyBorder="1" applyAlignment="1">
      <alignment vertical="center" wrapText="1"/>
    </xf>
    <xf numFmtId="0" fontId="41" fillId="0" borderId="0" xfId="0" applyFont="1" applyAlignment="1">
      <alignment vertical="center" wrapText="1"/>
    </xf>
    <xf numFmtId="0" fontId="40" fillId="0" borderId="34" xfId="0" applyFont="1" applyBorder="1" applyAlignment="1">
      <alignment horizontal="left" vertical="center" wrapText="1"/>
    </xf>
    <xf numFmtId="0" fontId="41" fillId="0" borderId="34" xfId="0" applyFont="1" applyBorder="1" applyAlignment="1">
      <alignment vertical="center" wrapText="1"/>
    </xf>
    <xf numFmtId="0" fontId="41" fillId="0" borderId="35" xfId="0" applyFont="1" applyBorder="1" applyAlignment="1">
      <alignment horizontal="right" vertical="center" wrapText="1"/>
    </xf>
    <xf numFmtId="10" fontId="41" fillId="0" borderId="35" xfId="0" applyNumberFormat="1" applyFont="1" applyBorder="1" applyAlignment="1">
      <alignment horizontal="right" vertical="center" wrapText="1"/>
    </xf>
    <xf numFmtId="0" fontId="42" fillId="0" borderId="60" xfId="0" applyFont="1" applyBorder="1" applyAlignment="1">
      <alignment horizontal="left" vertical="center" wrapText="1"/>
    </xf>
    <xf numFmtId="0" fontId="41" fillId="16" borderId="34" xfId="0" applyFont="1" applyFill="1" applyBorder="1" applyAlignment="1">
      <alignment horizontal="left" vertical="center" wrapText="1"/>
    </xf>
    <xf numFmtId="0" fontId="41" fillId="16" borderId="35" xfId="0" applyFont="1" applyFill="1" applyBorder="1" applyAlignment="1">
      <alignment vertical="center" wrapText="1"/>
    </xf>
    <xf numFmtId="0" fontId="41" fillId="16" borderId="35" xfId="0" applyFont="1" applyFill="1" applyBorder="1" applyAlignment="1">
      <alignment horizontal="right" vertical="center" wrapText="1"/>
    </xf>
    <xf numFmtId="0" fontId="41" fillId="16" borderId="34" xfId="0" applyFont="1" applyFill="1" applyBorder="1" applyAlignment="1">
      <alignment vertical="center" wrapText="1"/>
    </xf>
    <xf numFmtId="10" fontId="44" fillId="0" borderId="35" xfId="0" applyNumberFormat="1" applyFont="1" applyBorder="1" applyAlignment="1">
      <alignment horizontal="right" vertical="center" wrapText="1"/>
    </xf>
    <xf numFmtId="0" fontId="44" fillId="0" borderId="35" xfId="0" applyFont="1" applyBorder="1" applyAlignment="1">
      <alignment vertical="center" wrapText="1"/>
    </xf>
    <xf numFmtId="0" fontId="41" fillId="0" borderId="73" xfId="0" applyFont="1" applyBorder="1" applyAlignment="1">
      <alignment horizontal="left" vertical="center" wrapText="1"/>
    </xf>
    <xf numFmtId="0" fontId="41" fillId="0" borderId="74" xfId="0" applyFont="1" applyBorder="1" applyAlignment="1">
      <alignment horizontal="left" vertical="center" wrapText="1"/>
    </xf>
    <xf numFmtId="0" fontId="41" fillId="16" borderId="75" xfId="0" applyFont="1" applyFill="1" applyBorder="1" applyAlignment="1">
      <alignment vertical="center" wrapText="1"/>
    </xf>
    <xf numFmtId="0" fontId="41" fillId="16" borderId="75" xfId="0" applyFont="1" applyFill="1" applyBorder="1" applyAlignment="1">
      <alignment horizontal="right" vertical="center" wrapText="1"/>
    </xf>
    <xf numFmtId="173" fontId="46" fillId="17" borderId="35" xfId="0" applyNumberFormat="1" applyFont="1" applyFill="1" applyBorder="1" applyAlignment="1">
      <alignment horizontal="right" vertical="center"/>
    </xf>
    <xf numFmtId="173" fontId="42" fillId="16" borderId="61" xfId="0" applyNumberFormat="1" applyFont="1" applyFill="1" applyBorder="1" applyAlignment="1">
      <alignment horizontal="right" vertical="center" wrapText="1"/>
    </xf>
    <xf numFmtId="173" fontId="41" fillId="16" borderId="35" xfId="0" applyNumberFormat="1" applyFont="1" applyFill="1" applyBorder="1" applyAlignment="1">
      <alignment horizontal="right" vertical="center" wrapText="1"/>
    </xf>
    <xf numFmtId="173" fontId="42" fillId="18" borderId="37" xfId="0" applyNumberFormat="1" applyFont="1" applyFill="1" applyBorder="1" applyAlignment="1">
      <alignment horizontal="right" vertical="center" wrapText="1"/>
    </xf>
    <xf numFmtId="2" fontId="44" fillId="0" borderId="35" xfId="0" applyNumberFormat="1" applyFont="1" applyBorder="1" applyAlignment="1">
      <alignment vertical="center" wrapText="1"/>
    </xf>
    <xf numFmtId="0" fontId="41" fillId="15" borderId="14" xfId="0" applyFont="1" applyFill="1" applyBorder="1"/>
    <xf numFmtId="0" fontId="47" fillId="15" borderId="23" xfId="0" applyFont="1" applyFill="1" applyBorder="1"/>
    <xf numFmtId="0" fontId="41" fillId="15" borderId="23" xfId="0" applyFont="1" applyFill="1" applyBorder="1"/>
    <xf numFmtId="0" fontId="45" fillId="0" borderId="77" xfId="0" applyFont="1" applyBorder="1" applyAlignment="1">
      <alignment horizontal="center"/>
    </xf>
    <xf numFmtId="0" fontId="45" fillId="0" borderId="70" xfId="0" applyFont="1" applyBorder="1"/>
    <xf numFmtId="0" fontId="45" fillId="0" borderId="78" xfId="0" applyFont="1" applyBorder="1"/>
    <xf numFmtId="10" fontId="53" fillId="0" borderId="78" xfId="0" applyNumberFormat="1" applyFont="1" applyBorder="1" applyAlignment="1">
      <alignment horizontal="center"/>
    </xf>
    <xf numFmtId="0" fontId="53" fillId="0" borderId="62" xfId="0" applyFont="1" applyBorder="1" applyAlignment="1">
      <alignment horizontal="left"/>
    </xf>
    <xf numFmtId="10" fontId="53" fillId="0" borderId="63" xfId="0" applyNumberFormat="1" applyFont="1" applyBorder="1"/>
    <xf numFmtId="10" fontId="53" fillId="0" borderId="63" xfId="0" applyNumberFormat="1" applyFont="1" applyBorder="1" applyAlignment="1">
      <alignment horizontal="center"/>
    </xf>
    <xf numFmtId="10" fontId="53" fillId="0" borderId="79" xfId="0" applyNumberFormat="1" applyFont="1" applyBorder="1" applyAlignment="1">
      <alignment horizontal="center"/>
    </xf>
    <xf numFmtId="10" fontId="47" fillId="15" borderId="49" xfId="0" applyNumberFormat="1" applyFont="1" applyFill="1" applyBorder="1" applyAlignment="1">
      <alignment horizontal="center"/>
    </xf>
    <xf numFmtId="0" fontId="53" fillId="0" borderId="64" xfId="0" applyFont="1" applyBorder="1" applyAlignment="1">
      <alignment horizontal="left"/>
    </xf>
    <xf numFmtId="10" fontId="53" fillId="0" borderId="65" xfId="0" applyNumberFormat="1" applyFont="1" applyBorder="1"/>
    <xf numFmtId="0" fontId="42" fillId="0" borderId="14" xfId="0" applyFont="1" applyBorder="1"/>
    <xf numFmtId="0" fontId="41" fillId="0" borderId="23" xfId="0" applyFont="1" applyBorder="1"/>
    <xf numFmtId="10" fontId="45" fillId="17" borderId="49" xfId="0" applyNumberFormat="1" applyFont="1" applyFill="1" applyBorder="1" applyAlignment="1">
      <alignment horizontal="center" vertical="center"/>
    </xf>
    <xf numFmtId="10" fontId="47" fillId="15" borderId="49" xfId="0" applyNumberFormat="1" applyFont="1" applyFill="1" applyBorder="1" applyAlignment="1">
      <alignment horizontal="center" vertical="center"/>
    </xf>
    <xf numFmtId="37" fontId="44" fillId="0" borderId="35" xfId="0" applyNumberFormat="1" applyFont="1" applyBorder="1" applyAlignment="1">
      <alignment vertical="center" wrapText="1"/>
    </xf>
    <xf numFmtId="10" fontId="42" fillId="18" borderId="37" xfId="0" applyNumberFormat="1" applyFont="1" applyFill="1" applyBorder="1" applyAlignment="1">
      <alignment vertical="center" wrapText="1"/>
    </xf>
    <xf numFmtId="44" fontId="44" fillId="0" borderId="35" xfId="0" applyNumberFormat="1" applyFont="1" applyBorder="1" applyAlignment="1">
      <alignment vertical="center" wrapText="1"/>
    </xf>
    <xf numFmtId="44" fontId="41" fillId="0" borderId="35" xfId="0" applyNumberFormat="1" applyFont="1" applyBorder="1" applyAlignment="1">
      <alignment vertical="center" wrapText="1"/>
    </xf>
    <xf numFmtId="0" fontId="41" fillId="23" borderId="0" xfId="0" applyFont="1" applyFill="1" applyAlignment="1">
      <alignment horizontal="right" vertical="center" wrapText="1"/>
    </xf>
    <xf numFmtId="0" fontId="42" fillId="23" borderId="0" xfId="0" applyFont="1" applyFill="1" applyAlignment="1">
      <alignment horizontal="right" vertical="center" wrapText="1"/>
    </xf>
    <xf numFmtId="0" fontId="41" fillId="23" borderId="82" xfId="0" applyFont="1" applyFill="1" applyBorder="1" applyAlignment="1">
      <alignment horizontal="right" vertical="center" wrapText="1"/>
    </xf>
    <xf numFmtId="0" fontId="41" fillId="23" borderId="82" xfId="0" applyFont="1" applyFill="1" applyBorder="1" applyAlignment="1">
      <alignment horizontal="left" vertical="center" wrapText="1"/>
    </xf>
    <xf numFmtId="0" fontId="42" fillId="24" borderId="34" xfId="0" applyFont="1" applyFill="1" applyBorder="1" applyAlignment="1">
      <alignment horizontal="left" vertical="center" wrapText="1"/>
    </xf>
    <xf numFmtId="10" fontId="42" fillId="24" borderId="35" xfId="0" applyNumberFormat="1" applyFont="1" applyFill="1" applyBorder="1" applyAlignment="1">
      <alignment horizontal="right" vertical="center" wrapText="1"/>
    </xf>
    <xf numFmtId="0" fontId="41" fillId="0" borderId="83" xfId="0" applyFont="1" applyBorder="1" applyAlignment="1">
      <alignment vertical="center" wrapText="1"/>
    </xf>
    <xf numFmtId="0" fontId="42" fillId="18" borderId="84" xfId="0" applyFont="1" applyFill="1" applyBorder="1" applyAlignment="1">
      <alignment vertical="center" wrapText="1"/>
    </xf>
    <xf numFmtId="0" fontId="41" fillId="16" borderId="83" xfId="0" applyFont="1" applyFill="1" applyBorder="1" applyAlignment="1">
      <alignment vertical="center" wrapText="1"/>
    </xf>
    <xf numFmtId="0" fontId="41" fillId="0" borderId="85" xfId="0" applyFont="1" applyBorder="1" applyAlignment="1">
      <alignment horizontal="left" vertical="center" wrapText="1"/>
    </xf>
    <xf numFmtId="0" fontId="41" fillId="0" borderId="86" xfId="0" applyFont="1" applyBorder="1" applyAlignment="1">
      <alignment vertical="center" wrapText="1"/>
    </xf>
    <xf numFmtId="0" fontId="42" fillId="23" borderId="0" xfId="0" applyFont="1" applyFill="1" applyAlignment="1">
      <alignment vertical="center" wrapText="1"/>
    </xf>
    <xf numFmtId="0" fontId="42" fillId="24" borderId="87" xfId="0" applyFont="1" applyFill="1" applyBorder="1" applyAlignment="1">
      <alignment vertical="center" wrapText="1"/>
    </xf>
    <xf numFmtId="10" fontId="42" fillId="24" borderId="88" xfId="0" applyNumberFormat="1" applyFont="1" applyFill="1" applyBorder="1" applyAlignment="1">
      <alignment horizontal="right" vertical="center" wrapText="1"/>
    </xf>
    <xf numFmtId="44" fontId="41" fillId="0" borderId="35" xfId="0" applyNumberFormat="1" applyFont="1" applyBorder="1" applyAlignment="1">
      <alignment horizontal="right" vertical="center" wrapText="1"/>
    </xf>
    <xf numFmtId="0" fontId="41" fillId="0" borderId="34" xfId="0" applyFont="1" applyBorder="1" applyAlignment="1">
      <alignment horizontal="left" vertical="center"/>
    </xf>
    <xf numFmtId="0" fontId="41" fillId="16" borderId="0" xfId="0" applyFont="1" applyFill="1" applyAlignment="1">
      <alignment horizontal="right" vertical="center" wrapText="1"/>
    </xf>
    <xf numFmtId="0" fontId="40" fillId="0" borderId="57" xfId="0" applyFont="1" applyBorder="1" applyAlignment="1">
      <alignment horizontal="left" vertical="center"/>
    </xf>
    <xf numFmtId="0" fontId="41" fillId="16" borderId="7" xfId="0" applyFont="1" applyFill="1" applyBorder="1" applyAlignment="1">
      <alignment horizontal="right" vertical="center" wrapText="1"/>
    </xf>
    <xf numFmtId="0" fontId="41" fillId="16" borderId="7" xfId="0" applyFont="1" applyFill="1" applyBorder="1" applyAlignment="1">
      <alignment horizontal="right" vertical="center"/>
    </xf>
    <xf numFmtId="0" fontId="42" fillId="16" borderId="60" xfId="0" applyFont="1" applyFill="1" applyBorder="1" applyAlignment="1">
      <alignment horizontal="left" vertical="center"/>
    </xf>
    <xf numFmtId="0" fontId="41" fillId="0" borderId="0" xfId="0" applyFont="1" applyAlignment="1">
      <alignment horizontal="right" vertical="center"/>
    </xf>
    <xf numFmtId="0" fontId="41" fillId="0" borderId="34" xfId="0" applyFont="1" applyBorder="1" applyAlignment="1">
      <alignment horizontal="right" vertical="center"/>
    </xf>
    <xf numFmtId="0" fontId="41" fillId="0" borderId="35" xfId="0" applyFont="1" applyBorder="1" applyAlignment="1">
      <alignment horizontal="right" vertical="center"/>
    </xf>
    <xf numFmtId="0" fontId="42" fillId="0" borderId="60" xfId="0" applyFont="1" applyBorder="1" applyAlignment="1">
      <alignment horizontal="left" vertical="center"/>
    </xf>
    <xf numFmtId="0" fontId="42" fillId="16" borderId="34" xfId="0" applyFont="1" applyFill="1" applyBorder="1" applyAlignment="1">
      <alignment horizontal="left" vertical="center"/>
    </xf>
    <xf numFmtId="0" fontId="42" fillId="0" borderId="34" xfId="0" applyFont="1" applyBorder="1" applyAlignment="1">
      <alignment horizontal="left" vertical="center"/>
    </xf>
    <xf numFmtId="0" fontId="42" fillId="16" borderId="36" xfId="0" applyFont="1" applyFill="1" applyBorder="1" applyAlignment="1">
      <alignment horizontal="left" vertical="center"/>
    </xf>
    <xf numFmtId="0" fontId="41" fillId="0" borderId="34" xfId="0" applyFont="1" applyBorder="1" applyAlignment="1">
      <alignment vertical="center"/>
    </xf>
    <xf numFmtId="0" fontId="40" fillId="0" borderId="34" xfId="0" applyFont="1" applyBorder="1" applyAlignment="1">
      <alignment vertical="center"/>
    </xf>
    <xf numFmtId="0" fontId="42" fillId="16" borderId="36" xfId="0" applyFont="1" applyFill="1" applyBorder="1" applyAlignment="1">
      <alignment vertical="center"/>
    </xf>
    <xf numFmtId="0" fontId="42" fillId="16" borderId="76" xfId="0" applyFont="1" applyFill="1" applyBorder="1" applyAlignment="1">
      <alignment vertical="center"/>
    </xf>
    <xf numFmtId="0" fontId="41" fillId="16" borderId="0" xfId="0" applyFont="1" applyFill="1" applyAlignment="1">
      <alignment vertical="center"/>
    </xf>
    <xf numFmtId="0" fontId="41" fillId="16" borderId="34" xfId="0" applyFont="1" applyFill="1" applyBorder="1" applyAlignment="1">
      <alignment vertical="center"/>
    </xf>
    <xf numFmtId="10" fontId="41" fillId="16" borderId="35" xfId="0" applyNumberFormat="1" applyFont="1" applyFill="1" applyBorder="1" applyAlignment="1">
      <alignment horizontal="right" vertical="center"/>
    </xf>
    <xf numFmtId="0" fontId="41" fillId="16" borderId="34" xfId="0" applyFont="1" applyFill="1" applyBorder="1" applyAlignment="1">
      <alignment horizontal="left" vertical="center"/>
    </xf>
    <xf numFmtId="10" fontId="41" fillId="0" borderId="35" xfId="0" applyNumberFormat="1" applyFont="1" applyBorder="1" applyAlignment="1">
      <alignment horizontal="right" vertical="center"/>
    </xf>
    <xf numFmtId="0" fontId="40" fillId="16" borderId="34" xfId="0" applyFont="1" applyFill="1" applyBorder="1" applyAlignment="1">
      <alignment horizontal="left" vertical="center"/>
    </xf>
    <xf numFmtId="0" fontId="41" fillId="0" borderId="76" xfId="0" applyFont="1" applyBorder="1" applyAlignment="1">
      <alignment vertical="center"/>
    </xf>
    <xf numFmtId="10" fontId="42" fillId="16" borderId="37" xfId="0" applyNumberFormat="1" applyFont="1" applyFill="1" applyBorder="1" applyAlignment="1">
      <alignment horizontal="right" vertical="center"/>
    </xf>
    <xf numFmtId="0" fontId="78" fillId="18" borderId="36" xfId="0" applyFont="1" applyFill="1" applyBorder="1" applyAlignment="1">
      <alignment vertical="center"/>
    </xf>
    <xf numFmtId="0" fontId="41" fillId="18" borderId="76" xfId="0" applyFont="1" applyFill="1" applyBorder="1" applyAlignment="1">
      <alignment vertical="center"/>
    </xf>
    <xf numFmtId="0" fontId="78" fillId="18" borderId="76" xfId="0" applyFont="1" applyFill="1" applyBorder="1" applyAlignment="1">
      <alignment vertical="center"/>
    </xf>
    <xf numFmtId="0" fontId="47" fillId="23" borderId="0" xfId="0" applyFont="1" applyFill="1" applyAlignment="1">
      <alignment horizontal="left" vertical="center"/>
    </xf>
    <xf numFmtId="0" fontId="47" fillId="23" borderId="0" xfId="0" applyFont="1" applyFill="1" applyAlignment="1">
      <alignment vertical="center"/>
    </xf>
    <xf numFmtId="0" fontId="41" fillId="23" borderId="0" xfId="0" applyFont="1" applyFill="1" applyAlignment="1">
      <alignment horizontal="left" vertical="center"/>
    </xf>
    <xf numFmtId="0" fontId="41" fillId="23" borderId="0" xfId="0" applyFont="1" applyFill="1" applyAlignment="1">
      <alignment vertical="center"/>
    </xf>
    <xf numFmtId="0" fontId="53" fillId="20" borderId="0" xfId="0" applyFont="1" applyFill="1" applyAlignment="1">
      <alignment horizontal="right" vertical="center"/>
    </xf>
    <xf numFmtId="4" fontId="41" fillId="20" borderId="0" xfId="0" applyNumberFormat="1" applyFont="1" applyFill="1" applyAlignment="1">
      <alignment horizontal="right" vertical="center"/>
    </xf>
    <xf numFmtId="0" fontId="41" fillId="20" borderId="0" xfId="0" applyFont="1" applyFill="1" applyAlignment="1">
      <alignment horizontal="right" vertical="center"/>
    </xf>
    <xf numFmtId="0" fontId="40" fillId="23" borderId="0" xfId="0" applyFont="1" applyFill="1" applyAlignment="1">
      <alignment horizontal="left" vertical="center"/>
    </xf>
    <xf numFmtId="0" fontId="42" fillId="23" borderId="0" xfId="0" applyFont="1" applyFill="1" applyAlignment="1">
      <alignment horizontal="left" vertical="center"/>
    </xf>
    <xf numFmtId="0" fontId="42" fillId="23" borderId="0" xfId="0" applyFont="1" applyFill="1" applyAlignment="1">
      <alignment horizontal="right" vertical="center"/>
    </xf>
    <xf numFmtId="0" fontId="41" fillId="23" borderId="0" xfId="0" applyFont="1" applyFill="1" applyAlignment="1">
      <alignment horizontal="right" vertical="center"/>
    </xf>
    <xf numFmtId="0" fontId="78" fillId="23" borderId="0" xfId="0" applyFont="1" applyFill="1" applyAlignment="1">
      <alignment horizontal="left" vertical="center"/>
    </xf>
    <xf numFmtId="0" fontId="78" fillId="23" borderId="0" xfId="0" applyFont="1" applyFill="1" applyAlignment="1">
      <alignment vertical="center"/>
    </xf>
    <xf numFmtId="0" fontId="45" fillId="23" borderId="0" xfId="0" applyFont="1" applyFill="1" applyAlignment="1">
      <alignment horizontal="right" vertical="center"/>
    </xf>
    <xf numFmtId="0" fontId="41" fillId="20" borderId="0" xfId="0" applyFont="1" applyFill="1"/>
    <xf numFmtId="0" fontId="41" fillId="16" borderId="12" xfId="0" applyFont="1" applyFill="1" applyBorder="1" applyAlignment="1">
      <alignment horizontal="right" vertical="center"/>
    </xf>
    <xf numFmtId="0" fontId="41" fillId="16" borderId="92" xfId="0" applyFont="1" applyFill="1" applyBorder="1" applyAlignment="1">
      <alignment horizontal="right" vertical="center"/>
    </xf>
    <xf numFmtId="0" fontId="41" fillId="16" borderId="95" xfId="0" applyFont="1" applyFill="1" applyBorder="1" applyAlignment="1">
      <alignment horizontal="right" vertical="center"/>
    </xf>
    <xf numFmtId="0" fontId="41" fillId="0" borderId="96" xfId="0" applyFont="1" applyBorder="1" applyAlignment="1">
      <alignment vertical="center"/>
    </xf>
    <xf numFmtId="173" fontId="42" fillId="16" borderId="10" xfId="0" applyNumberFormat="1" applyFont="1" applyFill="1" applyBorder="1" applyAlignment="1">
      <alignment horizontal="right" vertical="center"/>
    </xf>
    <xf numFmtId="173" fontId="41" fillId="0" borderId="0" xfId="0" applyNumberFormat="1" applyFont="1" applyAlignment="1">
      <alignment horizontal="right" vertical="center"/>
    </xf>
    <xf numFmtId="173" fontId="41" fillId="16" borderId="0" xfId="0" applyNumberFormat="1" applyFont="1" applyFill="1" applyAlignment="1">
      <alignment horizontal="right" vertical="center"/>
    </xf>
    <xf numFmtId="173" fontId="41" fillId="0" borderId="93" xfId="0" applyNumberFormat="1" applyFont="1" applyBorder="1" applyAlignment="1">
      <alignment horizontal="right" vertical="center"/>
    </xf>
    <xf numFmtId="173" fontId="41" fillId="0" borderId="82" xfId="0" applyNumberFormat="1" applyFont="1" applyBorder="1" applyAlignment="1">
      <alignment horizontal="right" vertical="center"/>
    </xf>
    <xf numFmtId="173" fontId="41" fillId="16" borderId="82" xfId="0" applyNumberFormat="1" applyFont="1" applyFill="1" applyBorder="1" applyAlignment="1">
      <alignment horizontal="right" vertical="center"/>
    </xf>
    <xf numFmtId="173" fontId="41" fillId="0" borderId="94" xfId="0" applyNumberFormat="1" applyFont="1" applyBorder="1" applyAlignment="1">
      <alignment horizontal="right" vertical="center"/>
    </xf>
    <xf numFmtId="173" fontId="42" fillId="16" borderId="76" xfId="0" applyNumberFormat="1" applyFont="1" applyFill="1" applyBorder="1" applyAlignment="1">
      <alignment horizontal="right" vertical="center"/>
    </xf>
    <xf numFmtId="173" fontId="42" fillId="0" borderId="97" xfId="0" applyNumberFormat="1" applyFont="1" applyBorder="1" applyAlignment="1">
      <alignment horizontal="right" vertical="center"/>
    </xf>
    <xf numFmtId="173" fontId="42" fillId="0" borderId="98" xfId="0" applyNumberFormat="1" applyFont="1" applyBorder="1" applyAlignment="1">
      <alignment horizontal="right" vertical="center"/>
    </xf>
    <xf numFmtId="173" fontId="42" fillId="16" borderId="36" xfId="0" applyNumberFormat="1" applyFont="1" applyFill="1" applyBorder="1" applyAlignment="1">
      <alignment horizontal="right" vertical="center"/>
    </xf>
    <xf numFmtId="173" fontId="42" fillId="16" borderId="37" xfId="0" applyNumberFormat="1" applyFont="1" applyFill="1" applyBorder="1" applyAlignment="1">
      <alignment horizontal="right" vertical="center"/>
    </xf>
    <xf numFmtId="2" fontId="41" fillId="16" borderId="35" xfId="0" applyNumberFormat="1" applyFont="1" applyFill="1" applyBorder="1" applyAlignment="1">
      <alignment horizontal="right" vertical="center"/>
    </xf>
    <xf numFmtId="44" fontId="41" fillId="0" borderId="35" xfId="0" applyNumberFormat="1" applyFont="1" applyBorder="1" applyAlignment="1">
      <alignment horizontal="right" vertical="center"/>
    </xf>
    <xf numFmtId="10" fontId="41" fillId="20" borderId="0" xfId="0" applyNumberFormat="1" applyFont="1" applyFill="1" applyAlignment="1">
      <alignment horizontal="right" vertical="center"/>
    </xf>
    <xf numFmtId="0" fontId="42" fillId="23" borderId="0" xfId="0" applyFont="1" applyFill="1" applyAlignment="1">
      <alignment vertical="center"/>
    </xf>
    <xf numFmtId="0" fontId="42" fillId="24" borderId="99" xfId="0" applyFont="1" applyFill="1" applyBorder="1" applyAlignment="1">
      <alignment horizontal="left" vertical="center"/>
    </xf>
    <xf numFmtId="0" fontId="42" fillId="24" borderId="100" xfId="0" applyFont="1" applyFill="1" applyBorder="1" applyAlignment="1">
      <alignment vertical="center"/>
    </xf>
    <xf numFmtId="10" fontId="42" fillId="25" borderId="101" xfId="0" applyNumberFormat="1" applyFont="1" applyFill="1" applyBorder="1" applyAlignment="1">
      <alignment horizontal="right" vertical="center"/>
    </xf>
    <xf numFmtId="0" fontId="77" fillId="23" borderId="0" xfId="0" applyFont="1" applyFill="1" applyAlignment="1">
      <alignment vertical="center"/>
    </xf>
    <xf numFmtId="9" fontId="48" fillId="0" borderId="83" xfId="2" applyFont="1" applyBorder="1" applyAlignment="1">
      <alignment horizontal="left"/>
    </xf>
    <xf numFmtId="165" fontId="48" fillId="0" borderId="83" xfId="0" applyNumberFormat="1" applyFont="1" applyBorder="1" applyAlignment="1">
      <alignment horizontal="left"/>
    </xf>
    <xf numFmtId="10" fontId="48" fillId="0" borderId="83" xfId="2" applyNumberFormat="1" applyFont="1" applyBorder="1" applyAlignment="1">
      <alignment horizontal="left"/>
    </xf>
    <xf numFmtId="37" fontId="56" fillId="0" borderId="83" xfId="0" applyNumberFormat="1" applyFont="1" applyBorder="1" applyAlignment="1">
      <alignment horizontal="left"/>
    </xf>
    <xf numFmtId="37" fontId="48" fillId="0" borderId="83" xfId="0" applyNumberFormat="1" applyFont="1" applyBorder="1" applyAlignment="1">
      <alignment horizontal="left"/>
    </xf>
    <xf numFmtId="37" fontId="48" fillId="0" borderId="102" xfId="0" applyNumberFormat="1" applyFont="1" applyBorder="1" applyAlignment="1">
      <alignment horizontal="left"/>
    </xf>
    <xf numFmtId="37" fontId="48" fillId="0" borderId="83" xfId="0" applyNumberFormat="1" applyFont="1" applyBorder="1" applyAlignment="1">
      <alignment horizontal="center"/>
    </xf>
    <xf numFmtId="10" fontId="56" fillId="0" borderId="83" xfId="2" applyNumberFormat="1" applyFont="1" applyBorder="1" applyAlignment="1">
      <alignment horizontal="left"/>
    </xf>
    <xf numFmtId="10" fontId="48" fillId="0" borderId="93" xfId="0" applyNumberFormat="1" applyFont="1" applyBorder="1"/>
    <xf numFmtId="10" fontId="55" fillId="0" borderId="93" xfId="0" applyNumberFormat="1" applyFont="1" applyBorder="1"/>
    <xf numFmtId="173" fontId="48" fillId="0" borderId="104" xfId="0" applyNumberFormat="1" applyFont="1" applyBorder="1"/>
    <xf numFmtId="173" fontId="48" fillId="0" borderId="93" xfId="0" applyNumberFormat="1" applyFont="1" applyBorder="1"/>
    <xf numFmtId="10" fontId="48" fillId="0" borderId="104" xfId="0" applyNumberFormat="1" applyFont="1" applyBorder="1"/>
    <xf numFmtId="0" fontId="48" fillId="0" borderId="93" xfId="0" applyFont="1" applyBorder="1"/>
    <xf numFmtId="173" fontId="55" fillId="0" borderId="93" xfId="0" applyNumberFormat="1" applyFont="1" applyBorder="1"/>
    <xf numFmtId="37" fontId="48" fillId="0" borderId="104" xfId="0" applyNumberFormat="1" applyFont="1" applyBorder="1"/>
    <xf numFmtId="44" fontId="48" fillId="0" borderId="93" xfId="0" applyNumberFormat="1" applyFont="1" applyBorder="1"/>
    <xf numFmtId="44" fontId="48" fillId="0" borderId="104" xfId="0" applyNumberFormat="1" applyFont="1" applyBorder="1"/>
    <xf numFmtId="10" fontId="48" fillId="0" borderId="107" xfId="0" applyNumberFormat="1" applyFont="1" applyBorder="1"/>
    <xf numFmtId="44" fontId="41" fillId="16" borderId="35" xfId="0" applyNumberFormat="1" applyFont="1" applyFill="1" applyBorder="1" applyAlignment="1">
      <alignment horizontal="right" vertical="center"/>
    </xf>
    <xf numFmtId="10" fontId="45" fillId="18" borderId="37" xfId="0" applyNumberFormat="1" applyFont="1" applyFill="1" applyBorder="1" applyAlignment="1">
      <alignment horizontal="right" vertical="center"/>
    </xf>
    <xf numFmtId="173" fontId="41" fillId="0" borderId="35" xfId="0" applyNumberFormat="1" applyFont="1" applyBorder="1" applyAlignment="1">
      <alignment horizontal="right" vertical="center"/>
    </xf>
    <xf numFmtId="0" fontId="0" fillId="25" borderId="0" xfId="0" applyFill="1" applyAlignment="1">
      <alignment horizontal="center"/>
    </xf>
    <xf numFmtId="164" fontId="0" fillId="25" borderId="0" xfId="0" applyNumberFormat="1" applyFill="1" applyAlignment="1">
      <alignment horizontal="center"/>
    </xf>
    <xf numFmtId="37" fontId="0" fillId="25" borderId="0" xfId="0" applyNumberFormat="1" applyFill="1" applyAlignment="1">
      <alignment horizontal="center"/>
    </xf>
    <xf numFmtId="44" fontId="0" fillId="25" borderId="0" xfId="1" applyFont="1" applyFill="1" applyAlignment="1">
      <alignment horizontal="center"/>
    </xf>
    <xf numFmtId="166" fontId="0" fillId="25" borderId="0" xfId="0" applyNumberFormat="1" applyFill="1" applyAlignment="1">
      <alignment horizontal="center"/>
    </xf>
    <xf numFmtId="0" fontId="14" fillId="25" borderId="0" xfId="0" applyFont="1" applyFill="1" applyAlignment="1">
      <alignment horizontal="center"/>
    </xf>
    <xf numFmtId="0" fontId="4" fillId="25" borderId="11" xfId="0" applyFont="1" applyFill="1" applyBorder="1"/>
    <xf numFmtId="164" fontId="4" fillId="25" borderId="13" xfId="0" applyNumberFormat="1" applyFont="1" applyFill="1" applyBorder="1"/>
    <xf numFmtId="164" fontId="4" fillId="25" borderId="13" xfId="1" applyNumberFormat="1" applyFont="1" applyFill="1" applyBorder="1"/>
    <xf numFmtId="0" fontId="79" fillId="0" borderId="0" xfId="0" applyFont="1"/>
    <xf numFmtId="0" fontId="52" fillId="19" borderId="0" xfId="0" applyFont="1" applyFill="1" applyAlignment="1">
      <alignment horizontal="center" vertical="center" wrapText="1"/>
    </xf>
    <xf numFmtId="2" fontId="48" fillId="0" borderId="0" xfId="0" applyNumberFormat="1" applyFont="1" applyAlignment="1">
      <alignment horizontal="center"/>
    </xf>
    <xf numFmtId="9" fontId="48" fillId="0" borderId="0" xfId="2" applyFont="1" applyAlignment="1">
      <alignment horizontal="center"/>
    </xf>
    <xf numFmtId="0" fontId="48" fillId="0" borderId="0" xfId="0" applyFont="1" applyAlignment="1">
      <alignment horizontal="center" wrapText="1"/>
    </xf>
    <xf numFmtId="0" fontId="48" fillId="25" borderId="0" xfId="0" applyFont="1" applyFill="1" applyAlignment="1">
      <alignment horizontal="center"/>
    </xf>
    <xf numFmtId="37" fontId="48" fillId="25" borderId="0" xfId="0" applyNumberFormat="1" applyFont="1" applyFill="1" applyAlignment="1">
      <alignment horizontal="center"/>
    </xf>
    <xf numFmtId="10" fontId="48" fillId="25" borderId="0" xfId="2" applyNumberFormat="1" applyFont="1" applyFill="1" applyAlignment="1">
      <alignment horizontal="center"/>
    </xf>
    <xf numFmtId="2" fontId="48" fillId="25" borderId="0" xfId="0" applyNumberFormat="1" applyFont="1" applyFill="1" applyAlignment="1">
      <alignment horizontal="center"/>
    </xf>
    <xf numFmtId="0" fontId="56" fillId="25" borderId="0" xfId="0" applyFont="1" applyFill="1"/>
    <xf numFmtId="2" fontId="56" fillId="25" borderId="0" xfId="0" applyNumberFormat="1" applyFont="1" applyFill="1" applyAlignment="1">
      <alignment horizontal="center"/>
    </xf>
    <xf numFmtId="2" fontId="48" fillId="0" borderId="0" xfId="0" applyNumberFormat="1" applyFont="1"/>
    <xf numFmtId="10" fontId="48" fillId="0" borderId="0" xfId="2" applyNumberFormat="1" applyFont="1"/>
    <xf numFmtId="10" fontId="48" fillId="0" borderId="0" xfId="2" applyNumberFormat="1" applyFont="1" applyFill="1" applyBorder="1"/>
    <xf numFmtId="10" fontId="80" fillId="26" borderId="49" xfId="0" applyNumberFormat="1" applyFont="1" applyFill="1" applyBorder="1" applyAlignment="1">
      <alignment horizontal="center" vertical="center"/>
    </xf>
    <xf numFmtId="10" fontId="80" fillId="26" borderId="49" xfId="0" applyNumberFormat="1" applyFont="1" applyFill="1" applyBorder="1" applyAlignment="1">
      <alignment horizontal="center"/>
    </xf>
    <xf numFmtId="44" fontId="42" fillId="0" borderId="0" xfId="0" applyNumberFormat="1" applyFont="1" applyAlignment="1">
      <alignment horizontal="center" vertical="center"/>
    </xf>
    <xf numFmtId="10" fontId="80" fillId="26" borderId="17" xfId="0" applyNumberFormat="1" applyFont="1" applyFill="1" applyBorder="1" applyAlignment="1">
      <alignment horizontal="center" vertical="center"/>
    </xf>
    <xf numFmtId="10" fontId="80" fillId="26" borderId="35" xfId="0" applyNumberFormat="1" applyFont="1" applyFill="1" applyBorder="1" applyAlignment="1">
      <alignment horizontal="center"/>
    </xf>
    <xf numFmtId="7" fontId="41" fillId="18" borderId="0" xfId="0" applyNumberFormat="1" applyFont="1" applyFill="1" applyAlignment="1">
      <alignment horizontal="center" vertical="center"/>
    </xf>
    <xf numFmtId="7" fontId="41" fillId="27" borderId="0" xfId="0" applyNumberFormat="1" applyFont="1" applyFill="1" applyAlignment="1">
      <alignment horizontal="center" vertical="center"/>
    </xf>
    <xf numFmtId="7" fontId="41" fillId="28" borderId="0" xfId="0" applyNumberFormat="1" applyFont="1" applyFill="1" applyAlignment="1">
      <alignment horizontal="center" vertical="center"/>
    </xf>
    <xf numFmtId="7" fontId="53" fillId="28" borderId="0" xfId="0" applyNumberFormat="1" applyFont="1" applyFill="1" applyAlignment="1">
      <alignment horizontal="center" vertical="center"/>
    </xf>
    <xf numFmtId="7" fontId="77" fillId="29" borderId="0" xfId="0" applyNumberFormat="1" applyFont="1" applyFill="1" applyAlignment="1">
      <alignment horizontal="center" vertical="center"/>
    </xf>
    <xf numFmtId="7" fontId="77" fillId="30" borderId="0" xfId="0" applyNumberFormat="1" applyFont="1" applyFill="1" applyAlignment="1">
      <alignment horizontal="center" vertical="center"/>
    </xf>
    <xf numFmtId="7" fontId="47" fillId="31" borderId="109" xfId="0" applyNumberFormat="1" applyFont="1" applyFill="1" applyBorder="1" applyAlignment="1">
      <alignment horizontal="center" vertical="center"/>
    </xf>
    <xf numFmtId="0" fontId="80" fillId="23" borderId="0" xfId="0" applyFont="1" applyFill="1" applyAlignment="1">
      <alignment horizontal="center"/>
    </xf>
    <xf numFmtId="0" fontId="41" fillId="23" borderId="0" xfId="0" applyFont="1" applyFill="1" applyAlignment="1">
      <alignment horizontal="center" vertical="center"/>
    </xf>
    <xf numFmtId="0" fontId="56" fillId="0" borderId="0" xfId="0" applyFont="1" applyAlignment="1">
      <alignment vertical="center"/>
    </xf>
    <xf numFmtId="10" fontId="0" fillId="0" borderId="0" xfId="0" applyNumberFormat="1"/>
    <xf numFmtId="166" fontId="0" fillId="0" borderId="0" xfId="0" applyNumberFormat="1"/>
    <xf numFmtId="0" fontId="7" fillId="19" borderId="0" xfId="0" applyFont="1" applyFill="1" applyAlignment="1">
      <alignment horizontal="center" vertical="center"/>
    </xf>
    <xf numFmtId="0" fontId="7" fillId="0" borderId="0" xfId="0" applyFont="1" applyAlignment="1">
      <alignment vertical="center"/>
    </xf>
    <xf numFmtId="0" fontId="16" fillId="0" borderId="0" xfId="0" applyFont="1"/>
    <xf numFmtId="0" fontId="48" fillId="0" borderId="1" xfId="0" applyFont="1" applyBorder="1"/>
    <xf numFmtId="0" fontId="48" fillId="0" borderId="10" xfId="0" applyFont="1" applyBorder="1" applyAlignment="1">
      <alignment horizontal="center"/>
    </xf>
    <xf numFmtId="0" fontId="62" fillId="0" borderId="3" xfId="0" applyFont="1" applyBorder="1"/>
    <xf numFmtId="0" fontId="48" fillId="0" borderId="4" xfId="0" applyFont="1" applyBorder="1" applyAlignment="1">
      <alignment horizontal="center"/>
    </xf>
    <xf numFmtId="0" fontId="56" fillId="0" borderId="3" xfId="0" applyFont="1" applyBorder="1"/>
    <xf numFmtId="0" fontId="48" fillId="0" borderId="3" xfId="0" applyFont="1" applyBorder="1"/>
    <xf numFmtId="0" fontId="48" fillId="0" borderId="5" xfId="0" applyFont="1" applyBorder="1"/>
    <xf numFmtId="0" fontId="56" fillId="0" borderId="5" xfId="0" applyFont="1" applyBorder="1"/>
    <xf numFmtId="10" fontId="0" fillId="9" borderId="9" xfId="0" applyNumberFormat="1" applyFill="1" applyBorder="1"/>
    <xf numFmtId="173" fontId="0" fillId="9" borderId="9" xfId="0" applyNumberFormat="1" applyFill="1" applyBorder="1"/>
    <xf numFmtId="39" fontId="0" fillId="9" borderId="9" xfId="0" applyNumberFormat="1" applyFill="1" applyBorder="1"/>
    <xf numFmtId="39" fontId="0" fillId="0" borderId="4" xfId="0" applyNumberFormat="1" applyBorder="1"/>
    <xf numFmtId="0" fontId="0" fillId="0" borderId="11" xfId="0" applyBorder="1"/>
    <xf numFmtId="37" fontId="0" fillId="0" borderId="13" xfId="0" applyNumberFormat="1" applyBorder="1"/>
    <xf numFmtId="0" fontId="4" fillId="0" borderId="11" xfId="0" applyFont="1" applyBorder="1"/>
    <xf numFmtId="44" fontId="4" fillId="0" borderId="13" xfId="1" applyFont="1" applyFill="1" applyBorder="1"/>
    <xf numFmtId="0" fontId="48" fillId="32" borderId="0" xfId="0" applyFont="1" applyFill="1" applyAlignment="1">
      <alignment horizontal="center"/>
    </xf>
    <xf numFmtId="0" fontId="48" fillId="32" borderId="0" xfId="0" applyFont="1" applyFill="1"/>
    <xf numFmtId="37" fontId="48" fillId="32" borderId="0" xfId="0" applyNumberFormat="1" applyFont="1" applyFill="1" applyAlignment="1">
      <alignment horizontal="center"/>
    </xf>
    <xf numFmtId="0" fontId="49" fillId="32" borderId="0" xfId="0" applyFont="1" applyFill="1" applyAlignment="1">
      <alignment horizontal="right"/>
    </xf>
    <xf numFmtId="173" fontId="54" fillId="0" borderId="0" xfId="0" applyNumberFormat="1" applyFont="1"/>
    <xf numFmtId="0" fontId="85" fillId="0" borderId="34" xfId="0" applyFont="1" applyBorder="1" applyAlignment="1">
      <alignment horizontal="left" vertical="center" wrapText="1"/>
    </xf>
    <xf numFmtId="0" fontId="85" fillId="0" borderId="35" xfId="0" applyFont="1" applyBorder="1" applyAlignment="1">
      <alignment horizontal="right" vertical="center" wrapText="1"/>
    </xf>
    <xf numFmtId="0" fontId="42" fillId="0" borderId="34" xfId="0" applyFont="1" applyBorder="1" applyAlignment="1">
      <alignment horizontal="left" vertical="center" wrapText="1"/>
    </xf>
    <xf numFmtId="0" fontId="45" fillId="17" borderId="35" xfId="0" applyFont="1" applyFill="1" applyBorder="1" applyAlignment="1">
      <alignment horizontal="right" vertical="center"/>
    </xf>
    <xf numFmtId="0" fontId="53" fillId="17" borderId="35" xfId="0" applyFont="1" applyFill="1" applyBorder="1" applyAlignment="1">
      <alignment horizontal="right" vertical="center" wrapText="1"/>
    </xf>
    <xf numFmtId="0" fontId="41" fillId="17" borderId="35" xfId="0" applyFont="1" applyFill="1" applyBorder="1" applyAlignment="1">
      <alignment horizontal="right" vertical="center" wrapText="1"/>
    </xf>
    <xf numFmtId="175" fontId="41" fillId="17" borderId="35" xfId="0" applyNumberFormat="1" applyFont="1" applyFill="1" applyBorder="1" applyAlignment="1">
      <alignment horizontal="right" vertical="center" wrapText="1"/>
    </xf>
    <xf numFmtId="175" fontId="41" fillId="0" borderId="35" xfId="0" applyNumberFormat="1" applyFont="1" applyBorder="1" applyAlignment="1">
      <alignment horizontal="right" vertical="center" wrapText="1"/>
    </xf>
    <xf numFmtId="39" fontId="41" fillId="17" borderId="35" xfId="0" applyNumberFormat="1" applyFont="1" applyFill="1" applyBorder="1" applyAlignment="1">
      <alignment horizontal="right" vertical="center" wrapText="1"/>
    </xf>
    <xf numFmtId="2" fontId="41" fillId="17" borderId="35" xfId="0" applyNumberFormat="1" applyFont="1" applyFill="1" applyBorder="1" applyAlignment="1">
      <alignment horizontal="right" vertical="center" wrapText="1"/>
    </xf>
    <xf numFmtId="2" fontId="41" fillId="0" borderId="35" xfId="0" applyNumberFormat="1" applyFont="1" applyBorder="1" applyAlignment="1">
      <alignment horizontal="right" vertical="center" wrapText="1"/>
    </xf>
    <xf numFmtId="43" fontId="41" fillId="17" borderId="35" xfId="0" applyNumberFormat="1" applyFont="1" applyFill="1" applyBorder="1" applyAlignment="1">
      <alignment horizontal="right" vertical="center" wrapText="1"/>
    </xf>
    <xf numFmtId="176" fontId="41" fillId="17" borderId="35" xfId="0" applyNumberFormat="1" applyFont="1" applyFill="1" applyBorder="1" applyAlignment="1">
      <alignment horizontal="right" vertical="center" wrapText="1"/>
    </xf>
    <xf numFmtId="14" fontId="41" fillId="17" borderId="35" xfId="0" applyNumberFormat="1" applyFont="1" applyFill="1" applyBorder="1" applyAlignment="1">
      <alignment horizontal="right" vertical="center" wrapText="1"/>
    </xf>
    <xf numFmtId="14" fontId="41" fillId="0" borderId="35" xfId="0" applyNumberFormat="1" applyFont="1" applyBorder="1" applyAlignment="1">
      <alignment horizontal="right" vertical="center" wrapText="1"/>
    </xf>
    <xf numFmtId="0" fontId="41" fillId="0" borderId="43" xfId="0" applyFont="1" applyBorder="1" applyAlignment="1">
      <alignment horizontal="left" vertical="center" wrapText="1"/>
    </xf>
    <xf numFmtId="14" fontId="41" fillId="17" borderId="44" xfId="0" applyNumberFormat="1" applyFont="1" applyFill="1" applyBorder="1" applyAlignment="1">
      <alignment horizontal="right" vertical="center" wrapText="1"/>
    </xf>
    <xf numFmtId="0" fontId="39" fillId="33" borderId="40" xfId="0" applyFont="1" applyFill="1" applyBorder="1" applyAlignment="1">
      <alignment horizontal="left" vertical="center" wrapText="1"/>
    </xf>
    <xf numFmtId="0" fontId="84" fillId="33" borderId="42" xfId="0" applyFont="1" applyFill="1" applyBorder="1" applyAlignment="1">
      <alignment horizontal="right" vertical="center" wrapText="1"/>
    </xf>
    <xf numFmtId="0" fontId="7" fillId="32" borderId="0" xfId="0" applyFont="1" applyFill="1" applyAlignment="1">
      <alignment horizontal="center" vertical="center"/>
    </xf>
    <xf numFmtId="0" fontId="16" fillId="32" borderId="0" xfId="0" applyFont="1" applyFill="1"/>
    <xf numFmtId="0" fontId="16" fillId="32" borderId="0" xfId="0" applyFont="1" applyFill="1" applyAlignment="1">
      <alignment horizontal="center"/>
    </xf>
    <xf numFmtId="0" fontId="16" fillId="32" borderId="11" xfId="0" applyFont="1" applyFill="1" applyBorder="1" applyAlignment="1">
      <alignment horizontal="center"/>
    </xf>
    <xf numFmtId="0" fontId="16" fillId="32" borderId="13" xfId="0" applyFont="1" applyFill="1" applyBorder="1" applyAlignment="1">
      <alignment horizontal="center"/>
    </xf>
    <xf numFmtId="0" fontId="16" fillId="32" borderId="12" xfId="0" applyFont="1" applyFill="1" applyBorder="1"/>
    <xf numFmtId="0" fontId="7" fillId="32" borderId="0" xfId="0" applyFont="1" applyFill="1" applyAlignment="1">
      <alignment horizontal="center"/>
    </xf>
    <xf numFmtId="0" fontId="7" fillId="32" borderId="0" xfId="0" quotePrefix="1" applyFont="1" applyFill="1" applyAlignment="1">
      <alignment horizontal="center"/>
    </xf>
    <xf numFmtId="0" fontId="0" fillId="32" borderId="10" xfId="0" applyFill="1" applyBorder="1"/>
    <xf numFmtId="0" fontId="0" fillId="32" borderId="7" xfId="0" applyFill="1" applyBorder="1"/>
    <xf numFmtId="0" fontId="0" fillId="32" borderId="10" xfId="0" applyFill="1" applyBorder="1" applyAlignment="1">
      <alignment horizontal="center"/>
    </xf>
    <xf numFmtId="0" fontId="0" fillId="32" borderId="7" xfId="0" applyFill="1" applyBorder="1" applyAlignment="1">
      <alignment horizontal="center"/>
    </xf>
    <xf numFmtId="0" fontId="0" fillId="32" borderId="0" xfId="0" applyFill="1"/>
    <xf numFmtId="0" fontId="8" fillId="32" borderId="0" xfId="0" applyFont="1" applyFill="1" applyAlignment="1">
      <alignment horizontal="center" vertical="center"/>
    </xf>
    <xf numFmtId="0" fontId="8" fillId="32" borderId="0" xfId="0" applyFont="1" applyFill="1" applyAlignment="1">
      <alignment horizontal="center" vertical="center" wrapText="1"/>
    </xf>
    <xf numFmtId="0" fontId="27" fillId="32" borderId="0" xfId="0" applyFont="1" applyFill="1" applyAlignment="1">
      <alignment horizontal="center" vertical="top"/>
    </xf>
    <xf numFmtId="0" fontId="27" fillId="32" borderId="9" xfId="0" applyFont="1" applyFill="1" applyBorder="1" applyAlignment="1">
      <alignment horizontal="center" vertical="top"/>
    </xf>
    <xf numFmtId="0" fontId="52" fillId="32" borderId="0" xfId="0" applyFont="1" applyFill="1"/>
    <xf numFmtId="0" fontId="61" fillId="32" borderId="14" xfId="0" applyFont="1" applyFill="1" applyBorder="1" applyAlignment="1">
      <alignment horizontal="left" vertical="center"/>
    </xf>
    <xf numFmtId="0" fontId="52" fillId="32" borderId="23" xfId="0" applyFont="1" applyFill="1" applyBorder="1" applyAlignment="1">
      <alignment vertical="center" wrapText="1"/>
    </xf>
    <xf numFmtId="0" fontId="27" fillId="32" borderId="9" xfId="0" applyFont="1" applyFill="1" applyBorder="1" applyAlignment="1">
      <alignment horizontal="center" vertical="center"/>
    </xf>
    <xf numFmtId="0" fontId="27" fillId="32" borderId="9" xfId="0" applyFont="1" applyFill="1" applyBorder="1" applyAlignment="1">
      <alignment horizontal="center" vertical="center" wrapText="1"/>
    </xf>
    <xf numFmtId="10" fontId="48" fillId="22" borderId="7" xfId="0" applyNumberFormat="1" applyFont="1" applyFill="1" applyBorder="1" applyAlignment="1">
      <alignment horizontal="center"/>
    </xf>
    <xf numFmtId="10" fontId="41" fillId="0" borderId="0" xfId="0" applyNumberFormat="1" applyFont="1" applyAlignment="1">
      <alignment horizontal="center"/>
    </xf>
    <xf numFmtId="0" fontId="14" fillId="32" borderId="7" xfId="0" applyFont="1" applyFill="1" applyBorder="1"/>
    <xf numFmtId="0" fontId="82" fillId="0" borderId="0" xfId="0" applyFont="1"/>
    <xf numFmtId="37" fontId="82" fillId="0" borderId="0" xfId="0" applyNumberFormat="1" applyFont="1" applyAlignment="1">
      <alignment horizontal="right"/>
    </xf>
    <xf numFmtId="10" fontId="82" fillId="0" borderId="0" xfId="0" applyNumberFormat="1" applyFont="1" applyAlignment="1">
      <alignment horizontal="right"/>
    </xf>
    <xf numFmtId="166" fontId="82" fillId="0" borderId="0" xfId="0" applyNumberFormat="1" applyFont="1" applyAlignment="1">
      <alignment horizontal="right"/>
    </xf>
    <xf numFmtId="164" fontId="4" fillId="0" borderId="0" xfId="1" applyNumberFormat="1" applyFont="1" applyFill="1" applyBorder="1"/>
    <xf numFmtId="0" fontId="83" fillId="0" borderId="0" xfId="0" applyFont="1"/>
    <xf numFmtId="164" fontId="83" fillId="0" borderId="0" xfId="0" applyNumberFormat="1" applyFont="1" applyAlignment="1">
      <alignment horizontal="right"/>
    </xf>
    <xf numFmtId="164" fontId="4" fillId="0" borderId="0" xfId="0" applyNumberFormat="1" applyFont="1"/>
    <xf numFmtId="0" fontId="52" fillId="32" borderId="0" xfId="0" applyFont="1" applyFill="1" applyAlignment="1">
      <alignment horizontal="center" vertical="center"/>
    </xf>
    <xf numFmtId="0" fontId="49" fillId="32" borderId="0" xfId="0" applyFont="1" applyFill="1" applyAlignment="1">
      <alignment horizontal="center" vertical="center"/>
    </xf>
    <xf numFmtId="39" fontId="41" fillId="0" borderId="35" xfId="0" applyNumberFormat="1" applyFont="1" applyBorder="1" applyAlignment="1">
      <alignment horizontal="right" vertical="center"/>
    </xf>
    <xf numFmtId="0" fontId="41" fillId="33" borderId="14" xfId="0" applyFont="1" applyFill="1" applyBorder="1"/>
    <xf numFmtId="0" fontId="47" fillId="33" borderId="23" xfId="0" applyFont="1" applyFill="1" applyBorder="1"/>
    <xf numFmtId="0" fontId="41" fillId="33" borderId="23" xfId="0" applyFont="1" applyFill="1" applyBorder="1"/>
    <xf numFmtId="0" fontId="47" fillId="33" borderId="14" xfId="0" applyFont="1" applyFill="1" applyBorder="1" applyAlignment="1">
      <alignment vertical="center"/>
    </xf>
    <xf numFmtId="0" fontId="77" fillId="33" borderId="23" xfId="0" applyFont="1" applyFill="1" applyBorder="1" applyAlignment="1">
      <alignment vertical="center"/>
    </xf>
    <xf numFmtId="0" fontId="77" fillId="33" borderId="14" xfId="0" applyFont="1" applyFill="1" applyBorder="1" applyAlignment="1">
      <alignment vertical="center"/>
    </xf>
    <xf numFmtId="0" fontId="77" fillId="33" borderId="15" xfId="0" applyFont="1" applyFill="1" applyBorder="1" applyAlignment="1">
      <alignment vertical="center"/>
    </xf>
    <xf numFmtId="0" fontId="77" fillId="33" borderId="44" xfId="0" applyFont="1" applyFill="1" applyBorder="1" applyAlignment="1">
      <alignment vertical="center"/>
    </xf>
    <xf numFmtId="0" fontId="47" fillId="33" borderId="55" xfId="0" applyFont="1" applyFill="1" applyBorder="1" applyAlignment="1">
      <alignment vertical="center"/>
    </xf>
    <xf numFmtId="0" fontId="47" fillId="33" borderId="53" xfId="0" applyFont="1" applyFill="1" applyBorder="1" applyAlignment="1">
      <alignment vertical="center"/>
    </xf>
    <xf numFmtId="0" fontId="77" fillId="33" borderId="54" xfId="0" applyFont="1" applyFill="1" applyBorder="1" applyAlignment="1">
      <alignment vertical="center"/>
    </xf>
    <xf numFmtId="0" fontId="47" fillId="33" borderId="53" xfId="0" applyFont="1" applyFill="1" applyBorder="1" applyAlignment="1">
      <alignment horizontal="left" vertical="center"/>
    </xf>
    <xf numFmtId="0" fontId="47" fillId="33" borderId="54" xfId="0" applyFont="1" applyFill="1" applyBorder="1" applyAlignment="1">
      <alignment vertical="center"/>
    </xf>
    <xf numFmtId="0" fontId="47" fillId="33" borderId="108" xfId="0" applyFont="1" applyFill="1" applyBorder="1" applyAlignment="1">
      <alignment vertical="center"/>
    </xf>
    <xf numFmtId="9" fontId="0" fillId="0" borderId="0" xfId="0" applyNumberFormat="1"/>
    <xf numFmtId="44" fontId="48" fillId="0" borderId="0" xfId="0" applyNumberFormat="1" applyFont="1"/>
    <xf numFmtId="0" fontId="42" fillId="0" borderId="0" xfId="0" applyFont="1"/>
    <xf numFmtId="176" fontId="48" fillId="0" borderId="0" xfId="0" applyNumberFormat="1" applyFont="1"/>
    <xf numFmtId="173" fontId="55" fillId="0" borderId="0" xfId="0" applyNumberFormat="1" applyFont="1" applyAlignment="1">
      <alignment horizontal="center"/>
    </xf>
    <xf numFmtId="173" fontId="48" fillId="0" borderId="110" xfId="0" applyNumberFormat="1" applyFont="1" applyBorder="1"/>
    <xf numFmtId="37" fontId="56" fillId="0" borderId="110" xfId="0" applyNumberFormat="1" applyFont="1" applyBorder="1" applyAlignment="1">
      <alignment horizontal="center"/>
    </xf>
    <xf numFmtId="0" fontId="48" fillId="0" borderId="82" xfId="0" applyFont="1" applyBorder="1"/>
    <xf numFmtId="0" fontId="14" fillId="0" borderId="0" xfId="0" applyFont="1" applyAlignment="1">
      <alignment horizontal="center"/>
    </xf>
    <xf numFmtId="164" fontId="52" fillId="32" borderId="0" xfId="0" applyNumberFormat="1" applyFont="1" applyFill="1" applyAlignment="1">
      <alignment horizontal="center" vertical="center"/>
    </xf>
    <xf numFmtId="0" fontId="52" fillId="32" borderId="0" xfId="0" applyFont="1" applyFill="1" applyAlignment="1">
      <alignment vertical="center"/>
    </xf>
    <xf numFmtId="164" fontId="48" fillId="0" borderId="0" xfId="0" applyNumberFormat="1" applyFont="1" applyAlignment="1">
      <alignment horizontal="center" vertical="center"/>
    </xf>
    <xf numFmtId="0" fontId="48" fillId="0" borderId="0" xfId="0" applyFont="1" applyAlignment="1">
      <alignment horizontal="center" vertical="center"/>
    </xf>
    <xf numFmtId="9" fontId="48" fillId="0" borderId="0" xfId="2" applyFont="1" applyBorder="1" applyAlignment="1">
      <alignment horizontal="center" vertical="center"/>
    </xf>
    <xf numFmtId="0" fontId="56" fillId="0" borderId="0" xfId="0" applyFont="1" applyAlignment="1">
      <alignment horizontal="center" vertical="center"/>
    </xf>
    <xf numFmtId="164" fontId="48" fillId="0" borderId="0" xfId="1" applyNumberFormat="1" applyFont="1" applyAlignment="1">
      <alignment horizontal="center" vertical="center"/>
    </xf>
    <xf numFmtId="10" fontId="48" fillId="0" borderId="0" xfId="0" applyNumberFormat="1" applyFont="1" applyAlignment="1">
      <alignment horizontal="center" vertical="center"/>
    </xf>
    <xf numFmtId="168" fontId="48" fillId="17" borderId="31" xfId="0" applyNumberFormat="1" applyFont="1" applyFill="1" applyBorder="1"/>
    <xf numFmtId="0" fontId="87" fillId="0" borderId="0" xfId="0" applyFont="1" applyAlignment="1">
      <alignment vertical="center"/>
    </xf>
    <xf numFmtId="0" fontId="87" fillId="0" borderId="1" xfId="0" applyFont="1" applyBorder="1" applyAlignment="1">
      <alignment vertical="center"/>
    </xf>
    <xf numFmtId="37" fontId="87" fillId="0" borderId="2" xfId="0" applyNumberFormat="1" applyFont="1" applyBorder="1" applyAlignment="1">
      <alignment vertical="center"/>
    </xf>
    <xf numFmtId="0" fontId="87" fillId="0" borderId="3" xfId="0" applyFont="1" applyBorder="1" applyAlignment="1">
      <alignment vertical="center"/>
    </xf>
    <xf numFmtId="10" fontId="87" fillId="0" borderId="4" xfId="0" applyNumberFormat="1" applyFont="1" applyBorder="1" applyAlignment="1">
      <alignment vertical="center"/>
    </xf>
    <xf numFmtId="37" fontId="87" fillId="0" borderId="4" xfId="0" applyNumberFormat="1" applyFont="1" applyBorder="1" applyAlignment="1">
      <alignment vertical="center"/>
    </xf>
    <xf numFmtId="0" fontId="87" fillId="0" borderId="5" xfId="0" applyFont="1" applyBorder="1" applyAlignment="1">
      <alignment vertical="center"/>
    </xf>
    <xf numFmtId="166" fontId="87" fillId="0" borderId="6" xfId="0" applyNumberFormat="1" applyFont="1" applyBorder="1" applyAlignment="1">
      <alignment vertical="center"/>
    </xf>
    <xf numFmtId="37" fontId="87" fillId="0" borderId="6" xfId="0" applyNumberFormat="1" applyFont="1" applyBorder="1" applyAlignment="1">
      <alignment vertical="center"/>
    </xf>
    <xf numFmtId="0" fontId="88" fillId="25" borderId="11" xfId="0" applyFont="1" applyFill="1" applyBorder="1" applyAlignment="1">
      <alignment vertical="center"/>
    </xf>
    <xf numFmtId="164" fontId="88" fillId="25" borderId="13" xfId="1" applyNumberFormat="1" applyFont="1" applyFill="1" applyBorder="1" applyAlignment="1">
      <alignment vertical="center"/>
    </xf>
    <xf numFmtId="0" fontId="88" fillId="0" borderId="0" xfId="0" applyFont="1" applyAlignment="1">
      <alignment vertical="center"/>
    </xf>
    <xf numFmtId="164" fontId="88" fillId="0" borderId="0" xfId="1" applyNumberFormat="1" applyFont="1" applyFill="1" applyBorder="1" applyAlignment="1">
      <alignment vertical="center"/>
    </xf>
    <xf numFmtId="164" fontId="88" fillId="25" borderId="13" xfId="0" applyNumberFormat="1" applyFont="1" applyFill="1" applyBorder="1" applyAlignment="1">
      <alignment vertical="center"/>
    </xf>
    <xf numFmtId="168" fontId="0" fillId="0" borderId="0" xfId="0" applyNumberFormat="1" applyAlignment="1">
      <alignment horizontal="center"/>
    </xf>
    <xf numFmtId="168" fontId="0" fillId="25" borderId="0" xfId="0" applyNumberFormat="1" applyFill="1" applyAlignment="1">
      <alignment horizontal="center"/>
    </xf>
    <xf numFmtId="173" fontId="56" fillId="0" borderId="0" xfId="0" applyNumberFormat="1" applyFont="1" applyAlignment="1">
      <alignment horizontal="center" vertical="center"/>
    </xf>
    <xf numFmtId="173" fontId="4" fillId="0" borderId="0" xfId="0" applyNumberFormat="1" applyFont="1" applyAlignment="1">
      <alignment horizontal="center" vertical="center"/>
    </xf>
    <xf numFmtId="173" fontId="4" fillId="0" borderId="4" xfId="0" applyNumberFormat="1" applyFont="1" applyBorder="1" applyAlignment="1">
      <alignment horizontal="center" vertical="center"/>
    </xf>
    <xf numFmtId="173" fontId="48" fillId="0" borderId="0" xfId="0" applyNumberFormat="1" applyFont="1" applyAlignment="1">
      <alignment horizontal="center" vertical="center"/>
    </xf>
    <xf numFmtId="173" fontId="0" fillId="0" borderId="0" xfId="0" applyNumberFormat="1" applyAlignment="1">
      <alignment horizontal="center" vertical="center"/>
    </xf>
    <xf numFmtId="173" fontId="0" fillId="0" borderId="4" xfId="0" applyNumberFormat="1" applyBorder="1" applyAlignment="1">
      <alignment horizontal="center" vertical="center"/>
    </xf>
    <xf numFmtId="173" fontId="48" fillId="0" borderId="7" xfId="0" applyNumberFormat="1" applyFont="1" applyBorder="1" applyAlignment="1">
      <alignment horizontal="center" vertical="center"/>
    </xf>
    <xf numFmtId="173" fontId="0" fillId="0" borderId="7" xfId="0" applyNumberFormat="1" applyBorder="1" applyAlignment="1">
      <alignment horizontal="center" vertical="center"/>
    </xf>
    <xf numFmtId="173" fontId="0" fillId="0" borderId="6" xfId="0" applyNumberFormat="1" applyBorder="1" applyAlignment="1">
      <alignment horizontal="center" vertical="center"/>
    </xf>
    <xf numFmtId="173" fontId="56" fillId="0" borderId="2" xfId="0" applyNumberFormat="1" applyFont="1" applyBorder="1" applyAlignment="1">
      <alignment horizontal="center" vertical="center"/>
    </xf>
    <xf numFmtId="173" fontId="56" fillId="0" borderId="4" xfId="0" applyNumberFormat="1" applyFont="1" applyBorder="1" applyAlignment="1">
      <alignment horizontal="center" vertical="center"/>
    </xf>
    <xf numFmtId="173" fontId="56" fillId="0" borderId="7" xfId="0" applyNumberFormat="1" applyFont="1" applyBorder="1" applyAlignment="1">
      <alignment horizontal="center" vertical="center"/>
    </xf>
    <xf numFmtId="173" fontId="56" fillId="0" borderId="6" xfId="0" applyNumberFormat="1" applyFont="1" applyBorder="1" applyAlignment="1">
      <alignment horizontal="center" vertical="center"/>
    </xf>
    <xf numFmtId="173" fontId="41" fillId="0" borderId="111" xfId="0" applyNumberFormat="1" applyFont="1" applyBorder="1"/>
    <xf numFmtId="10" fontId="41" fillId="0" borderId="111" xfId="0" applyNumberFormat="1" applyFont="1" applyBorder="1"/>
    <xf numFmtId="10" fontId="41" fillId="0" borderId="112" xfId="0" applyNumberFormat="1" applyFont="1" applyBorder="1"/>
    <xf numFmtId="0" fontId="52" fillId="32" borderId="41" xfId="0" applyFont="1" applyFill="1" applyBorder="1" applyAlignment="1">
      <alignment vertical="center" wrapText="1"/>
    </xf>
    <xf numFmtId="0" fontId="52" fillId="32" borderId="42" xfId="0" applyFont="1" applyFill="1" applyBorder="1" applyAlignment="1">
      <alignment vertical="center" wrapText="1"/>
    </xf>
    <xf numFmtId="14" fontId="48" fillId="20" borderId="6" xfId="0" applyNumberFormat="1" applyFont="1" applyFill="1" applyBorder="1" applyAlignment="1">
      <alignment horizontal="right" vertical="center" wrapText="1"/>
    </xf>
    <xf numFmtId="2" fontId="48" fillId="20" borderId="4" xfId="0" applyNumberFormat="1" applyFont="1" applyFill="1" applyBorder="1" applyAlignment="1">
      <alignment horizontal="right" vertical="center" wrapText="1"/>
    </xf>
    <xf numFmtId="43" fontId="48" fillId="20" borderId="6" xfId="0" applyNumberFormat="1" applyFont="1" applyFill="1" applyBorder="1" applyAlignment="1">
      <alignment horizontal="right" vertical="center" wrapText="1"/>
    </xf>
    <xf numFmtId="14" fontId="48" fillId="20" borderId="11" xfId="0" applyNumberFormat="1" applyFont="1" applyFill="1" applyBorder="1" applyAlignment="1">
      <alignment horizontal="right" vertical="center" wrapText="1"/>
    </xf>
    <xf numFmtId="2" fontId="48" fillId="20" borderId="3" xfId="0" applyNumberFormat="1" applyFont="1" applyFill="1" applyBorder="1" applyAlignment="1">
      <alignment horizontal="right" vertical="center" wrapText="1"/>
    </xf>
    <xf numFmtId="43" fontId="48" fillId="20" borderId="5" xfId="0" applyNumberFormat="1" applyFont="1" applyFill="1" applyBorder="1" applyAlignment="1">
      <alignment horizontal="right" vertical="center" wrapText="1"/>
    </xf>
    <xf numFmtId="171" fontId="60" fillId="0" borderId="59" xfId="0" applyNumberFormat="1" applyFont="1" applyBorder="1" applyAlignment="1">
      <alignment horizontal="center" vertical="center" wrapText="1"/>
    </xf>
    <xf numFmtId="43" fontId="48" fillId="20" borderId="0" xfId="4" applyFont="1" applyFill="1" applyBorder="1" applyAlignment="1">
      <alignment horizontal="center" vertical="center" wrapText="1"/>
    </xf>
    <xf numFmtId="43" fontId="48" fillId="20" borderId="10" xfId="4" applyFont="1" applyFill="1" applyBorder="1" applyAlignment="1">
      <alignment horizontal="center" vertical="center" wrapText="1"/>
    </xf>
    <xf numFmtId="43" fontId="48" fillId="20" borderId="3" xfId="4" applyFont="1" applyFill="1" applyBorder="1" applyAlignment="1">
      <alignment horizontal="center" vertical="center" wrapText="1"/>
    </xf>
    <xf numFmtId="43" fontId="48" fillId="20" borderId="4" xfId="4" applyFont="1" applyFill="1" applyBorder="1" applyAlignment="1">
      <alignment horizontal="center" vertical="center" wrapText="1"/>
    </xf>
    <xf numFmtId="171" fontId="60" fillId="0" borderId="0" xfId="0" applyNumberFormat="1" applyFont="1" applyAlignment="1">
      <alignment horizontal="center" vertical="center" wrapText="1"/>
    </xf>
    <xf numFmtId="43" fontId="48" fillId="20" borderId="5" xfId="4" applyFont="1" applyFill="1" applyBorder="1" applyAlignment="1">
      <alignment horizontal="center" vertical="center" wrapText="1"/>
    </xf>
    <xf numFmtId="43" fontId="48" fillId="20" borderId="7" xfId="4" applyFont="1" applyFill="1" applyBorder="1" applyAlignment="1">
      <alignment horizontal="center" vertical="center" wrapText="1"/>
    </xf>
    <xf numFmtId="43" fontId="48" fillId="20" borderId="6" xfId="4" applyFont="1" applyFill="1" applyBorder="1" applyAlignment="1">
      <alignment horizontal="center" vertical="center" wrapText="1"/>
    </xf>
    <xf numFmtId="43" fontId="56" fillId="20" borderId="10" xfId="4" applyFont="1" applyFill="1" applyBorder="1" applyAlignment="1">
      <alignment horizontal="center" vertical="center" wrapText="1"/>
    </xf>
    <xf numFmtId="43" fontId="56" fillId="20" borderId="3" xfId="4" applyFont="1" applyFill="1" applyBorder="1" applyAlignment="1">
      <alignment horizontal="center" vertical="center" wrapText="1"/>
    </xf>
    <xf numFmtId="43" fontId="56" fillId="20" borderId="0" xfId="4" applyFont="1" applyFill="1" applyBorder="1" applyAlignment="1">
      <alignment horizontal="center" vertical="center" wrapText="1"/>
    </xf>
    <xf numFmtId="43" fontId="56" fillId="20" borderId="4" xfId="4" applyFont="1" applyFill="1" applyBorder="1" applyAlignment="1">
      <alignment horizontal="center" vertical="center" wrapText="1"/>
    </xf>
    <xf numFmtId="43" fontId="48" fillId="20" borderId="0" xfId="0" applyNumberFormat="1" applyFont="1" applyFill="1" applyAlignment="1">
      <alignment horizontal="center" vertical="center" wrapText="1"/>
    </xf>
    <xf numFmtId="43" fontId="48" fillId="20" borderId="7" xfId="0" applyNumberFormat="1" applyFont="1" applyFill="1" applyBorder="1" applyAlignment="1">
      <alignment horizontal="center" vertical="center" wrapText="1"/>
    </xf>
    <xf numFmtId="43" fontId="41" fillId="16" borderId="0" xfId="0" applyNumberFormat="1" applyFont="1" applyFill="1" applyAlignment="1">
      <alignment horizontal="center" vertical="center" wrapText="1"/>
    </xf>
    <xf numFmtId="43" fontId="41" fillId="16" borderId="7" xfId="0" applyNumberFormat="1" applyFont="1" applyFill="1" applyBorder="1" applyAlignment="1">
      <alignment horizontal="center" vertical="center" wrapText="1"/>
    </xf>
    <xf numFmtId="2" fontId="48" fillId="20" borderId="0" xfId="0" applyNumberFormat="1" applyFont="1" applyFill="1" applyAlignment="1">
      <alignment horizontal="center" vertical="center" wrapText="1"/>
    </xf>
    <xf numFmtId="2" fontId="48" fillId="20" borderId="3" xfId="0" applyNumberFormat="1" applyFont="1" applyFill="1" applyBorder="1" applyAlignment="1">
      <alignment horizontal="center" vertical="center" wrapText="1"/>
    </xf>
    <xf numFmtId="2" fontId="48" fillId="20" borderId="4" xfId="0" applyNumberFormat="1" applyFont="1" applyFill="1" applyBorder="1" applyAlignment="1">
      <alignment horizontal="center" vertical="center" wrapText="1"/>
    </xf>
    <xf numFmtId="2" fontId="48" fillId="20" borderId="0" xfId="4" applyNumberFormat="1" applyFont="1" applyFill="1" applyBorder="1" applyAlignment="1">
      <alignment horizontal="center" vertical="center" wrapText="1"/>
    </xf>
    <xf numFmtId="2" fontId="48" fillId="20" borderId="3" xfId="4" applyNumberFormat="1" applyFont="1" applyFill="1" applyBorder="1" applyAlignment="1">
      <alignment horizontal="center" vertical="center" wrapText="1"/>
    </xf>
    <xf numFmtId="2" fontId="48" fillId="20" borderId="4" xfId="4" applyNumberFormat="1" applyFont="1" applyFill="1" applyBorder="1" applyAlignment="1">
      <alignment horizontal="center" vertical="center" wrapText="1"/>
    </xf>
    <xf numFmtId="2" fontId="48" fillId="22" borderId="0" xfId="4" applyNumberFormat="1" applyFont="1" applyFill="1" applyBorder="1" applyAlignment="1">
      <alignment horizontal="center" vertical="center" wrapText="1"/>
    </xf>
    <xf numFmtId="2" fontId="48" fillId="22" borderId="3" xfId="4" applyNumberFormat="1" applyFont="1" applyFill="1" applyBorder="1" applyAlignment="1">
      <alignment horizontal="center" vertical="center" wrapText="1"/>
    </xf>
    <xf numFmtId="2" fontId="48" fillId="22" borderId="4" xfId="4" applyNumberFormat="1" applyFont="1" applyFill="1" applyBorder="1" applyAlignment="1">
      <alignment horizontal="center" vertical="center" wrapText="1"/>
    </xf>
    <xf numFmtId="10" fontId="48" fillId="20" borderId="0" xfId="2" applyNumberFormat="1" applyFont="1" applyFill="1" applyBorder="1" applyAlignment="1">
      <alignment horizontal="center" vertical="center" wrapText="1"/>
    </xf>
    <xf numFmtId="10" fontId="48" fillId="22" borderId="0" xfId="2" applyNumberFormat="1" applyFont="1" applyFill="1" applyBorder="1" applyAlignment="1">
      <alignment horizontal="center" vertical="center" wrapText="1"/>
    </xf>
    <xf numFmtId="10" fontId="48" fillId="22" borderId="3" xfId="2" applyNumberFormat="1" applyFont="1" applyFill="1" applyBorder="1" applyAlignment="1">
      <alignment horizontal="center" vertical="center" wrapText="1"/>
    </xf>
    <xf numFmtId="10" fontId="48" fillId="22" borderId="4" xfId="2" applyNumberFormat="1" applyFont="1" applyFill="1" applyBorder="1" applyAlignment="1">
      <alignment horizontal="center" vertical="center" wrapText="1"/>
    </xf>
    <xf numFmtId="10" fontId="41" fillId="16" borderId="0" xfId="0" applyNumberFormat="1" applyFont="1" applyFill="1" applyAlignment="1">
      <alignment horizontal="center" vertical="center" wrapText="1"/>
    </xf>
    <xf numFmtId="9" fontId="48" fillId="20" borderId="0" xfId="0" applyNumberFormat="1" applyFont="1" applyFill="1" applyAlignment="1">
      <alignment horizontal="center" vertical="center" wrapText="1"/>
    </xf>
    <xf numFmtId="9" fontId="48" fillId="20" borderId="3" xfId="0" applyNumberFormat="1" applyFont="1" applyFill="1" applyBorder="1" applyAlignment="1">
      <alignment horizontal="center" vertical="center" wrapText="1"/>
    </xf>
    <xf numFmtId="9" fontId="48" fillId="20" borderId="4" xfId="0" applyNumberFormat="1" applyFont="1" applyFill="1" applyBorder="1" applyAlignment="1">
      <alignment horizontal="center" vertical="center" wrapText="1"/>
    </xf>
    <xf numFmtId="39" fontId="57" fillId="0" borderId="0" xfId="0" applyNumberFormat="1" applyFont="1" applyAlignment="1">
      <alignment horizontal="center" vertical="center"/>
    </xf>
    <xf numFmtId="43" fontId="56" fillId="32" borderId="23" xfId="4" applyFont="1" applyFill="1" applyBorder="1" applyAlignment="1">
      <alignment horizontal="center" vertical="center" wrapText="1"/>
    </xf>
    <xf numFmtId="43" fontId="56" fillId="20" borderId="23" xfId="4" applyFont="1" applyFill="1" applyBorder="1" applyAlignment="1">
      <alignment horizontal="center" vertical="center" wrapText="1"/>
    </xf>
    <xf numFmtId="43" fontId="56" fillId="20" borderId="114" xfId="4" applyFont="1" applyFill="1" applyBorder="1" applyAlignment="1">
      <alignment horizontal="center" vertical="center" wrapText="1"/>
    </xf>
    <xf numFmtId="43" fontId="56" fillId="20" borderId="80" xfId="4" applyFont="1" applyFill="1" applyBorder="1" applyAlignment="1">
      <alignment horizontal="center" vertical="center" wrapText="1"/>
    </xf>
    <xf numFmtId="2" fontId="48" fillId="0" borderId="17" xfId="0" applyNumberFormat="1" applyFont="1" applyBorder="1" applyAlignment="1">
      <alignment horizontal="center" vertical="center" wrapText="1"/>
    </xf>
    <xf numFmtId="43" fontId="48" fillId="0" borderId="17" xfId="0" applyNumberFormat="1" applyFont="1" applyBorder="1" applyAlignment="1">
      <alignment horizontal="center" vertical="center" wrapText="1"/>
    </xf>
    <xf numFmtId="43" fontId="48" fillId="0" borderId="19" xfId="0" applyNumberFormat="1" applyFont="1" applyBorder="1" applyAlignment="1">
      <alignment horizontal="center" vertical="center" wrapText="1"/>
    </xf>
    <xf numFmtId="43" fontId="48" fillId="0" borderId="23" xfId="0" applyNumberFormat="1" applyFont="1" applyBorder="1" applyAlignment="1">
      <alignment horizontal="center" vertical="center" wrapText="1"/>
    </xf>
    <xf numFmtId="43" fontId="48" fillId="0" borderId="80" xfId="0" applyNumberFormat="1" applyFont="1" applyBorder="1" applyAlignment="1">
      <alignment horizontal="center" vertical="center" wrapText="1"/>
    </xf>
    <xf numFmtId="43" fontId="41" fillId="16" borderId="5" xfId="0" applyNumberFormat="1" applyFont="1" applyFill="1" applyBorder="1" applyAlignment="1">
      <alignment horizontal="center" vertical="center" wrapText="1"/>
    </xf>
    <xf numFmtId="43" fontId="41" fillId="16" borderId="6" xfId="0" applyNumberFormat="1" applyFont="1" applyFill="1" applyBorder="1" applyAlignment="1">
      <alignment horizontal="center" vertical="center" wrapText="1"/>
    </xf>
    <xf numFmtId="39" fontId="0" fillId="0" borderId="0" xfId="0" applyNumberFormat="1" applyAlignment="1">
      <alignment horizontal="center" vertical="center"/>
    </xf>
    <xf numFmtId="39" fontId="0" fillId="0" borderId="4" xfId="0" applyNumberFormat="1" applyBorder="1" applyAlignment="1">
      <alignment horizontal="center" vertical="center"/>
    </xf>
    <xf numFmtId="0" fontId="50" fillId="0" borderId="40" xfId="0" applyFont="1" applyBorder="1" applyAlignment="1">
      <alignment horizontal="center" vertical="center" wrapText="1"/>
    </xf>
    <xf numFmtId="0" fontId="51" fillId="0" borderId="41" xfId="0" applyFont="1" applyBorder="1" applyAlignment="1">
      <alignment horizontal="center" vertical="center" wrapText="1"/>
    </xf>
    <xf numFmtId="0" fontId="51" fillId="0" borderId="42" xfId="0" applyFont="1" applyBorder="1" applyAlignment="1">
      <alignment horizontal="center" vertical="center" wrapText="1"/>
    </xf>
    <xf numFmtId="0" fontId="51" fillId="0" borderId="34" xfId="0" applyFont="1" applyBorder="1" applyAlignment="1">
      <alignment horizontal="center" vertical="center" wrapText="1"/>
    </xf>
    <xf numFmtId="0" fontId="51" fillId="0" borderId="0" xfId="0" applyFont="1" applyAlignment="1">
      <alignment horizontal="center" vertical="center" wrapText="1"/>
    </xf>
    <xf numFmtId="0" fontId="51" fillId="0" borderId="35" xfId="0" applyFont="1" applyBorder="1" applyAlignment="1">
      <alignment horizontal="center" vertical="center" wrapText="1"/>
    </xf>
    <xf numFmtId="0" fontId="51" fillId="0" borderId="43" xfId="0" applyFont="1" applyBorder="1" applyAlignment="1">
      <alignment horizontal="center" vertical="center" wrapText="1"/>
    </xf>
    <xf numFmtId="0" fontId="51" fillId="0" borderId="17" xfId="0" applyFont="1" applyBorder="1" applyAlignment="1">
      <alignment horizontal="center" vertical="center" wrapText="1"/>
    </xf>
    <xf numFmtId="0" fontId="51" fillId="0" borderId="44" xfId="0" applyFont="1" applyBorder="1" applyAlignment="1">
      <alignment horizontal="center" vertical="center" wrapText="1"/>
    </xf>
    <xf numFmtId="0" fontId="56" fillId="0" borderId="54" xfId="0" applyFont="1" applyBorder="1" applyAlignment="1">
      <alignment horizontal="center" wrapText="1"/>
    </xf>
    <xf numFmtId="0" fontId="19" fillId="0" borderId="0" xfId="0" applyFont="1"/>
    <xf numFmtId="0" fontId="4" fillId="2" borderId="1" xfId="0" applyFont="1" applyFill="1" applyBorder="1" applyAlignment="1">
      <alignment horizontal="center"/>
    </xf>
    <xf numFmtId="0" fontId="4" fillId="2" borderId="10" xfId="0" applyFont="1" applyFill="1" applyBorder="1" applyAlignment="1">
      <alignment horizontal="center"/>
    </xf>
    <xf numFmtId="0" fontId="4" fillId="2" borderId="2" xfId="0" applyFont="1" applyFill="1" applyBorder="1" applyAlignment="1">
      <alignment horizontal="center"/>
    </xf>
    <xf numFmtId="0" fontId="4" fillId="3" borderId="1" xfId="0" applyFont="1" applyFill="1" applyBorder="1" applyAlignment="1">
      <alignment horizontal="center"/>
    </xf>
    <xf numFmtId="0" fontId="4" fillId="3" borderId="10" xfId="0" applyFont="1" applyFill="1" applyBorder="1" applyAlignment="1">
      <alignment horizontal="center"/>
    </xf>
    <xf numFmtId="0" fontId="4" fillId="3" borderId="2" xfId="0" applyFont="1" applyFill="1" applyBorder="1" applyAlignment="1">
      <alignment horizontal="center"/>
    </xf>
    <xf numFmtId="0" fontId="4" fillId="3" borderId="0" xfId="0" applyFont="1" applyFill="1" applyAlignment="1">
      <alignment horizontal="center"/>
    </xf>
    <xf numFmtId="0" fontId="52" fillId="32" borderId="0" xfId="0" applyFont="1" applyFill="1" applyAlignment="1">
      <alignment horizontal="center" vertical="center"/>
    </xf>
    <xf numFmtId="0" fontId="41" fillId="0" borderId="54" xfId="0" applyFont="1" applyBorder="1" applyAlignment="1">
      <alignment horizontal="center" vertical="center" wrapText="1"/>
    </xf>
    <xf numFmtId="0" fontId="41" fillId="0" borderId="91" xfId="0" applyFont="1" applyBorder="1" applyAlignment="1">
      <alignment horizontal="center" vertical="center" wrapText="1"/>
    </xf>
    <xf numFmtId="0" fontId="53" fillId="0" borderId="34" xfId="5" applyFont="1" applyBorder="1" applyAlignment="1">
      <alignment horizontal="left" vertical="top" wrapText="1"/>
    </xf>
    <xf numFmtId="0" fontId="53" fillId="0" borderId="0" xfId="5" applyFont="1" applyAlignment="1">
      <alignment horizontal="left" vertical="top" wrapText="1"/>
    </xf>
    <xf numFmtId="0" fontId="53" fillId="0" borderId="35" xfId="5" applyFont="1" applyBorder="1" applyAlignment="1">
      <alignment horizontal="left" vertical="top" wrapText="1"/>
    </xf>
    <xf numFmtId="0" fontId="53" fillId="0" borderId="57" xfId="5" applyFont="1" applyBorder="1" applyAlignment="1">
      <alignment horizontal="left" vertical="top" wrapText="1"/>
    </xf>
    <xf numFmtId="0" fontId="53" fillId="0" borderId="7" xfId="5" applyFont="1" applyBorder="1" applyAlignment="1">
      <alignment horizontal="left" vertical="top" wrapText="1"/>
    </xf>
    <xf numFmtId="0" fontId="53" fillId="0" borderId="58" xfId="5" applyFont="1" applyBorder="1" applyAlignment="1">
      <alignment horizontal="left" vertical="top" wrapText="1"/>
    </xf>
    <xf numFmtId="0" fontId="53" fillId="0" borderId="43" xfId="5" applyFont="1" applyBorder="1" applyAlignment="1">
      <alignment horizontal="left" vertical="top" wrapText="1"/>
    </xf>
    <xf numFmtId="0" fontId="53" fillId="0" borderId="17" xfId="5" applyFont="1" applyBorder="1" applyAlignment="1">
      <alignment horizontal="left" vertical="top" wrapText="1"/>
    </xf>
    <xf numFmtId="0" fontId="53" fillId="0" borderId="44" xfId="5" applyFont="1" applyBorder="1" applyAlignment="1">
      <alignment horizontal="left" vertical="top" wrapText="1"/>
    </xf>
    <xf numFmtId="0" fontId="14" fillId="10" borderId="0" xfId="0" applyFont="1" applyFill="1" applyAlignment="1">
      <alignment horizontal="center" vertical="center"/>
    </xf>
    <xf numFmtId="0" fontId="48" fillId="0" borderId="3" xfId="0" applyFont="1" applyBorder="1" applyAlignment="1">
      <alignment horizontal="left" vertical="top" wrapText="1"/>
    </xf>
    <xf numFmtId="0" fontId="48" fillId="0" borderId="0" xfId="0" applyFont="1" applyAlignment="1">
      <alignment horizontal="left" vertical="top" wrapText="1"/>
    </xf>
    <xf numFmtId="0" fontId="48" fillId="0" borderId="35" xfId="0" applyFont="1" applyBorder="1" applyAlignment="1">
      <alignment horizontal="left" vertical="top" wrapText="1"/>
    </xf>
    <xf numFmtId="0" fontId="48" fillId="0" borderId="5" xfId="0" applyFont="1" applyBorder="1" applyAlignment="1">
      <alignment horizontal="left" vertical="top" wrapText="1"/>
    </xf>
    <xf numFmtId="0" fontId="48" fillId="0" borderId="7" xfId="0" applyFont="1" applyBorder="1" applyAlignment="1">
      <alignment horizontal="left" vertical="top" wrapText="1"/>
    </xf>
    <xf numFmtId="0" fontId="48" fillId="0" borderId="58" xfId="0" applyFont="1" applyBorder="1" applyAlignment="1">
      <alignment horizontal="left" vertical="top" wrapText="1"/>
    </xf>
    <xf numFmtId="0" fontId="65" fillId="21" borderId="9" xfId="0" applyFont="1" applyFill="1" applyBorder="1" applyAlignment="1">
      <alignment horizontal="center"/>
    </xf>
    <xf numFmtId="0" fontId="7" fillId="21" borderId="0" xfId="0" applyFont="1" applyFill="1" applyAlignment="1">
      <alignment horizontal="center"/>
    </xf>
    <xf numFmtId="0" fontId="64" fillId="21" borderId="11" xfId="0" applyFont="1" applyFill="1" applyBorder="1" applyAlignment="1">
      <alignment horizontal="center"/>
    </xf>
    <xf numFmtId="0" fontId="64" fillId="21" borderId="12" xfId="0" applyFont="1" applyFill="1" applyBorder="1" applyAlignment="1">
      <alignment horizontal="center"/>
    </xf>
    <xf numFmtId="0" fontId="64" fillId="21" borderId="13" xfId="0" applyFont="1" applyFill="1" applyBorder="1" applyAlignment="1">
      <alignment horizontal="center"/>
    </xf>
    <xf numFmtId="0" fontId="32" fillId="13" borderId="0" xfId="0" applyFont="1" applyFill="1" applyAlignment="1">
      <alignment horizontal="center" vertical="center" textRotation="180"/>
    </xf>
    <xf numFmtId="0" fontId="14" fillId="10" borderId="0" xfId="0" applyFont="1" applyFill="1" applyAlignment="1">
      <alignment horizontal="center" vertical="center" textRotation="90"/>
    </xf>
    <xf numFmtId="0" fontId="33" fillId="9" borderId="0" xfId="0" applyFont="1" applyFill="1" applyAlignment="1">
      <alignment horizontal="center" vertical="center" textRotation="180"/>
    </xf>
    <xf numFmtId="0" fontId="56" fillId="0" borderId="0" xfId="0" applyFont="1" applyAlignment="1">
      <alignment horizontal="center"/>
    </xf>
    <xf numFmtId="9" fontId="56" fillId="20" borderId="83" xfId="2" applyFont="1" applyFill="1" applyBorder="1" applyAlignment="1">
      <alignment horizontal="left"/>
    </xf>
    <xf numFmtId="9" fontId="56" fillId="20" borderId="0" xfId="2" applyFont="1" applyFill="1" applyBorder="1" applyAlignment="1">
      <alignment horizontal="left"/>
    </xf>
    <xf numFmtId="9" fontId="56" fillId="20" borderId="93" xfId="2" applyFont="1" applyFill="1" applyBorder="1" applyAlignment="1">
      <alignment horizontal="left"/>
    </xf>
    <xf numFmtId="0" fontId="56" fillId="0" borderId="60" xfId="0" applyFont="1" applyBorder="1"/>
    <xf numFmtId="0" fontId="56" fillId="0" borderId="10" xfId="0" applyFont="1" applyBorder="1"/>
    <xf numFmtId="0" fontId="56" fillId="0" borderId="61" xfId="0" applyFont="1" applyBorder="1"/>
    <xf numFmtId="0" fontId="48" fillId="0" borderId="34" xfId="0" applyFont="1" applyBorder="1" applyAlignment="1">
      <alignment horizontal="left" vertical="top" wrapText="1"/>
    </xf>
    <xf numFmtId="0" fontId="48" fillId="0" borderId="43" xfId="0" applyFont="1" applyBorder="1" applyAlignment="1">
      <alignment horizontal="left" vertical="top" wrapText="1"/>
    </xf>
    <xf numFmtId="0" fontId="48" fillId="0" borderId="17" xfId="0" applyFont="1" applyBorder="1" applyAlignment="1">
      <alignment horizontal="left" vertical="top" wrapText="1"/>
    </xf>
    <xf numFmtId="0" fontId="48" fillId="0" borderId="44" xfId="0" applyFont="1" applyBorder="1" applyAlignment="1">
      <alignment horizontal="left" vertical="top" wrapText="1"/>
    </xf>
    <xf numFmtId="39" fontId="48" fillId="0" borderId="102" xfId="2" applyNumberFormat="1" applyFont="1" applyBorder="1" applyAlignment="1">
      <alignment horizontal="left"/>
    </xf>
    <xf numFmtId="39" fontId="48" fillId="0" borderId="67" xfId="2" applyNumberFormat="1" applyFont="1" applyBorder="1" applyAlignment="1">
      <alignment horizontal="left"/>
    </xf>
    <xf numFmtId="37" fontId="70" fillId="0" borderId="105" xfId="0" applyNumberFormat="1" applyFont="1" applyBorder="1" applyAlignment="1">
      <alignment horizontal="left"/>
    </xf>
    <xf numFmtId="37" fontId="70" fillId="0" borderId="106" xfId="0" applyNumberFormat="1" applyFont="1" applyBorder="1" applyAlignment="1">
      <alignment horizontal="left"/>
    </xf>
    <xf numFmtId="0" fontId="49" fillId="32" borderId="0" xfId="0" applyFont="1" applyFill="1" applyAlignment="1">
      <alignment horizontal="center" vertical="center"/>
    </xf>
    <xf numFmtId="9" fontId="49" fillId="32" borderId="83" xfId="2" applyFont="1" applyFill="1" applyBorder="1" applyAlignment="1">
      <alignment horizontal="center"/>
    </xf>
    <xf numFmtId="9" fontId="49" fillId="32" borderId="0" xfId="2" applyFont="1" applyFill="1" applyBorder="1" applyAlignment="1">
      <alignment horizontal="center"/>
    </xf>
    <xf numFmtId="9" fontId="49" fillId="32" borderId="93" xfId="2" applyFont="1" applyFill="1" applyBorder="1" applyAlignment="1">
      <alignment horizontal="center"/>
    </xf>
    <xf numFmtId="0" fontId="56" fillId="0" borderId="34" xfId="0" applyFont="1" applyBorder="1"/>
    <xf numFmtId="0" fontId="56" fillId="0" borderId="0" xfId="0" applyFont="1"/>
    <xf numFmtId="0" fontId="56" fillId="0" borderId="35" xfId="0" applyFont="1" applyBorder="1"/>
    <xf numFmtId="37" fontId="56" fillId="0" borderId="103" xfId="0" applyNumberFormat="1" applyFont="1" applyBorder="1" applyAlignment="1">
      <alignment horizontal="left"/>
    </xf>
    <xf numFmtId="37" fontId="56" fillId="0" borderId="66" xfId="0" applyNumberFormat="1" applyFont="1" applyBorder="1" applyAlignment="1">
      <alignment horizontal="left"/>
    </xf>
    <xf numFmtId="37" fontId="49" fillId="32" borderId="83" xfId="0" applyNumberFormat="1" applyFont="1" applyFill="1" applyBorder="1" applyAlignment="1">
      <alignment horizontal="center"/>
    </xf>
    <xf numFmtId="37" fontId="49" fillId="32" borderId="0" xfId="0" applyNumberFormat="1" applyFont="1" applyFill="1" applyAlignment="1">
      <alignment horizontal="center"/>
    </xf>
    <xf numFmtId="37" fontId="49" fillId="32" borderId="93" xfId="0" applyNumberFormat="1" applyFont="1" applyFill="1" applyBorder="1" applyAlignment="1">
      <alignment horizontal="center"/>
    </xf>
    <xf numFmtId="0" fontId="42" fillId="0" borderId="34" xfId="0" applyFont="1" applyBorder="1" applyAlignment="1">
      <alignment horizontal="left" vertical="top" wrapText="1"/>
    </xf>
    <xf numFmtId="0" fontId="42" fillId="0" borderId="0" xfId="0" applyFont="1" applyAlignment="1">
      <alignment horizontal="left" vertical="top" wrapText="1"/>
    </xf>
    <xf numFmtId="0" fontId="42" fillId="0" borderId="35" xfId="0" applyFont="1" applyBorder="1" applyAlignment="1">
      <alignment horizontal="left" vertical="top" wrapText="1"/>
    </xf>
    <xf numFmtId="0" fontId="42" fillId="0" borderId="57" xfId="0" applyFont="1" applyBorder="1" applyAlignment="1">
      <alignment horizontal="left" vertical="top" wrapText="1"/>
    </xf>
    <xf numFmtId="0" fontId="42" fillId="0" borderId="7" xfId="0" applyFont="1" applyBorder="1" applyAlignment="1">
      <alignment horizontal="left" vertical="top" wrapText="1"/>
    </xf>
    <xf numFmtId="0" fontId="42" fillId="0" borderId="58" xfId="0" applyFont="1" applyBorder="1" applyAlignment="1">
      <alignment horizontal="left" vertical="top" wrapText="1"/>
    </xf>
    <xf numFmtId="0" fontId="42" fillId="0" borderId="90" xfId="0" applyFont="1" applyBorder="1"/>
    <xf numFmtId="0" fontId="42" fillId="0" borderId="82" xfId="0" applyFont="1" applyBorder="1"/>
    <xf numFmtId="0" fontId="42" fillId="0" borderId="89" xfId="0" applyFont="1" applyBorder="1"/>
    <xf numFmtId="0" fontId="70" fillId="20" borderId="0" xfId="0" applyFont="1" applyFill="1" applyAlignment="1">
      <alignment horizontal="center"/>
    </xf>
    <xf numFmtId="0" fontId="49" fillId="32" borderId="40" xfId="0" applyFont="1" applyFill="1" applyBorder="1" applyAlignment="1">
      <alignment horizontal="center"/>
    </xf>
    <xf numFmtId="0" fontId="49" fillId="32" borderId="41" xfId="0" applyFont="1" applyFill="1" applyBorder="1" applyAlignment="1">
      <alignment horizontal="center"/>
    </xf>
    <xf numFmtId="0" fontId="49" fillId="32" borderId="42" xfId="0" applyFont="1" applyFill="1" applyBorder="1" applyAlignment="1">
      <alignment horizontal="center"/>
    </xf>
    <xf numFmtId="0" fontId="56" fillId="0" borderId="34" xfId="0" applyFont="1" applyBorder="1" applyAlignment="1">
      <alignment horizontal="left" vertical="top" wrapText="1"/>
    </xf>
    <xf numFmtId="0" fontId="56" fillId="0" borderId="93" xfId="0" applyFont="1" applyBorder="1"/>
    <xf numFmtId="0" fontId="7" fillId="32" borderId="0" xfId="0" applyFont="1" applyFill="1" applyAlignment="1">
      <alignment horizontal="center" vertical="center"/>
    </xf>
    <xf numFmtId="164" fontId="56" fillId="0" borderId="0" xfId="0" applyNumberFormat="1" applyFont="1" applyAlignment="1">
      <alignment horizontal="center" vertical="center"/>
    </xf>
    <xf numFmtId="0" fontId="56" fillId="0" borderId="0" xfId="0" applyFont="1" applyAlignment="1">
      <alignment horizontal="center" vertical="center"/>
    </xf>
    <xf numFmtId="0" fontId="16" fillId="32" borderId="11" xfId="0" applyFont="1" applyFill="1" applyBorder="1" applyAlignment="1">
      <alignment horizontal="center"/>
    </xf>
    <xf numFmtId="0" fontId="16" fillId="32" borderId="12" xfId="0" applyFont="1" applyFill="1" applyBorder="1" applyAlignment="1">
      <alignment horizontal="center"/>
    </xf>
    <xf numFmtId="0" fontId="16" fillId="32" borderId="13" xfId="0" applyFont="1" applyFill="1" applyBorder="1" applyAlignment="1">
      <alignment horizontal="center"/>
    </xf>
    <xf numFmtId="0" fontId="14" fillId="32" borderId="7" xfId="0" applyFont="1" applyFill="1" applyBorder="1" applyAlignment="1">
      <alignment horizontal="center"/>
    </xf>
    <xf numFmtId="0" fontId="14" fillId="0" borderId="0" xfId="0" applyFont="1" applyAlignment="1">
      <alignment horizontal="center"/>
    </xf>
    <xf numFmtId="0" fontId="81" fillId="0" borderId="0" xfId="0" applyFont="1" applyAlignment="1">
      <alignment horizontal="center"/>
    </xf>
    <xf numFmtId="0" fontId="16" fillId="32" borderId="0" xfId="0" applyFont="1" applyFill="1" applyAlignment="1">
      <alignment horizontal="center"/>
    </xf>
    <xf numFmtId="0" fontId="86" fillId="32" borderId="7" xfId="0" applyFont="1" applyFill="1" applyBorder="1" applyAlignment="1">
      <alignment horizontal="center" vertical="center"/>
    </xf>
    <xf numFmtId="0" fontId="48" fillId="0" borderId="54" xfId="0" applyFont="1" applyBorder="1" applyAlignment="1">
      <alignment horizontal="center" vertical="center" wrapText="1"/>
    </xf>
    <xf numFmtId="0" fontId="48" fillId="0" borderId="113" xfId="0" applyFont="1" applyBorder="1" applyAlignment="1">
      <alignment horizontal="center" vertical="center" wrapText="1"/>
    </xf>
    <xf numFmtId="0" fontId="48" fillId="0" borderId="81" xfId="0" applyFont="1" applyBorder="1" applyAlignment="1">
      <alignment horizontal="center" vertical="center" wrapText="1"/>
    </xf>
    <xf numFmtId="0" fontId="52" fillId="19" borderId="0" xfId="0" applyFont="1" applyFill="1" applyAlignment="1">
      <alignment horizontal="center"/>
    </xf>
    <xf numFmtId="0" fontId="48" fillId="0" borderId="12" xfId="0" applyFont="1" applyBorder="1" applyAlignment="1">
      <alignment horizontal="center"/>
    </xf>
    <xf numFmtId="0" fontId="48" fillId="0" borderId="13" xfId="0" applyFont="1" applyBorder="1" applyAlignment="1">
      <alignment horizontal="center"/>
    </xf>
    <xf numFmtId="0" fontId="52" fillId="21" borderId="7" xfId="0" applyFont="1" applyFill="1" applyBorder="1" applyAlignment="1">
      <alignment horizontal="center"/>
    </xf>
    <xf numFmtId="0" fontId="24" fillId="0" borderId="0" xfId="0" applyFont="1" applyAlignment="1">
      <alignment horizontal="center"/>
    </xf>
    <xf numFmtId="0" fontId="71" fillId="21" borderId="11" xfId="0" applyFont="1" applyFill="1" applyBorder="1" applyAlignment="1">
      <alignment horizontal="center"/>
    </xf>
    <xf numFmtId="0" fontId="71" fillId="21" borderId="12" xfId="0" applyFont="1" applyFill="1" applyBorder="1" applyAlignment="1">
      <alignment horizontal="center"/>
    </xf>
    <xf numFmtId="0" fontId="71" fillId="21" borderId="13" xfId="0" applyFont="1" applyFill="1" applyBorder="1" applyAlignment="1">
      <alignment horizontal="center"/>
    </xf>
    <xf numFmtId="0" fontId="47" fillId="15" borderId="41" xfId="0" applyFont="1" applyFill="1" applyBorder="1" applyAlignment="1">
      <alignment horizontal="center" vertical="center" wrapText="1"/>
    </xf>
    <xf numFmtId="0" fontId="47" fillId="15" borderId="42" xfId="0" applyFont="1" applyFill="1" applyBorder="1" applyAlignment="1">
      <alignment horizontal="center" vertical="center" wrapText="1"/>
    </xf>
    <xf numFmtId="0" fontId="39" fillId="15" borderId="40" xfId="0" applyFont="1" applyFill="1" applyBorder="1" applyAlignment="1">
      <alignment horizontal="left" vertical="center" wrapText="1"/>
    </xf>
    <xf numFmtId="0" fontId="39" fillId="15" borderId="42" xfId="0" applyFont="1" applyFill="1" applyBorder="1" applyAlignment="1">
      <alignment horizontal="left" vertical="center" wrapText="1"/>
    </xf>
    <xf numFmtId="0" fontId="47" fillId="15" borderId="40" xfId="0" applyFont="1" applyFill="1" applyBorder="1" applyAlignment="1">
      <alignment horizontal="center" vertical="center" wrapText="1"/>
    </xf>
    <xf numFmtId="0" fontId="41" fillId="0" borderId="0" xfId="0" applyFont="1" applyAlignment="1">
      <alignment horizontal="left" vertical="top" wrapText="1"/>
    </xf>
    <xf numFmtId="0" fontId="47" fillId="15" borderId="38" xfId="0" applyFont="1" applyFill="1" applyBorder="1" applyAlignment="1">
      <alignment horizontal="left"/>
    </xf>
    <xf numFmtId="0" fontId="47" fillId="15" borderId="39" xfId="0" applyFont="1" applyFill="1" applyBorder="1" applyAlignment="1">
      <alignment horizontal="left"/>
    </xf>
    <xf numFmtId="0" fontId="75" fillId="0" borderId="53" xfId="0" applyFont="1" applyBorder="1" applyAlignment="1">
      <alignment horizontal="center" vertical="center"/>
    </xf>
    <xf numFmtId="0" fontId="75" fillId="0" borderId="54" xfId="0" applyFont="1" applyBorder="1" applyAlignment="1">
      <alignment horizontal="center" vertical="center"/>
    </xf>
    <xf numFmtId="0" fontId="75" fillId="0" borderId="68" xfId="0" applyFont="1" applyBorder="1" applyAlignment="1">
      <alignment horizontal="center" vertical="center" wrapText="1"/>
    </xf>
    <xf numFmtId="0" fontId="75" fillId="0" borderId="12" xfId="0" applyFont="1" applyBorder="1" applyAlignment="1">
      <alignment horizontal="center" vertical="center" wrapText="1"/>
    </xf>
    <xf numFmtId="0" fontId="75" fillId="0" borderId="68" xfId="0" applyFont="1" applyBorder="1" applyAlignment="1">
      <alignment horizontal="center" vertical="center"/>
    </xf>
    <xf numFmtId="0" fontId="75" fillId="0" borderId="12" xfId="0" applyFont="1" applyBorder="1" applyAlignment="1">
      <alignment horizontal="center" vertical="center"/>
    </xf>
    <xf numFmtId="0" fontId="45" fillId="18" borderId="14" xfId="0" applyFont="1" applyFill="1" applyBorder="1" applyAlignment="1">
      <alignment horizontal="center" wrapText="1"/>
    </xf>
    <xf numFmtId="0" fontId="45" fillId="18" borderId="23" xfId="0" applyFont="1" applyFill="1" applyBorder="1" applyAlignment="1">
      <alignment horizontal="center" wrapText="1"/>
    </xf>
    <xf numFmtId="0" fontId="45" fillId="0" borderId="14" xfId="0" applyFont="1" applyBorder="1" applyAlignment="1">
      <alignment horizontal="center"/>
    </xf>
    <xf numFmtId="0" fontId="45" fillId="0" borderId="80" xfId="0" applyFont="1" applyBorder="1" applyAlignment="1">
      <alignment horizontal="center"/>
    </xf>
    <xf numFmtId="0" fontId="45" fillId="0" borderId="53" xfId="0" applyFont="1" applyBorder="1" applyAlignment="1">
      <alignment horizontal="center"/>
    </xf>
    <xf numFmtId="0" fontId="45" fillId="0" borderId="81" xfId="0" applyFont="1" applyBorder="1" applyAlignment="1">
      <alignment horizontal="center"/>
    </xf>
    <xf numFmtId="0" fontId="45" fillId="0" borderId="68" xfId="0" applyFont="1" applyBorder="1" applyAlignment="1">
      <alignment horizontal="center"/>
    </xf>
    <xf numFmtId="0" fontId="45" fillId="0" borderId="13" xfId="0" applyFont="1" applyBorder="1" applyAlignment="1">
      <alignment horizontal="center"/>
    </xf>
    <xf numFmtId="0" fontId="45" fillId="0" borderId="36" xfId="0" applyFont="1" applyBorder="1" applyAlignment="1">
      <alignment horizontal="center"/>
    </xf>
    <xf numFmtId="0" fontId="45" fillId="0" borderId="37" xfId="0" applyFont="1" applyBorder="1" applyAlignment="1">
      <alignment horizontal="center"/>
    </xf>
    <xf numFmtId="0" fontId="14" fillId="19" borderId="0" xfId="0" applyFont="1" applyFill="1" applyAlignment="1">
      <alignment horizontal="center"/>
    </xf>
    <xf numFmtId="0" fontId="0" fillId="0" borderId="16" xfId="0" applyBorder="1" applyAlignment="1">
      <alignment horizontal="center" vertical="center" textRotation="180"/>
    </xf>
    <xf numFmtId="0" fontId="0" fillId="0" borderId="20" xfId="0" applyBorder="1" applyAlignment="1">
      <alignment horizontal="center" vertical="center" textRotation="180"/>
    </xf>
    <xf numFmtId="0" fontId="0" fillId="0" borderId="21" xfId="0" applyBorder="1" applyAlignment="1">
      <alignment horizontal="center" vertical="center" textRotation="180"/>
    </xf>
    <xf numFmtId="0" fontId="0" fillId="0" borderId="0" xfId="0" applyAlignment="1">
      <alignment horizontal="center" vertical="center" textRotation="180"/>
    </xf>
    <xf numFmtId="0" fontId="30" fillId="0" borderId="0" xfId="0" applyFont="1" applyAlignment="1">
      <alignment horizontal="center"/>
    </xf>
    <xf numFmtId="0" fontId="34" fillId="0" borderId="0" xfId="0" applyFont="1" applyAlignment="1">
      <alignment horizontal="center"/>
    </xf>
    <xf numFmtId="0" fontId="31" fillId="0" borderId="0" xfId="0" applyFont="1" applyAlignment="1">
      <alignment horizontal="center"/>
    </xf>
    <xf numFmtId="0" fontId="34" fillId="0" borderId="7" xfId="0" applyFont="1" applyBorder="1" applyAlignment="1">
      <alignment horizontal="center"/>
    </xf>
    <xf numFmtId="0" fontId="34" fillId="0" borderId="7" xfId="0" applyFont="1" applyBorder="1" applyAlignment="1">
      <alignment horizontal="center" vertical="top"/>
    </xf>
  </cellXfs>
  <cellStyles count="6">
    <cellStyle name="Comma" xfId="4" builtinId="3"/>
    <cellStyle name="Currency" xfId="1" builtinId="4"/>
    <cellStyle name="Hyperlink" xfId="3" builtinId="8"/>
    <cellStyle name="Normal" xfId="0" builtinId="0"/>
    <cellStyle name="Normal 3" xfId="5" xr:uid="{4D761947-8D46-2844-B6F4-A47252A38CAC}"/>
    <cellStyle name="Percent" xfId="2" builtinId="5"/>
  </cellStyles>
  <dxfs count="3">
    <dxf>
      <numFmt numFmtId="177" formatCode="m/d/yyyy"/>
    </dxf>
    <dxf>
      <font>
        <color rgb="FFFF0000"/>
      </font>
      <fill>
        <patternFill>
          <bgColor theme="5" tint="0.79998168889431442"/>
        </patternFill>
      </fill>
    </dxf>
    <dxf>
      <font>
        <color theme="6"/>
      </font>
      <fill>
        <patternFill>
          <bgColor theme="9" tint="0.79998168889431442"/>
        </patternFill>
      </fill>
    </dxf>
  </dxfs>
  <tableStyles count="0" defaultTableStyle="TableStyleMedium2" defaultPivotStyle="PivotStyleLight16"/>
  <colors>
    <mruColors>
      <color rgb="FF0F3557"/>
      <color rgb="FFDDD9C3"/>
      <color rgb="FF74B1E7"/>
      <color rgb="FF2E89DB"/>
      <color rgb="FF0432FF"/>
      <color rgb="FF00005C"/>
      <color rgb="FF081A2C"/>
      <color rgb="FF00002E"/>
      <color rgb="FFFCFF9E"/>
      <color rgb="FFF2A8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'Market Share'!$A$5</c:f>
              <c:strCache>
                <c:ptCount val="1"/>
                <c:pt idx="0">
                  <c:v>Paypal</c:v>
                </c:pt>
              </c:strCache>
            </c:strRef>
          </c:tx>
          <c:spPr>
            <a:solidFill>
              <a:srgbClr val="2E89DB"/>
            </a:solidFill>
            <a:ln>
              <a:noFill/>
            </a:ln>
            <a:effectLst/>
          </c:spPr>
          <c:cat>
            <c:strRef>
              <c:f>'Market Share'!$B$4:$F$4</c:f>
              <c:strCache>
                <c:ptCount val="5"/>
                <c:pt idx="0">
                  <c:v>2020</c:v>
                </c:pt>
                <c:pt idx="1">
                  <c:v>2021</c:v>
                </c:pt>
                <c:pt idx="2">
                  <c:v>2022</c:v>
                </c:pt>
                <c:pt idx="3">
                  <c:v>2023</c:v>
                </c:pt>
                <c:pt idx="4">
                  <c:v>LTM</c:v>
                </c:pt>
              </c:strCache>
            </c:strRef>
          </c:cat>
          <c:val>
            <c:numRef>
              <c:f>'Market Share'!$B$5:$F$5</c:f>
              <c:numCache>
                <c:formatCode>0%</c:formatCode>
                <c:ptCount val="5"/>
                <c:pt idx="0">
                  <c:v>4.1000000000000002E-2</c:v>
                </c:pt>
                <c:pt idx="1">
                  <c:v>4.1000000000000002E-2</c:v>
                </c:pt>
                <c:pt idx="2">
                  <c:v>5.6000000000000001E-2</c:v>
                </c:pt>
                <c:pt idx="3">
                  <c:v>5.8999999999999997E-2</c:v>
                </c:pt>
                <c:pt idx="4">
                  <c:v>6.2E-2</c:v>
                </c:pt>
              </c:numCache>
            </c:numRef>
          </c:val>
          <c:extLst>
            <c:ext xmlns:c16="http://schemas.microsoft.com/office/drawing/2014/chart" uri="{C3380CC4-5D6E-409C-BE32-E72D297353CC}">
              <c16:uniqueId val="{00000000-72FA-2341-84C4-E14036DE936C}"/>
            </c:ext>
          </c:extLst>
        </c:ser>
        <c:ser>
          <c:idx val="1"/>
          <c:order val="1"/>
          <c:tx>
            <c:strRef>
              <c:f>'Market Share'!$A$6</c:f>
              <c:strCache>
                <c:ptCount val="1"/>
                <c:pt idx="0">
                  <c:v>Block</c:v>
                </c:pt>
              </c:strCache>
            </c:strRef>
          </c:tx>
          <c:spPr>
            <a:solidFill>
              <a:srgbClr val="081A2C"/>
            </a:solidFill>
            <a:ln>
              <a:noFill/>
            </a:ln>
            <a:effectLst/>
          </c:spPr>
          <c:cat>
            <c:strRef>
              <c:f>'Market Share'!$B$4:$F$4</c:f>
              <c:strCache>
                <c:ptCount val="5"/>
                <c:pt idx="0">
                  <c:v>2020</c:v>
                </c:pt>
                <c:pt idx="1">
                  <c:v>2021</c:v>
                </c:pt>
                <c:pt idx="2">
                  <c:v>2022</c:v>
                </c:pt>
                <c:pt idx="3">
                  <c:v>2023</c:v>
                </c:pt>
                <c:pt idx="4">
                  <c:v>LTM</c:v>
                </c:pt>
              </c:strCache>
            </c:strRef>
          </c:cat>
          <c:val>
            <c:numRef>
              <c:f>'Market Share'!$B$6:$F$6</c:f>
              <c:numCache>
                <c:formatCode>0%</c:formatCode>
                <c:ptCount val="5"/>
                <c:pt idx="0">
                  <c:v>7.3999999999999996E-2</c:v>
                </c:pt>
                <c:pt idx="1">
                  <c:v>8.5000000000000006E-2</c:v>
                </c:pt>
                <c:pt idx="2">
                  <c:v>0.115</c:v>
                </c:pt>
                <c:pt idx="3">
                  <c:v>0.124</c:v>
                </c:pt>
                <c:pt idx="4">
                  <c:v>0.14000000000000001</c:v>
                </c:pt>
              </c:numCache>
            </c:numRef>
          </c:val>
          <c:extLst>
            <c:ext xmlns:c16="http://schemas.microsoft.com/office/drawing/2014/chart" uri="{C3380CC4-5D6E-409C-BE32-E72D297353CC}">
              <c16:uniqueId val="{00000001-72FA-2341-84C4-E14036DE936C}"/>
            </c:ext>
          </c:extLst>
        </c:ser>
        <c:ser>
          <c:idx val="2"/>
          <c:order val="2"/>
          <c:tx>
            <c:strRef>
              <c:f>'Market Share'!$A$7</c:f>
              <c:strCache>
                <c:ptCount val="1"/>
                <c:pt idx="0">
                  <c:v>Shopify</c:v>
                </c:pt>
              </c:strCache>
            </c:strRef>
          </c:tx>
          <c:spPr>
            <a:solidFill>
              <a:srgbClr val="DDD9C3"/>
            </a:solidFill>
            <a:ln>
              <a:noFill/>
            </a:ln>
            <a:effectLst/>
          </c:spPr>
          <c:cat>
            <c:strRef>
              <c:f>'Market Share'!$B$4:$F$4</c:f>
              <c:strCache>
                <c:ptCount val="5"/>
                <c:pt idx="0">
                  <c:v>2020</c:v>
                </c:pt>
                <c:pt idx="1">
                  <c:v>2021</c:v>
                </c:pt>
                <c:pt idx="2">
                  <c:v>2022</c:v>
                </c:pt>
                <c:pt idx="3">
                  <c:v>2023</c:v>
                </c:pt>
                <c:pt idx="4">
                  <c:v>LTM</c:v>
                </c:pt>
              </c:strCache>
            </c:strRef>
          </c:cat>
          <c:val>
            <c:numRef>
              <c:f>'Market Share'!$B$7:$F$7</c:f>
              <c:numCache>
                <c:formatCode>0%</c:formatCode>
                <c:ptCount val="5"/>
                <c:pt idx="0">
                  <c:v>1.5741030218583991E-2</c:v>
                </c:pt>
                <c:pt idx="1">
                  <c:v>1.4802020202020203E-2</c:v>
                </c:pt>
                <c:pt idx="2">
                  <c:v>2.6221590212567734E-2</c:v>
                </c:pt>
                <c:pt idx="3">
                  <c:v>2.8235789679915756E-2</c:v>
                </c:pt>
                <c:pt idx="4">
                  <c:v>3.60444556706239E-2</c:v>
                </c:pt>
              </c:numCache>
            </c:numRef>
          </c:val>
          <c:extLst>
            <c:ext xmlns:c16="http://schemas.microsoft.com/office/drawing/2014/chart" uri="{C3380CC4-5D6E-409C-BE32-E72D297353CC}">
              <c16:uniqueId val="{00000002-72FA-2341-84C4-E14036DE936C}"/>
            </c:ext>
          </c:extLst>
        </c:ser>
        <c:ser>
          <c:idx val="3"/>
          <c:order val="3"/>
          <c:tx>
            <c:strRef>
              <c:f>'Market Share'!$A$8</c:f>
              <c:strCache>
                <c:ptCount val="1"/>
                <c:pt idx="0">
                  <c:v>Toast</c:v>
                </c:pt>
              </c:strCache>
            </c:strRef>
          </c:tx>
          <c:spPr>
            <a:solidFill>
              <a:schemeClr val="accent6">
                <a:lumMod val="75000"/>
              </a:schemeClr>
            </a:solidFill>
            <a:ln>
              <a:noFill/>
            </a:ln>
            <a:effectLst/>
          </c:spPr>
          <c:cat>
            <c:strRef>
              <c:f>'Market Share'!$B$4:$F$4</c:f>
              <c:strCache>
                <c:ptCount val="5"/>
                <c:pt idx="0">
                  <c:v>2020</c:v>
                </c:pt>
                <c:pt idx="1">
                  <c:v>2021</c:v>
                </c:pt>
                <c:pt idx="2">
                  <c:v>2022</c:v>
                </c:pt>
                <c:pt idx="3">
                  <c:v>2023</c:v>
                </c:pt>
                <c:pt idx="4">
                  <c:v>LTM</c:v>
                </c:pt>
              </c:strCache>
            </c:strRef>
          </c:cat>
          <c:val>
            <c:numRef>
              <c:f>'Market Share'!$B$8:$F$8</c:f>
              <c:numCache>
                <c:formatCode>0%</c:formatCode>
                <c:ptCount val="5"/>
                <c:pt idx="0">
                  <c:v>6.6295828616215269E-3</c:v>
                </c:pt>
                <c:pt idx="1">
                  <c:v>8.4863123993558776E-3</c:v>
                </c:pt>
                <c:pt idx="2">
                  <c:v>1.9250312599602817E-2</c:v>
                </c:pt>
                <c:pt idx="3">
                  <c:v>2.3474150809394363E-2</c:v>
                </c:pt>
                <c:pt idx="4">
                  <c:v>2.9413993432685026E-2</c:v>
                </c:pt>
              </c:numCache>
            </c:numRef>
          </c:val>
          <c:extLst>
            <c:ext xmlns:c16="http://schemas.microsoft.com/office/drawing/2014/chart" uri="{C3380CC4-5D6E-409C-BE32-E72D297353CC}">
              <c16:uniqueId val="{00000003-72FA-2341-84C4-E14036DE936C}"/>
            </c:ext>
          </c:extLst>
        </c:ser>
        <c:ser>
          <c:idx val="4"/>
          <c:order val="4"/>
          <c:tx>
            <c:strRef>
              <c:f>'Market Share'!$A$9</c:f>
              <c:strCache>
                <c:ptCount val="1"/>
                <c:pt idx="0">
                  <c:v>LSPD</c:v>
                </c:pt>
              </c:strCache>
            </c:strRef>
          </c:tx>
          <c:spPr>
            <a:solidFill>
              <a:srgbClr val="FF0000"/>
            </a:solidFill>
            <a:ln w="25400">
              <a:noFill/>
            </a:ln>
            <a:effectLst/>
          </c:spPr>
          <c:cat>
            <c:strRef>
              <c:f>'Market Share'!$B$4:$F$4</c:f>
              <c:strCache>
                <c:ptCount val="5"/>
                <c:pt idx="0">
                  <c:v>2020</c:v>
                </c:pt>
                <c:pt idx="1">
                  <c:v>2021</c:v>
                </c:pt>
                <c:pt idx="2">
                  <c:v>2022</c:v>
                </c:pt>
                <c:pt idx="3">
                  <c:v>2023</c:v>
                </c:pt>
                <c:pt idx="4">
                  <c:v>LTM</c:v>
                </c:pt>
              </c:strCache>
            </c:strRef>
          </c:cat>
          <c:val>
            <c:numRef>
              <c:f>'Market Share'!$B$9:$F$9</c:f>
              <c:numCache>
                <c:formatCode>0.0%</c:formatCode>
                <c:ptCount val="5"/>
                <c:pt idx="0">
                  <c:v>6.3476443438125916E-4</c:v>
                </c:pt>
                <c:pt idx="1">
                  <c:v>5.9389254867515734E-4</c:v>
                </c:pt>
                <c:pt idx="2">
                  <c:v>1.7511370044376888E-3</c:v>
                </c:pt>
                <c:pt idx="3">
                  <c:v>1.8145245267308305E-3</c:v>
                </c:pt>
                <c:pt idx="4">
                  <c:v>2.1343773680222284E-3</c:v>
                </c:pt>
              </c:numCache>
            </c:numRef>
          </c:val>
          <c:extLst>
            <c:ext xmlns:c16="http://schemas.microsoft.com/office/drawing/2014/chart" uri="{C3380CC4-5D6E-409C-BE32-E72D297353CC}">
              <c16:uniqueId val="{00000004-72FA-2341-84C4-E14036DE936C}"/>
            </c:ext>
          </c:extLst>
        </c:ser>
        <c:dLbls>
          <c:showLegendKey val="0"/>
          <c:showVal val="0"/>
          <c:showCatName val="0"/>
          <c:showSerName val="0"/>
          <c:showPercent val="0"/>
          <c:showBubbleSize val="0"/>
        </c:dLbls>
        <c:axId val="361323439"/>
        <c:axId val="361366447"/>
      </c:areaChart>
      <c:catAx>
        <c:axId val="361323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61366447"/>
        <c:crosses val="autoZero"/>
        <c:auto val="1"/>
        <c:lblAlgn val="ctr"/>
        <c:lblOffset val="100"/>
        <c:noMultiLvlLbl val="0"/>
      </c:catAx>
      <c:valAx>
        <c:axId val="361366447"/>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6132343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'Market Share'!$A$28</c:f>
              <c:strCache>
                <c:ptCount val="1"/>
                <c:pt idx="0">
                  <c:v># of Deals</c:v>
                </c:pt>
              </c:strCache>
            </c:strRef>
          </c:tx>
          <c:spPr>
            <a:solidFill>
              <a:srgbClr val="0F3557"/>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'Market Share'!$B$27:$D$27</c:f>
              <c:numCache>
                <c:formatCode>General</c:formatCode>
                <c:ptCount val="3"/>
                <c:pt idx="0">
                  <c:v>2019</c:v>
                </c:pt>
                <c:pt idx="1">
                  <c:v>2020</c:v>
                </c:pt>
                <c:pt idx="2">
                  <c:v>2021</c:v>
                </c:pt>
              </c:numCache>
            </c:numRef>
          </c:cat>
          <c:val>
            <c:numRef>
              <c:f>'Market Share'!$B$28:$D$28</c:f>
              <c:numCache>
                <c:formatCode>#,##0_);\(#,##0\)</c:formatCode>
                <c:ptCount val="3"/>
                <c:pt idx="0">
                  <c:v>3</c:v>
                </c:pt>
                <c:pt idx="1">
                  <c:v>3</c:v>
                </c:pt>
                <c:pt idx="2">
                  <c:v>3</c:v>
                </c:pt>
              </c:numCache>
            </c:numRef>
          </c:val>
          <c:extLst>
            <c:ext xmlns:c16="http://schemas.microsoft.com/office/drawing/2014/chart" uri="{C3380CC4-5D6E-409C-BE32-E72D297353CC}">
              <c16:uniqueId val="{00000000-6472-AC47-97BC-D29262409187}"/>
            </c:ext>
          </c:extLst>
        </c:ser>
        <c:dLbls>
          <c:showLegendKey val="0"/>
          <c:showVal val="0"/>
          <c:showCatName val="0"/>
          <c:showSerName val="0"/>
          <c:showPercent val="0"/>
          <c:showBubbleSize val="0"/>
        </c:dLbls>
        <c:gapWidth val="150"/>
        <c:axId val="2081538544"/>
        <c:axId val="182491343"/>
      </c:barChart>
      <c:lineChart>
        <c:grouping val="standard"/>
        <c:varyColors val="0"/>
        <c:ser>
          <c:idx val="1"/>
          <c:order val="1"/>
          <c:tx>
            <c:strRef>
              <c:f>'Market Share'!$A$29</c:f>
              <c:strCache>
                <c:ptCount val="1"/>
                <c:pt idx="0">
                  <c:v>Total Spent, usd mm</c:v>
                </c:pt>
              </c:strCache>
            </c:strRef>
          </c:tx>
          <c:spPr>
            <a:ln w="28575" cap="rnd">
              <a:solidFill>
                <a:srgbClr val="2E89DB"/>
              </a:solidFill>
              <a:round/>
            </a:ln>
            <a:effectLst/>
          </c:spPr>
          <c:marker>
            <c:symbol val="none"/>
          </c:marker>
          <c:cat>
            <c:numRef>
              <c:f>'Market Share'!$B$27:$D$27</c:f>
              <c:numCache>
                <c:formatCode>General</c:formatCode>
                <c:ptCount val="3"/>
                <c:pt idx="0">
                  <c:v>2019</c:v>
                </c:pt>
                <c:pt idx="1">
                  <c:v>2020</c:v>
                </c:pt>
                <c:pt idx="2">
                  <c:v>2021</c:v>
                </c:pt>
              </c:numCache>
            </c:numRef>
          </c:cat>
          <c:val>
            <c:numRef>
              <c:f>'Market Share'!$B$29:$D$29</c:f>
              <c:numCache>
                <c:formatCode>#,##0_);\(#,##0\)</c:formatCode>
                <c:ptCount val="3"/>
                <c:pt idx="0">
                  <c:v>94.92</c:v>
                </c:pt>
                <c:pt idx="1">
                  <c:v>949.85</c:v>
                </c:pt>
                <c:pt idx="2">
                  <c:v>1321.63</c:v>
                </c:pt>
              </c:numCache>
            </c:numRef>
          </c:val>
          <c:smooth val="0"/>
          <c:extLst>
            <c:ext xmlns:c16="http://schemas.microsoft.com/office/drawing/2014/chart" uri="{C3380CC4-5D6E-409C-BE32-E72D297353CC}">
              <c16:uniqueId val="{00000001-6472-AC47-97BC-D29262409187}"/>
            </c:ext>
          </c:extLst>
        </c:ser>
        <c:dLbls>
          <c:showLegendKey val="0"/>
          <c:showVal val="0"/>
          <c:showCatName val="0"/>
          <c:showSerName val="0"/>
          <c:showPercent val="0"/>
          <c:showBubbleSize val="0"/>
        </c:dLbls>
        <c:marker val="1"/>
        <c:smooth val="0"/>
        <c:axId val="2068680976"/>
        <c:axId val="2068437008"/>
      </c:lineChart>
      <c:catAx>
        <c:axId val="208153854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2491343"/>
        <c:crosses val="autoZero"/>
        <c:auto val="1"/>
        <c:lblAlgn val="ctr"/>
        <c:lblOffset val="100"/>
        <c:noMultiLvlLbl val="0"/>
      </c:catAx>
      <c:valAx>
        <c:axId val="182491343"/>
        <c:scaling>
          <c:orientation val="minMax"/>
        </c:scaling>
        <c:delete val="0"/>
        <c:axPos val="l"/>
        <c:numFmt formatCode="#,##0_);\(#,##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81538544"/>
        <c:crosses val="autoZero"/>
        <c:crossBetween val="between"/>
      </c:valAx>
      <c:valAx>
        <c:axId val="2068437008"/>
        <c:scaling>
          <c:orientation val="minMax"/>
        </c:scaling>
        <c:delete val="0"/>
        <c:axPos val="r"/>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068680976"/>
        <c:crosses val="max"/>
        <c:crossBetween val="between"/>
      </c:valAx>
      <c:catAx>
        <c:axId val="2068680976"/>
        <c:scaling>
          <c:orientation val="minMax"/>
        </c:scaling>
        <c:delete val="1"/>
        <c:axPos val="b"/>
        <c:numFmt formatCode="General" sourceLinked="1"/>
        <c:majorTickMark val="none"/>
        <c:minorTickMark val="none"/>
        <c:tickLblPos val="nextTo"/>
        <c:crossAx val="206843700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'Market Share'!$A$50</c:f>
              <c:strCache>
                <c:ptCount val="1"/>
                <c:pt idx="0">
                  <c:v>Paypal</c:v>
                </c:pt>
              </c:strCache>
            </c:strRef>
          </c:tx>
          <c:spPr>
            <a:ln w="28575" cap="rnd">
              <a:solidFill>
                <a:srgbClr val="2E89DB"/>
              </a:solidFill>
              <a:round/>
            </a:ln>
            <a:effectLst/>
          </c:spPr>
          <c:marker>
            <c:symbol val="none"/>
          </c:marker>
          <c:cat>
            <c:numRef>
              <c:f>'Market Share'!$B$49:$F$49</c:f>
              <c:numCache>
                <c:formatCode>General</c:formatCode>
                <c:ptCount val="5"/>
                <c:pt idx="0">
                  <c:v>2020</c:v>
                </c:pt>
                <c:pt idx="1">
                  <c:v>2021</c:v>
                </c:pt>
                <c:pt idx="2">
                  <c:v>2022</c:v>
                </c:pt>
                <c:pt idx="3">
                  <c:v>2023</c:v>
                </c:pt>
                <c:pt idx="4">
                  <c:v>2024</c:v>
                </c:pt>
              </c:numCache>
            </c:numRef>
          </c:cat>
          <c:val>
            <c:numRef>
              <c:f>'Market Share'!$B$50:$F$50</c:f>
              <c:numCache>
                <c:formatCode>"$"#,##0.00</c:formatCode>
                <c:ptCount val="5"/>
                <c:pt idx="0">
                  <c:v>0.80958490566037733</c:v>
                </c:pt>
                <c:pt idx="1">
                  <c:v>0.82106796116504854</c:v>
                </c:pt>
                <c:pt idx="2">
                  <c:v>0.92033444816053511</c:v>
                </c:pt>
                <c:pt idx="3">
                  <c:v>1.0945220588235294</c:v>
                </c:pt>
                <c:pt idx="4">
                  <c:v>1.3031557377049181</c:v>
                </c:pt>
              </c:numCache>
            </c:numRef>
          </c:val>
          <c:smooth val="0"/>
          <c:extLst>
            <c:ext xmlns:c16="http://schemas.microsoft.com/office/drawing/2014/chart" uri="{C3380CC4-5D6E-409C-BE32-E72D297353CC}">
              <c16:uniqueId val="{00000000-A4AB-AC49-9120-03E85F7B7EE1}"/>
            </c:ext>
          </c:extLst>
        </c:ser>
        <c:ser>
          <c:idx val="1"/>
          <c:order val="1"/>
          <c:tx>
            <c:strRef>
              <c:f>'Market Share'!$A$51</c:f>
              <c:strCache>
                <c:ptCount val="1"/>
                <c:pt idx="0">
                  <c:v>Block</c:v>
                </c:pt>
              </c:strCache>
            </c:strRef>
          </c:tx>
          <c:spPr>
            <a:ln w="28575" cap="rnd">
              <a:solidFill>
                <a:srgbClr val="74B1E7"/>
              </a:solidFill>
              <a:round/>
            </a:ln>
            <a:effectLst/>
          </c:spPr>
          <c:marker>
            <c:symbol val="none"/>
          </c:marker>
          <c:cat>
            <c:numRef>
              <c:f>'Market Share'!$B$49:$F$49</c:f>
              <c:numCache>
                <c:formatCode>General</c:formatCode>
                <c:ptCount val="5"/>
                <c:pt idx="0">
                  <c:v>2020</c:v>
                </c:pt>
                <c:pt idx="1">
                  <c:v>2021</c:v>
                </c:pt>
                <c:pt idx="2">
                  <c:v>2022</c:v>
                </c:pt>
                <c:pt idx="3">
                  <c:v>2023</c:v>
                </c:pt>
                <c:pt idx="4">
                  <c:v>2024</c:v>
                </c:pt>
              </c:numCache>
            </c:numRef>
          </c:cat>
          <c:val>
            <c:numRef>
              <c:f>'Market Share'!$B$51:$F$51</c:f>
              <c:numCache>
                <c:formatCode>"$"#,##0.00</c:formatCode>
                <c:ptCount val="5"/>
                <c:pt idx="0">
                  <c:v>1.7340880043819611</c:v>
                </c:pt>
                <c:pt idx="1">
                  <c:v>2.0726675272855299</c:v>
                </c:pt>
                <c:pt idx="2">
                  <c:v>1.4106533633730285</c:v>
                </c:pt>
                <c:pt idx="3">
                  <c:v>1.6877628032345013</c:v>
                </c:pt>
                <c:pt idx="4">
                  <c:v>1.8376203311513284</c:v>
                </c:pt>
              </c:numCache>
            </c:numRef>
          </c:val>
          <c:smooth val="0"/>
          <c:extLst>
            <c:ext xmlns:c16="http://schemas.microsoft.com/office/drawing/2014/chart" uri="{C3380CC4-5D6E-409C-BE32-E72D297353CC}">
              <c16:uniqueId val="{00000001-A4AB-AC49-9120-03E85F7B7EE1}"/>
            </c:ext>
          </c:extLst>
        </c:ser>
        <c:ser>
          <c:idx val="2"/>
          <c:order val="2"/>
          <c:tx>
            <c:strRef>
              <c:f>'Market Share'!$A$52</c:f>
              <c:strCache>
                <c:ptCount val="1"/>
                <c:pt idx="0">
                  <c:v>Shopify</c:v>
                </c:pt>
              </c:strCache>
            </c:strRef>
          </c:tx>
          <c:spPr>
            <a:ln w="28575" cap="rnd">
              <a:solidFill>
                <a:srgbClr val="DDD9C3"/>
              </a:solidFill>
              <a:round/>
            </a:ln>
            <a:effectLst/>
          </c:spPr>
          <c:marker>
            <c:symbol val="none"/>
          </c:marker>
          <c:cat>
            <c:numRef>
              <c:f>'Market Share'!$B$49:$F$49</c:f>
              <c:numCache>
                <c:formatCode>General</c:formatCode>
                <c:ptCount val="5"/>
                <c:pt idx="0">
                  <c:v>2020</c:v>
                </c:pt>
                <c:pt idx="1">
                  <c:v>2021</c:v>
                </c:pt>
                <c:pt idx="2">
                  <c:v>2022</c:v>
                </c:pt>
                <c:pt idx="3">
                  <c:v>2023</c:v>
                </c:pt>
                <c:pt idx="4">
                  <c:v>2024</c:v>
                </c:pt>
              </c:numCache>
            </c:numRef>
          </c:cat>
          <c:val>
            <c:numRef>
              <c:f>'Market Share'!$B$52:$F$52</c:f>
              <c:numCache>
                <c:formatCode>"$"#,##0.00</c:formatCode>
                <c:ptCount val="5"/>
                <c:pt idx="0">
                  <c:v>0.41849999999999998</c:v>
                </c:pt>
                <c:pt idx="1">
                  <c:v>0.46115</c:v>
                </c:pt>
                <c:pt idx="2">
                  <c:v>0.48275862068965519</c:v>
                </c:pt>
                <c:pt idx="3">
                  <c:v>0.85060240963855427</c:v>
                </c:pt>
                <c:pt idx="4">
                  <c:v>1.0962962962962963</c:v>
                </c:pt>
              </c:numCache>
            </c:numRef>
          </c:val>
          <c:smooth val="0"/>
          <c:extLst>
            <c:ext xmlns:c16="http://schemas.microsoft.com/office/drawing/2014/chart" uri="{C3380CC4-5D6E-409C-BE32-E72D297353CC}">
              <c16:uniqueId val="{00000002-A4AB-AC49-9120-03E85F7B7EE1}"/>
            </c:ext>
          </c:extLst>
        </c:ser>
        <c:ser>
          <c:idx val="3"/>
          <c:order val="3"/>
          <c:tx>
            <c:strRef>
              <c:f>'Market Share'!$A$53</c:f>
              <c:strCache>
                <c:ptCount val="1"/>
                <c:pt idx="0">
                  <c:v>Toast</c:v>
                </c:pt>
              </c:strCache>
            </c:strRef>
          </c:tx>
          <c:spPr>
            <a:ln w="28575" cap="rnd">
              <a:solidFill>
                <a:srgbClr val="DDDDDD"/>
              </a:solidFill>
              <a:round/>
            </a:ln>
            <a:effectLst/>
          </c:spPr>
          <c:marker>
            <c:symbol val="none"/>
          </c:marker>
          <c:cat>
            <c:numRef>
              <c:f>'Market Share'!$B$49:$F$49</c:f>
              <c:numCache>
                <c:formatCode>General</c:formatCode>
                <c:ptCount val="5"/>
                <c:pt idx="0">
                  <c:v>2020</c:v>
                </c:pt>
                <c:pt idx="1">
                  <c:v>2021</c:v>
                </c:pt>
                <c:pt idx="2">
                  <c:v>2022</c:v>
                </c:pt>
                <c:pt idx="3">
                  <c:v>2023</c:v>
                </c:pt>
                <c:pt idx="4">
                  <c:v>2024</c:v>
                </c:pt>
              </c:numCache>
            </c:numRef>
          </c:cat>
          <c:val>
            <c:numRef>
              <c:f>'Market Share'!$B$53:$F$53</c:f>
              <c:numCache>
                <c:formatCode>"$"#,##0.00</c:formatCode>
                <c:ptCount val="5"/>
                <c:pt idx="0">
                  <c:v>0.41149999999999998</c:v>
                </c:pt>
                <c:pt idx="1">
                  <c:v>0.53751576292559899</c:v>
                </c:pt>
                <c:pt idx="2">
                  <c:v>0.60688888888888892</c:v>
                </c:pt>
                <c:pt idx="3">
                  <c:v>0.70272727272727276</c:v>
                </c:pt>
                <c:pt idx="4">
                  <c:v>0.74743260590500638</c:v>
                </c:pt>
              </c:numCache>
            </c:numRef>
          </c:val>
          <c:smooth val="0"/>
          <c:extLst>
            <c:ext xmlns:c16="http://schemas.microsoft.com/office/drawing/2014/chart" uri="{C3380CC4-5D6E-409C-BE32-E72D297353CC}">
              <c16:uniqueId val="{00000003-A4AB-AC49-9120-03E85F7B7EE1}"/>
            </c:ext>
          </c:extLst>
        </c:ser>
        <c:ser>
          <c:idx val="4"/>
          <c:order val="4"/>
          <c:tx>
            <c:strRef>
              <c:f>'Market Share'!$A$54</c:f>
              <c:strCache>
                <c:ptCount val="1"/>
                <c:pt idx="0">
                  <c:v>LSPD</c:v>
                </c:pt>
              </c:strCache>
            </c:strRef>
          </c:tx>
          <c:spPr>
            <a:ln w="28575" cap="rnd">
              <a:solidFill>
                <a:srgbClr val="0F3557"/>
              </a:solidFill>
              <a:round/>
            </a:ln>
            <a:effectLst/>
          </c:spPr>
          <c:marker>
            <c:symbol val="none"/>
          </c:marker>
          <c:cat>
            <c:numRef>
              <c:f>'Market Share'!$B$49:$F$49</c:f>
              <c:numCache>
                <c:formatCode>General</c:formatCode>
                <c:ptCount val="5"/>
                <c:pt idx="0">
                  <c:v>2020</c:v>
                </c:pt>
                <c:pt idx="1">
                  <c:v>2021</c:v>
                </c:pt>
                <c:pt idx="2">
                  <c:v>2022</c:v>
                </c:pt>
                <c:pt idx="3">
                  <c:v>2023</c:v>
                </c:pt>
                <c:pt idx="4">
                  <c:v>2024</c:v>
                </c:pt>
              </c:numCache>
            </c:numRef>
          </c:cat>
          <c:val>
            <c:numRef>
              <c:f>'Market Share'!$B$54:$F$54</c:f>
              <c:numCache>
                <c:formatCode>"$"#,##0.00</c:formatCode>
                <c:ptCount val="5"/>
                <c:pt idx="0">
                  <c:v>0.10968181818181817</c:v>
                </c:pt>
                <c:pt idx="1">
                  <c:v>0.12317777777777776</c:v>
                </c:pt>
                <c:pt idx="2">
                  <c:v>0.18279000000000001</c:v>
                </c:pt>
                <c:pt idx="3">
                  <c:v>0.24349999999999999</c:v>
                </c:pt>
                <c:pt idx="4">
                  <c:v>0.36082142857142857</c:v>
                </c:pt>
              </c:numCache>
            </c:numRef>
          </c:val>
          <c:smooth val="0"/>
          <c:extLst>
            <c:ext xmlns:c16="http://schemas.microsoft.com/office/drawing/2014/chart" uri="{C3380CC4-5D6E-409C-BE32-E72D297353CC}">
              <c16:uniqueId val="{00000004-A4AB-AC49-9120-03E85F7B7EE1}"/>
            </c:ext>
          </c:extLst>
        </c:ser>
        <c:dLbls>
          <c:showLegendKey val="0"/>
          <c:showVal val="0"/>
          <c:showCatName val="0"/>
          <c:showSerName val="0"/>
          <c:showPercent val="0"/>
          <c:showBubbleSize val="0"/>
        </c:dLbls>
        <c:smooth val="0"/>
        <c:axId val="2100804928"/>
        <c:axId val="2100638576"/>
      </c:lineChart>
      <c:catAx>
        <c:axId val="2100804928"/>
        <c:scaling>
          <c:orientation val="minMax"/>
        </c:scaling>
        <c:delete val="0"/>
        <c:axPos val="b"/>
        <c:numFmt formatCode="General" sourceLinked="1"/>
        <c:majorTickMark val="out"/>
        <c:minorTickMark val="none"/>
        <c:tickLblPos val="nextTo"/>
        <c:spPr>
          <a:noFill/>
          <a:ln w="9525" cap="flat" cmpd="sng" algn="ctr">
            <a:solidFill>
              <a:srgbClr val="0F3557"/>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00638576"/>
        <c:crosses val="autoZero"/>
        <c:auto val="1"/>
        <c:lblAlgn val="ctr"/>
        <c:lblOffset val="100"/>
        <c:noMultiLvlLbl val="0"/>
      </c:catAx>
      <c:valAx>
        <c:axId val="2100638576"/>
        <c:scaling>
          <c:orientation val="minMax"/>
        </c:scaling>
        <c:delete val="0"/>
        <c:axPos val="l"/>
        <c:numFmt formatCode="#,##0" sourceLinked="0"/>
        <c:majorTickMark val="out"/>
        <c:minorTickMark val="none"/>
        <c:tickLblPos val="nextTo"/>
        <c:spPr>
          <a:noFill/>
          <a:ln>
            <a:solidFill>
              <a:srgbClr val="0F3557"/>
            </a:solid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00804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Arial" panose="020B0604020202020204" pitchFamily="34" charset="0"/>
                <a:cs typeface="Arial" panose="020B0604020202020204" pitchFamily="34" charset="0"/>
              </a:rPr>
              <a:t>SG&amp;A</a:t>
            </a:r>
            <a:r>
              <a:rPr lang="en-US" baseline="0">
                <a:solidFill>
                  <a:schemeClr val="tx1"/>
                </a:solidFill>
                <a:latin typeface="Arial" panose="020B0604020202020204" pitchFamily="34" charset="0"/>
                <a:cs typeface="Arial" panose="020B0604020202020204" pitchFamily="34" charset="0"/>
              </a:rPr>
              <a:t> Expense per Employee, </a:t>
            </a:r>
            <a:r>
              <a:rPr lang="en-US" i="1" baseline="0">
                <a:solidFill>
                  <a:schemeClr val="tx1"/>
                </a:solidFill>
                <a:latin typeface="Arial" panose="020B0604020202020204" pitchFamily="34" charset="0"/>
                <a:cs typeface="Arial" panose="020B0604020202020204" pitchFamily="34" charset="0"/>
              </a:rPr>
              <a:t>usd</a:t>
            </a:r>
            <a:endParaRPr lang="en-US" i="1">
              <a:solidFill>
                <a:schemeClr val="tx1"/>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'Market Share'!$A$66</c:f>
              <c:strCache>
                <c:ptCount val="1"/>
                <c:pt idx="0">
                  <c:v>Paypal</c:v>
                </c:pt>
              </c:strCache>
            </c:strRef>
          </c:tx>
          <c:spPr>
            <a:ln w="28575" cap="rnd">
              <a:solidFill>
                <a:srgbClr val="2E89DB"/>
              </a:solidFill>
              <a:round/>
            </a:ln>
            <a:effectLst/>
          </c:spPr>
          <c:marker>
            <c:symbol val="none"/>
          </c:marker>
          <c:cat>
            <c:numRef>
              <c:f>'Market Share'!$B$65:$F$65</c:f>
              <c:numCache>
                <c:formatCode>General</c:formatCode>
                <c:ptCount val="5"/>
                <c:pt idx="0">
                  <c:v>2020</c:v>
                </c:pt>
                <c:pt idx="1">
                  <c:v>2021</c:v>
                </c:pt>
                <c:pt idx="2">
                  <c:v>2022</c:v>
                </c:pt>
                <c:pt idx="3">
                  <c:v>2023</c:v>
                </c:pt>
                <c:pt idx="4">
                  <c:v>2024</c:v>
                </c:pt>
              </c:numCache>
            </c:numRef>
          </c:cat>
          <c:val>
            <c:numRef>
              <c:f>'Market Share'!$B$66:$F$66</c:f>
              <c:numCache>
                <c:formatCode>"$"#,##0.00</c:formatCode>
                <c:ptCount val="5"/>
                <c:pt idx="0">
                  <c:v>0.14833962264150943</c:v>
                </c:pt>
                <c:pt idx="1">
                  <c:v>0.14754045307443367</c:v>
                </c:pt>
                <c:pt idx="2">
                  <c:v>0.14568561872909699</c:v>
                </c:pt>
                <c:pt idx="3">
                  <c:v>0.14220588235294118</c:v>
                </c:pt>
                <c:pt idx="4">
                  <c:v>0.17</c:v>
                </c:pt>
              </c:numCache>
            </c:numRef>
          </c:val>
          <c:smooth val="0"/>
          <c:extLst>
            <c:ext xmlns:c16="http://schemas.microsoft.com/office/drawing/2014/chart" uri="{C3380CC4-5D6E-409C-BE32-E72D297353CC}">
              <c16:uniqueId val="{00000000-DE17-5440-B15F-F8817D3535B2}"/>
            </c:ext>
          </c:extLst>
        </c:ser>
        <c:ser>
          <c:idx val="1"/>
          <c:order val="1"/>
          <c:tx>
            <c:strRef>
              <c:f>'Market Share'!$A$67</c:f>
              <c:strCache>
                <c:ptCount val="1"/>
                <c:pt idx="0">
                  <c:v>Block</c:v>
                </c:pt>
              </c:strCache>
            </c:strRef>
          </c:tx>
          <c:spPr>
            <a:ln w="28575" cap="rnd">
              <a:solidFill>
                <a:srgbClr val="081A2C"/>
              </a:solidFill>
              <a:round/>
            </a:ln>
            <a:effectLst/>
          </c:spPr>
          <c:marker>
            <c:symbol val="none"/>
          </c:marker>
          <c:cat>
            <c:numRef>
              <c:f>'Market Share'!$B$65:$F$65</c:f>
              <c:numCache>
                <c:formatCode>General</c:formatCode>
                <c:ptCount val="5"/>
                <c:pt idx="0">
                  <c:v>2020</c:v>
                </c:pt>
                <c:pt idx="1">
                  <c:v>2021</c:v>
                </c:pt>
                <c:pt idx="2">
                  <c:v>2022</c:v>
                </c:pt>
                <c:pt idx="3">
                  <c:v>2023</c:v>
                </c:pt>
                <c:pt idx="4">
                  <c:v>2024</c:v>
                </c:pt>
              </c:numCache>
            </c:numRef>
          </c:cat>
          <c:val>
            <c:numRef>
              <c:f>'Market Share'!$B$67:$F$67</c:f>
              <c:numCache>
                <c:formatCode>"$"#,##0.00</c:formatCode>
                <c:ptCount val="5"/>
                <c:pt idx="0">
                  <c:v>0.17782387129380053</c:v>
                </c:pt>
                <c:pt idx="1">
                  <c:v>0.14721536475437683</c:v>
                </c:pt>
                <c:pt idx="2">
                  <c:v>0.21267881995938764</c:v>
                </c:pt>
                <c:pt idx="3">
                  <c:v>0.18388727664312179</c:v>
                </c:pt>
                <c:pt idx="4">
                  <c:v>0.16470045889822518</c:v>
                </c:pt>
              </c:numCache>
            </c:numRef>
          </c:val>
          <c:smooth val="0"/>
          <c:extLst>
            <c:ext xmlns:c16="http://schemas.microsoft.com/office/drawing/2014/chart" uri="{C3380CC4-5D6E-409C-BE32-E72D297353CC}">
              <c16:uniqueId val="{00000001-DE17-5440-B15F-F8817D3535B2}"/>
            </c:ext>
          </c:extLst>
        </c:ser>
        <c:ser>
          <c:idx val="2"/>
          <c:order val="2"/>
          <c:tx>
            <c:strRef>
              <c:f>'Market Share'!$A$68</c:f>
              <c:strCache>
                <c:ptCount val="1"/>
                <c:pt idx="0">
                  <c:v>Shopify</c:v>
                </c:pt>
              </c:strCache>
            </c:strRef>
          </c:tx>
          <c:spPr>
            <a:ln w="28575" cap="rnd">
              <a:solidFill>
                <a:srgbClr val="DDD9C3"/>
              </a:solidFill>
              <a:round/>
            </a:ln>
            <a:effectLst/>
          </c:spPr>
          <c:marker>
            <c:symbol val="none"/>
          </c:marker>
          <c:cat>
            <c:numRef>
              <c:f>'Market Share'!$B$65:$F$65</c:f>
              <c:numCache>
                <c:formatCode>General</c:formatCode>
                <c:ptCount val="5"/>
                <c:pt idx="0">
                  <c:v>2020</c:v>
                </c:pt>
                <c:pt idx="1">
                  <c:v>2021</c:v>
                </c:pt>
                <c:pt idx="2">
                  <c:v>2022</c:v>
                </c:pt>
                <c:pt idx="3">
                  <c:v>2023</c:v>
                </c:pt>
                <c:pt idx="4">
                  <c:v>2024</c:v>
                </c:pt>
              </c:numCache>
            </c:numRef>
          </c:cat>
          <c:val>
            <c:numRef>
              <c:f>'Market Share'!$B$68:$F$68</c:f>
              <c:numCache>
                <c:formatCode>"$"#,##0.00</c:formatCode>
                <c:ptCount val="5"/>
                <c:pt idx="0">
                  <c:v>0.27427888718211296</c:v>
                </c:pt>
                <c:pt idx="1">
                  <c:v>0.26379702916621489</c:v>
                </c:pt>
                <c:pt idx="2">
                  <c:v>0.30910714285714286</c:v>
                </c:pt>
                <c:pt idx="3">
                  <c:v>0.22974504249291786</c:v>
                </c:pt>
                <c:pt idx="4">
                  <c:v>0.20225225225225224</c:v>
                </c:pt>
              </c:numCache>
            </c:numRef>
          </c:val>
          <c:smooth val="0"/>
          <c:extLst>
            <c:ext xmlns:c16="http://schemas.microsoft.com/office/drawing/2014/chart" uri="{C3380CC4-5D6E-409C-BE32-E72D297353CC}">
              <c16:uniqueId val="{00000002-DE17-5440-B15F-F8817D3535B2}"/>
            </c:ext>
          </c:extLst>
        </c:ser>
        <c:ser>
          <c:idx val="3"/>
          <c:order val="3"/>
          <c:tx>
            <c:strRef>
              <c:f>'Market Share'!$A$69</c:f>
              <c:strCache>
                <c:ptCount val="1"/>
                <c:pt idx="0">
                  <c:v>Toast</c:v>
                </c:pt>
              </c:strCache>
            </c:strRef>
          </c:tx>
          <c:spPr>
            <a:ln w="28575" cap="rnd">
              <a:solidFill>
                <a:schemeClr val="accent6">
                  <a:lumMod val="75000"/>
                </a:schemeClr>
              </a:solidFill>
              <a:round/>
            </a:ln>
            <a:effectLst/>
          </c:spPr>
          <c:marker>
            <c:symbol val="none"/>
          </c:marker>
          <c:cat>
            <c:numRef>
              <c:f>'Market Share'!$B$65:$F$65</c:f>
              <c:numCache>
                <c:formatCode>General</c:formatCode>
                <c:ptCount val="5"/>
                <c:pt idx="0">
                  <c:v>2020</c:v>
                </c:pt>
                <c:pt idx="1">
                  <c:v>2021</c:v>
                </c:pt>
                <c:pt idx="2">
                  <c:v>2022</c:v>
                </c:pt>
                <c:pt idx="3">
                  <c:v>2023</c:v>
                </c:pt>
                <c:pt idx="4">
                  <c:v>2024</c:v>
                </c:pt>
              </c:numCache>
            </c:numRef>
          </c:cat>
          <c:val>
            <c:numRef>
              <c:f>'Market Share'!$B$69:$F$69</c:f>
              <c:numCache>
                <c:formatCode>"$"#,##0.00</c:formatCode>
                <c:ptCount val="5"/>
                <c:pt idx="0">
                  <c:v>0.1255</c:v>
                </c:pt>
                <c:pt idx="1">
                  <c:v>0.11948297604035309</c:v>
                </c:pt>
                <c:pt idx="2">
                  <c:v>0.13622222222222222</c:v>
                </c:pt>
                <c:pt idx="3">
                  <c:v>0.13872727272727273</c:v>
                </c:pt>
                <c:pt idx="4">
                  <c:v>0.12146983311938382</c:v>
                </c:pt>
              </c:numCache>
            </c:numRef>
          </c:val>
          <c:smooth val="0"/>
          <c:extLst>
            <c:ext xmlns:c16="http://schemas.microsoft.com/office/drawing/2014/chart" uri="{C3380CC4-5D6E-409C-BE32-E72D297353CC}">
              <c16:uniqueId val="{00000003-DE17-5440-B15F-F8817D3535B2}"/>
            </c:ext>
          </c:extLst>
        </c:ser>
        <c:ser>
          <c:idx val="4"/>
          <c:order val="4"/>
          <c:tx>
            <c:strRef>
              <c:f>'Market Share'!$A$70</c:f>
              <c:strCache>
                <c:ptCount val="1"/>
                <c:pt idx="0">
                  <c:v>LSPD</c:v>
                </c:pt>
              </c:strCache>
            </c:strRef>
          </c:tx>
          <c:spPr>
            <a:ln w="28575" cap="rnd">
              <a:solidFill>
                <a:srgbClr val="FF0000"/>
              </a:solidFill>
              <a:round/>
            </a:ln>
            <a:effectLst/>
          </c:spPr>
          <c:marker>
            <c:symbol val="none"/>
          </c:marker>
          <c:cat>
            <c:numRef>
              <c:f>'Market Share'!$B$65:$F$65</c:f>
              <c:numCache>
                <c:formatCode>General</c:formatCode>
                <c:ptCount val="5"/>
                <c:pt idx="0">
                  <c:v>2020</c:v>
                </c:pt>
                <c:pt idx="1">
                  <c:v>2021</c:v>
                </c:pt>
                <c:pt idx="2">
                  <c:v>2022</c:v>
                </c:pt>
                <c:pt idx="3">
                  <c:v>2023</c:v>
                </c:pt>
                <c:pt idx="4">
                  <c:v>2024</c:v>
                </c:pt>
              </c:numCache>
            </c:numRef>
          </c:cat>
          <c:val>
            <c:numRef>
              <c:f>'Market Share'!$B$70:$F$70</c:f>
              <c:numCache>
                <c:formatCode>"$"#,##0.00</c:formatCode>
                <c:ptCount val="5"/>
                <c:pt idx="0">
                  <c:v>7.4972727272727274E-2</c:v>
                </c:pt>
                <c:pt idx="1">
                  <c:v>8.3299999999999999E-2</c:v>
                </c:pt>
                <c:pt idx="2">
                  <c:v>0.10396999999999999</c:v>
                </c:pt>
                <c:pt idx="3">
                  <c:v>0.11877</c:v>
                </c:pt>
                <c:pt idx="4">
                  <c:v>0.13413888888888889</c:v>
                </c:pt>
              </c:numCache>
            </c:numRef>
          </c:val>
          <c:smooth val="0"/>
          <c:extLst>
            <c:ext xmlns:c16="http://schemas.microsoft.com/office/drawing/2014/chart" uri="{C3380CC4-5D6E-409C-BE32-E72D297353CC}">
              <c16:uniqueId val="{00000004-DE17-5440-B15F-F8817D3535B2}"/>
            </c:ext>
          </c:extLst>
        </c:ser>
        <c:dLbls>
          <c:showLegendKey val="0"/>
          <c:showVal val="0"/>
          <c:showCatName val="0"/>
          <c:showSerName val="0"/>
          <c:showPercent val="0"/>
          <c:showBubbleSize val="0"/>
        </c:dLbls>
        <c:smooth val="0"/>
        <c:axId val="18722543"/>
        <c:axId val="133797087"/>
      </c:lineChart>
      <c:catAx>
        <c:axId val="18722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33797087"/>
        <c:crosses val="autoZero"/>
        <c:auto val="1"/>
        <c:lblAlgn val="ctr"/>
        <c:lblOffset val="100"/>
        <c:noMultiLvlLbl val="0"/>
      </c:catAx>
      <c:valAx>
        <c:axId val="133797087"/>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722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Arial" panose="020B0604020202020204" pitchFamily="34" charset="0"/>
                <a:cs typeface="Arial" panose="020B0604020202020204" pitchFamily="34" charset="0"/>
              </a:rPr>
              <a:t>COGS per Employee, </a:t>
            </a:r>
            <a:r>
              <a:rPr lang="en-US" i="1">
                <a:solidFill>
                  <a:schemeClr val="tx1"/>
                </a:solidFill>
                <a:latin typeface="Arial" panose="020B0604020202020204" pitchFamily="34" charset="0"/>
                <a:cs typeface="Arial" panose="020B0604020202020204" pitchFamily="34" charset="0"/>
              </a:rPr>
              <a:t>usd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'Market Share'!$A$81</c:f>
              <c:strCache>
                <c:ptCount val="1"/>
                <c:pt idx="0">
                  <c:v>Paypal</c:v>
                </c:pt>
              </c:strCache>
            </c:strRef>
          </c:tx>
          <c:spPr>
            <a:ln w="28575" cap="rnd">
              <a:solidFill>
                <a:srgbClr val="2E89DB"/>
              </a:solidFill>
              <a:round/>
            </a:ln>
            <a:effectLst/>
          </c:spPr>
          <c:marker>
            <c:symbol val="none"/>
          </c:marker>
          <c:cat>
            <c:numRef>
              <c:f>'Market Share'!$B$80:$F$80</c:f>
              <c:numCache>
                <c:formatCode>General</c:formatCode>
                <c:ptCount val="5"/>
                <c:pt idx="0">
                  <c:v>2020</c:v>
                </c:pt>
                <c:pt idx="1">
                  <c:v>2021</c:v>
                </c:pt>
                <c:pt idx="2">
                  <c:v>2022</c:v>
                </c:pt>
                <c:pt idx="3">
                  <c:v>2023</c:v>
                </c:pt>
                <c:pt idx="4">
                  <c:v>2024</c:v>
                </c:pt>
              </c:numCache>
            </c:numRef>
          </c:cat>
          <c:val>
            <c:numRef>
              <c:f>'Market Share'!$B$81:$F$81</c:f>
              <c:numCache>
                <c:formatCode>"$"#,##0.00</c:formatCode>
                <c:ptCount val="5"/>
                <c:pt idx="0">
                  <c:v>0.43218867924528304</c:v>
                </c:pt>
                <c:pt idx="1">
                  <c:v>0.43527508090614886</c:v>
                </c:pt>
                <c:pt idx="2">
                  <c:v>0.53060200668896318</c:v>
                </c:pt>
                <c:pt idx="3">
                  <c:v>0.66125</c:v>
                </c:pt>
                <c:pt idx="4">
                  <c:v>0.77487704918032785</c:v>
                </c:pt>
              </c:numCache>
            </c:numRef>
          </c:val>
          <c:smooth val="0"/>
          <c:extLst>
            <c:ext xmlns:c16="http://schemas.microsoft.com/office/drawing/2014/chart" uri="{C3380CC4-5D6E-409C-BE32-E72D297353CC}">
              <c16:uniqueId val="{00000000-1A00-7449-9F15-DB44252896DE}"/>
            </c:ext>
          </c:extLst>
        </c:ser>
        <c:ser>
          <c:idx val="1"/>
          <c:order val="1"/>
          <c:tx>
            <c:strRef>
              <c:f>'Market Share'!$A$82</c:f>
              <c:strCache>
                <c:ptCount val="1"/>
                <c:pt idx="0">
                  <c:v>Block</c:v>
                </c:pt>
              </c:strCache>
            </c:strRef>
          </c:tx>
          <c:spPr>
            <a:ln w="28575" cap="rnd">
              <a:solidFill>
                <a:srgbClr val="081A2C"/>
              </a:solidFill>
              <a:round/>
            </a:ln>
            <a:effectLst/>
          </c:spPr>
          <c:marker>
            <c:symbol val="none"/>
          </c:marker>
          <c:cat>
            <c:numRef>
              <c:f>'Market Share'!$B$80:$F$80</c:f>
              <c:numCache>
                <c:formatCode>General</c:formatCode>
                <c:ptCount val="5"/>
                <c:pt idx="0">
                  <c:v>2020</c:v>
                </c:pt>
                <c:pt idx="1">
                  <c:v>2021</c:v>
                </c:pt>
                <c:pt idx="2">
                  <c:v>2022</c:v>
                </c:pt>
                <c:pt idx="3">
                  <c:v>2023</c:v>
                </c:pt>
                <c:pt idx="4">
                  <c:v>2024</c:v>
                </c:pt>
              </c:numCache>
            </c:numRef>
          </c:cat>
          <c:val>
            <c:numRef>
              <c:f>'Market Share'!$B$82:$F$82</c:f>
              <c:numCache>
                <c:formatCode>"$"#,##0.00</c:formatCode>
                <c:ptCount val="5"/>
                <c:pt idx="0">
                  <c:v>1.2329742559795509</c:v>
                </c:pt>
                <c:pt idx="1">
                  <c:v>1.5513085318624575</c:v>
                </c:pt>
                <c:pt idx="2">
                  <c:v>0.92287576440296104</c:v>
                </c:pt>
                <c:pt idx="3">
                  <c:v>1.1041894493646516</c:v>
                </c:pt>
                <c:pt idx="4">
                  <c:v>1.1696033885252213</c:v>
                </c:pt>
              </c:numCache>
            </c:numRef>
          </c:val>
          <c:smooth val="0"/>
          <c:extLst>
            <c:ext xmlns:c16="http://schemas.microsoft.com/office/drawing/2014/chart" uri="{C3380CC4-5D6E-409C-BE32-E72D297353CC}">
              <c16:uniqueId val="{00000001-1A00-7449-9F15-DB44252896DE}"/>
            </c:ext>
          </c:extLst>
        </c:ser>
        <c:ser>
          <c:idx val="2"/>
          <c:order val="2"/>
          <c:tx>
            <c:strRef>
              <c:f>'Market Share'!$A$83</c:f>
              <c:strCache>
                <c:ptCount val="1"/>
                <c:pt idx="0">
                  <c:v>Shopify</c:v>
                </c:pt>
              </c:strCache>
            </c:strRef>
          </c:tx>
          <c:spPr>
            <a:ln w="28575" cap="rnd">
              <a:solidFill>
                <a:srgbClr val="DDD9C3"/>
              </a:solidFill>
              <a:round/>
            </a:ln>
            <a:effectLst/>
          </c:spPr>
          <c:marker>
            <c:symbol val="none"/>
          </c:marker>
          <c:cat>
            <c:numRef>
              <c:f>'Market Share'!$B$80:$F$80</c:f>
              <c:numCache>
                <c:formatCode>General</c:formatCode>
                <c:ptCount val="5"/>
                <c:pt idx="0">
                  <c:v>2020</c:v>
                </c:pt>
                <c:pt idx="1">
                  <c:v>2021</c:v>
                </c:pt>
                <c:pt idx="2">
                  <c:v>2022</c:v>
                </c:pt>
                <c:pt idx="3">
                  <c:v>2023</c:v>
                </c:pt>
                <c:pt idx="4">
                  <c:v>2024</c:v>
                </c:pt>
              </c:numCache>
            </c:numRef>
          </c:cat>
          <c:val>
            <c:numRef>
              <c:f>'Market Share'!$B$83:$F$83</c:f>
              <c:numCache>
                <c:formatCode>"$"#,##0.00</c:formatCode>
                <c:ptCount val="5"/>
                <c:pt idx="0">
                  <c:v>0.19828571428571429</c:v>
                </c:pt>
                <c:pt idx="1">
                  <c:v>0.21306999999999998</c:v>
                </c:pt>
                <c:pt idx="2">
                  <c:v>0.2453448275862069</c:v>
                </c:pt>
                <c:pt idx="3">
                  <c:v>0.42710843373493979</c:v>
                </c:pt>
                <c:pt idx="4">
                  <c:v>0.54419753086419753</c:v>
                </c:pt>
              </c:numCache>
            </c:numRef>
          </c:val>
          <c:smooth val="0"/>
          <c:extLst>
            <c:ext xmlns:c16="http://schemas.microsoft.com/office/drawing/2014/chart" uri="{C3380CC4-5D6E-409C-BE32-E72D297353CC}">
              <c16:uniqueId val="{00000002-1A00-7449-9F15-DB44252896DE}"/>
            </c:ext>
          </c:extLst>
        </c:ser>
        <c:ser>
          <c:idx val="3"/>
          <c:order val="3"/>
          <c:tx>
            <c:strRef>
              <c:f>'Market Share'!$A$84</c:f>
              <c:strCache>
                <c:ptCount val="1"/>
                <c:pt idx="0">
                  <c:v>Toast</c:v>
                </c:pt>
              </c:strCache>
            </c:strRef>
          </c:tx>
          <c:spPr>
            <a:ln w="28575" cap="rnd">
              <a:solidFill>
                <a:schemeClr val="accent6">
                  <a:lumMod val="75000"/>
                </a:schemeClr>
              </a:solidFill>
              <a:round/>
            </a:ln>
            <a:effectLst/>
          </c:spPr>
          <c:marker>
            <c:symbol val="none"/>
          </c:marker>
          <c:cat>
            <c:numRef>
              <c:f>'Market Share'!$B$80:$F$80</c:f>
              <c:numCache>
                <c:formatCode>General</c:formatCode>
                <c:ptCount val="5"/>
                <c:pt idx="0">
                  <c:v>2020</c:v>
                </c:pt>
                <c:pt idx="1">
                  <c:v>2021</c:v>
                </c:pt>
                <c:pt idx="2">
                  <c:v>2022</c:v>
                </c:pt>
                <c:pt idx="3">
                  <c:v>2023</c:v>
                </c:pt>
                <c:pt idx="4">
                  <c:v>2024</c:v>
                </c:pt>
              </c:numCache>
            </c:numRef>
          </c:cat>
          <c:val>
            <c:numRef>
              <c:f>'Market Share'!$B$84:$F$84</c:f>
              <c:numCache>
                <c:formatCode>"$"#,##0.00</c:formatCode>
                <c:ptCount val="5"/>
                <c:pt idx="0">
                  <c:v>0.33950000000000002</c:v>
                </c:pt>
                <c:pt idx="1">
                  <c:v>0.43726355611601514</c:v>
                </c:pt>
                <c:pt idx="2">
                  <c:v>0.49222222222222223</c:v>
                </c:pt>
                <c:pt idx="3">
                  <c:v>0.55018181818181822</c:v>
                </c:pt>
                <c:pt idx="4">
                  <c:v>0.57284980744544289</c:v>
                </c:pt>
              </c:numCache>
            </c:numRef>
          </c:val>
          <c:smooth val="0"/>
          <c:extLst>
            <c:ext xmlns:c16="http://schemas.microsoft.com/office/drawing/2014/chart" uri="{C3380CC4-5D6E-409C-BE32-E72D297353CC}">
              <c16:uniqueId val="{00000003-1A00-7449-9F15-DB44252896DE}"/>
            </c:ext>
          </c:extLst>
        </c:ser>
        <c:ser>
          <c:idx val="4"/>
          <c:order val="4"/>
          <c:tx>
            <c:strRef>
              <c:f>'Market Share'!$A$85</c:f>
              <c:strCache>
                <c:ptCount val="1"/>
                <c:pt idx="0">
                  <c:v>LSPD</c:v>
                </c:pt>
              </c:strCache>
            </c:strRef>
          </c:tx>
          <c:spPr>
            <a:ln w="28575" cap="rnd">
              <a:solidFill>
                <a:srgbClr val="FF0000"/>
              </a:solidFill>
              <a:round/>
            </a:ln>
            <a:effectLst/>
          </c:spPr>
          <c:marker>
            <c:symbol val="none"/>
          </c:marker>
          <c:cat>
            <c:numRef>
              <c:f>'Market Share'!$B$80:$F$80</c:f>
              <c:numCache>
                <c:formatCode>General</c:formatCode>
                <c:ptCount val="5"/>
                <c:pt idx="0">
                  <c:v>2020</c:v>
                </c:pt>
                <c:pt idx="1">
                  <c:v>2021</c:v>
                </c:pt>
                <c:pt idx="2">
                  <c:v>2022</c:v>
                </c:pt>
                <c:pt idx="3">
                  <c:v>2023</c:v>
                </c:pt>
                <c:pt idx="4">
                  <c:v>2024</c:v>
                </c:pt>
              </c:numCache>
            </c:numRef>
          </c:cat>
          <c:val>
            <c:numRef>
              <c:f>'Market Share'!$B$85:$F$85</c:f>
              <c:numCache>
                <c:formatCode>"$"#,##0.00</c:formatCode>
                <c:ptCount val="5"/>
                <c:pt idx="0">
                  <c:v>3.6063636363636367E-2</c:v>
                </c:pt>
                <c:pt idx="1">
                  <c:v>5.2255555555555555E-2</c:v>
                </c:pt>
                <c:pt idx="2">
                  <c:v>9.2399999999999996E-2</c:v>
                </c:pt>
                <c:pt idx="3">
                  <c:v>0.13285</c:v>
                </c:pt>
                <c:pt idx="4">
                  <c:v>0.20794444444444443</c:v>
                </c:pt>
              </c:numCache>
            </c:numRef>
          </c:val>
          <c:smooth val="0"/>
          <c:extLst>
            <c:ext xmlns:c16="http://schemas.microsoft.com/office/drawing/2014/chart" uri="{C3380CC4-5D6E-409C-BE32-E72D297353CC}">
              <c16:uniqueId val="{00000004-1A00-7449-9F15-DB44252896DE}"/>
            </c:ext>
          </c:extLst>
        </c:ser>
        <c:dLbls>
          <c:showLegendKey val="0"/>
          <c:showVal val="0"/>
          <c:showCatName val="0"/>
          <c:showSerName val="0"/>
          <c:showPercent val="0"/>
          <c:showBubbleSize val="0"/>
        </c:dLbls>
        <c:smooth val="0"/>
        <c:axId val="202211391"/>
        <c:axId val="78725135"/>
      </c:lineChart>
      <c:catAx>
        <c:axId val="202211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78725135"/>
        <c:crosses val="autoZero"/>
        <c:auto val="1"/>
        <c:lblAlgn val="ctr"/>
        <c:lblOffset val="100"/>
        <c:noMultiLvlLbl val="0"/>
      </c:catAx>
      <c:valAx>
        <c:axId val="78725135"/>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02211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Arial" panose="020B0604020202020204" pitchFamily="34" charset="0"/>
                <a:cs typeface="Arial" panose="020B0604020202020204" pitchFamily="34" charset="0"/>
              </a:rPr>
              <a:t>COGS + SG&amp;A per Employee,</a:t>
            </a:r>
            <a:r>
              <a:rPr lang="en-US" baseline="0">
                <a:solidFill>
                  <a:schemeClr val="tx1"/>
                </a:solidFill>
                <a:latin typeface="Arial" panose="020B0604020202020204" pitchFamily="34" charset="0"/>
                <a:cs typeface="Arial" panose="020B0604020202020204" pitchFamily="34" charset="0"/>
              </a:rPr>
              <a:t> </a:t>
            </a:r>
            <a:r>
              <a:rPr lang="en-US" i="1" baseline="0">
                <a:solidFill>
                  <a:schemeClr val="tx1"/>
                </a:solidFill>
                <a:latin typeface="Arial" panose="020B0604020202020204" pitchFamily="34" charset="0"/>
                <a:cs typeface="Arial" panose="020B0604020202020204" pitchFamily="34" charset="0"/>
              </a:rPr>
              <a:t>usd</a:t>
            </a:r>
            <a:endParaRPr lang="en-US" i="1">
              <a:solidFill>
                <a:schemeClr val="tx1"/>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'Market Share'!$A$97</c:f>
              <c:strCache>
                <c:ptCount val="1"/>
                <c:pt idx="0">
                  <c:v>Paypal</c:v>
                </c:pt>
              </c:strCache>
            </c:strRef>
          </c:tx>
          <c:spPr>
            <a:ln w="28575" cap="rnd">
              <a:solidFill>
                <a:srgbClr val="2E89DB"/>
              </a:solidFill>
              <a:round/>
            </a:ln>
            <a:effectLst/>
          </c:spPr>
          <c:marker>
            <c:symbol val="none"/>
          </c:marker>
          <c:cat>
            <c:numRef>
              <c:f>'Market Share'!$B$96:$F$96</c:f>
              <c:numCache>
                <c:formatCode>General</c:formatCode>
                <c:ptCount val="5"/>
                <c:pt idx="0">
                  <c:v>2020</c:v>
                </c:pt>
                <c:pt idx="1">
                  <c:v>2021</c:v>
                </c:pt>
                <c:pt idx="2">
                  <c:v>2022</c:v>
                </c:pt>
                <c:pt idx="3">
                  <c:v>2023</c:v>
                </c:pt>
                <c:pt idx="4">
                  <c:v>2024</c:v>
                </c:pt>
              </c:numCache>
            </c:numRef>
          </c:cat>
          <c:val>
            <c:numRef>
              <c:f>'Market Share'!$B$97:$F$97</c:f>
              <c:numCache>
                <c:formatCode>"$"#,##0.00</c:formatCode>
                <c:ptCount val="5"/>
                <c:pt idx="0">
                  <c:v>0.5805283018867925</c:v>
                </c:pt>
                <c:pt idx="1">
                  <c:v>0.5828155339805825</c:v>
                </c:pt>
                <c:pt idx="2">
                  <c:v>0.6762876254180602</c:v>
                </c:pt>
                <c:pt idx="3">
                  <c:v>0.80345588235294119</c:v>
                </c:pt>
                <c:pt idx="4">
                  <c:v>0.94487704918032789</c:v>
                </c:pt>
              </c:numCache>
            </c:numRef>
          </c:val>
          <c:smooth val="0"/>
          <c:extLst>
            <c:ext xmlns:c16="http://schemas.microsoft.com/office/drawing/2014/chart" uri="{C3380CC4-5D6E-409C-BE32-E72D297353CC}">
              <c16:uniqueId val="{00000000-0728-7B40-B49A-CD35BE65EB08}"/>
            </c:ext>
          </c:extLst>
        </c:ser>
        <c:ser>
          <c:idx val="1"/>
          <c:order val="1"/>
          <c:tx>
            <c:strRef>
              <c:f>'Market Share'!$A$98</c:f>
              <c:strCache>
                <c:ptCount val="1"/>
                <c:pt idx="0">
                  <c:v>Block</c:v>
                </c:pt>
              </c:strCache>
            </c:strRef>
          </c:tx>
          <c:spPr>
            <a:ln w="28575" cap="rnd">
              <a:solidFill>
                <a:srgbClr val="081A2C"/>
              </a:solidFill>
              <a:round/>
            </a:ln>
            <a:effectLst/>
          </c:spPr>
          <c:marker>
            <c:symbol val="none"/>
          </c:marker>
          <c:cat>
            <c:numRef>
              <c:f>'Market Share'!$B$96:$F$96</c:f>
              <c:numCache>
                <c:formatCode>General</c:formatCode>
                <c:ptCount val="5"/>
                <c:pt idx="0">
                  <c:v>2020</c:v>
                </c:pt>
                <c:pt idx="1">
                  <c:v>2021</c:v>
                </c:pt>
                <c:pt idx="2">
                  <c:v>2022</c:v>
                </c:pt>
                <c:pt idx="3">
                  <c:v>2023</c:v>
                </c:pt>
                <c:pt idx="4">
                  <c:v>2024</c:v>
                </c:pt>
              </c:numCache>
            </c:numRef>
          </c:cat>
          <c:val>
            <c:numRef>
              <c:f>'Market Share'!$B$98:$F$98</c:f>
              <c:numCache>
                <c:formatCode>"$"#,##0.00</c:formatCode>
                <c:ptCount val="5"/>
                <c:pt idx="0">
                  <c:v>1.5413364980828921</c:v>
                </c:pt>
                <c:pt idx="1">
                  <c:v>1.8564370379063491</c:v>
                </c:pt>
                <c:pt idx="2">
                  <c:v>1.2228918570968781</c:v>
                </c:pt>
                <c:pt idx="3">
                  <c:v>1.4145475548710051</c:v>
                </c:pt>
                <c:pt idx="4">
                  <c:v>1.4722603003465538</c:v>
                </c:pt>
              </c:numCache>
            </c:numRef>
          </c:val>
          <c:smooth val="0"/>
          <c:extLst>
            <c:ext xmlns:c16="http://schemas.microsoft.com/office/drawing/2014/chart" uri="{C3380CC4-5D6E-409C-BE32-E72D297353CC}">
              <c16:uniqueId val="{00000001-0728-7B40-B49A-CD35BE65EB08}"/>
            </c:ext>
          </c:extLst>
        </c:ser>
        <c:ser>
          <c:idx val="2"/>
          <c:order val="2"/>
          <c:tx>
            <c:strRef>
              <c:f>'Market Share'!$A$99</c:f>
              <c:strCache>
                <c:ptCount val="1"/>
                <c:pt idx="0">
                  <c:v>Shopify</c:v>
                </c:pt>
              </c:strCache>
            </c:strRef>
          </c:tx>
          <c:spPr>
            <a:ln w="28575" cap="rnd">
              <a:solidFill>
                <a:srgbClr val="DDD9C3"/>
              </a:solidFill>
              <a:round/>
            </a:ln>
            <a:effectLst/>
          </c:spPr>
          <c:marker>
            <c:symbol val="none"/>
          </c:marker>
          <c:cat>
            <c:numRef>
              <c:f>'Market Share'!$B$96:$F$96</c:f>
              <c:numCache>
                <c:formatCode>General</c:formatCode>
                <c:ptCount val="5"/>
                <c:pt idx="0">
                  <c:v>2020</c:v>
                </c:pt>
                <c:pt idx="1">
                  <c:v>2021</c:v>
                </c:pt>
                <c:pt idx="2">
                  <c:v>2022</c:v>
                </c:pt>
                <c:pt idx="3">
                  <c:v>2023</c:v>
                </c:pt>
                <c:pt idx="4">
                  <c:v>2024</c:v>
                </c:pt>
              </c:numCache>
            </c:numRef>
          </c:cat>
          <c:val>
            <c:numRef>
              <c:f>'Market Share'!$B$99:$F$99</c:f>
              <c:numCache>
                <c:formatCode>"$"#,##0.00</c:formatCode>
                <c:ptCount val="5"/>
                <c:pt idx="0">
                  <c:v>0.31307142857142856</c:v>
                </c:pt>
                <c:pt idx="1">
                  <c:v>0.33471999999999996</c:v>
                </c:pt>
                <c:pt idx="2">
                  <c:v>0.39456896551724135</c:v>
                </c:pt>
                <c:pt idx="3">
                  <c:v>0.62253012048192768</c:v>
                </c:pt>
                <c:pt idx="4">
                  <c:v>0.7659259259259259</c:v>
                </c:pt>
              </c:numCache>
            </c:numRef>
          </c:val>
          <c:smooth val="0"/>
          <c:extLst>
            <c:ext xmlns:c16="http://schemas.microsoft.com/office/drawing/2014/chart" uri="{C3380CC4-5D6E-409C-BE32-E72D297353CC}">
              <c16:uniqueId val="{00000002-0728-7B40-B49A-CD35BE65EB08}"/>
            </c:ext>
          </c:extLst>
        </c:ser>
        <c:ser>
          <c:idx val="3"/>
          <c:order val="3"/>
          <c:tx>
            <c:strRef>
              <c:f>'Market Share'!$A$100</c:f>
              <c:strCache>
                <c:ptCount val="1"/>
                <c:pt idx="0">
                  <c:v>Toast</c:v>
                </c:pt>
              </c:strCache>
            </c:strRef>
          </c:tx>
          <c:spPr>
            <a:ln w="28575" cap="rnd">
              <a:solidFill>
                <a:schemeClr val="accent6">
                  <a:lumMod val="75000"/>
                </a:schemeClr>
              </a:solidFill>
              <a:round/>
            </a:ln>
            <a:effectLst/>
          </c:spPr>
          <c:marker>
            <c:symbol val="none"/>
          </c:marker>
          <c:cat>
            <c:numRef>
              <c:f>'Market Share'!$B$96:$F$96</c:f>
              <c:numCache>
                <c:formatCode>General</c:formatCode>
                <c:ptCount val="5"/>
                <c:pt idx="0">
                  <c:v>2020</c:v>
                </c:pt>
                <c:pt idx="1">
                  <c:v>2021</c:v>
                </c:pt>
                <c:pt idx="2">
                  <c:v>2022</c:v>
                </c:pt>
                <c:pt idx="3">
                  <c:v>2023</c:v>
                </c:pt>
                <c:pt idx="4">
                  <c:v>2024</c:v>
                </c:pt>
              </c:numCache>
            </c:numRef>
          </c:cat>
          <c:val>
            <c:numRef>
              <c:f>'Market Share'!$B$100:$F$100</c:f>
              <c:numCache>
                <c:formatCode>"$"#,##0.00</c:formatCode>
                <c:ptCount val="5"/>
                <c:pt idx="0">
                  <c:v>0.46500000000000002</c:v>
                </c:pt>
                <c:pt idx="1">
                  <c:v>0.55674653215636827</c:v>
                </c:pt>
                <c:pt idx="2">
                  <c:v>0.62844444444444447</c:v>
                </c:pt>
                <c:pt idx="3">
                  <c:v>0.68890909090909092</c:v>
                </c:pt>
                <c:pt idx="4">
                  <c:v>0.69431964056482665</c:v>
                </c:pt>
              </c:numCache>
            </c:numRef>
          </c:val>
          <c:smooth val="0"/>
          <c:extLst>
            <c:ext xmlns:c16="http://schemas.microsoft.com/office/drawing/2014/chart" uri="{C3380CC4-5D6E-409C-BE32-E72D297353CC}">
              <c16:uniqueId val="{00000003-0728-7B40-B49A-CD35BE65EB08}"/>
            </c:ext>
          </c:extLst>
        </c:ser>
        <c:ser>
          <c:idx val="4"/>
          <c:order val="4"/>
          <c:tx>
            <c:strRef>
              <c:f>'Market Share'!$A$101</c:f>
              <c:strCache>
                <c:ptCount val="1"/>
                <c:pt idx="0">
                  <c:v>LSPD</c:v>
                </c:pt>
              </c:strCache>
            </c:strRef>
          </c:tx>
          <c:spPr>
            <a:ln w="28575" cap="rnd">
              <a:solidFill>
                <a:srgbClr val="FF0000"/>
              </a:solidFill>
              <a:round/>
            </a:ln>
            <a:effectLst/>
          </c:spPr>
          <c:marker>
            <c:symbol val="none"/>
          </c:marker>
          <c:cat>
            <c:numRef>
              <c:f>'Market Share'!$B$96:$F$96</c:f>
              <c:numCache>
                <c:formatCode>General</c:formatCode>
                <c:ptCount val="5"/>
                <c:pt idx="0">
                  <c:v>2020</c:v>
                </c:pt>
                <c:pt idx="1">
                  <c:v>2021</c:v>
                </c:pt>
                <c:pt idx="2">
                  <c:v>2022</c:v>
                </c:pt>
                <c:pt idx="3">
                  <c:v>2023</c:v>
                </c:pt>
                <c:pt idx="4">
                  <c:v>2024</c:v>
                </c:pt>
              </c:numCache>
            </c:numRef>
          </c:cat>
          <c:val>
            <c:numRef>
              <c:f>'Market Share'!$B$101:$F$101</c:f>
              <c:numCache>
                <c:formatCode>"$"#,##0.00</c:formatCode>
                <c:ptCount val="5"/>
                <c:pt idx="0">
                  <c:v>0.11103636363636364</c:v>
                </c:pt>
                <c:pt idx="1">
                  <c:v>0.13555555555555557</c:v>
                </c:pt>
                <c:pt idx="2">
                  <c:v>0.19636999999999996</c:v>
                </c:pt>
                <c:pt idx="3">
                  <c:v>0.25162000000000001</c:v>
                </c:pt>
                <c:pt idx="4">
                  <c:v>0.34208333333333329</c:v>
                </c:pt>
              </c:numCache>
            </c:numRef>
          </c:val>
          <c:smooth val="0"/>
          <c:extLst>
            <c:ext xmlns:c16="http://schemas.microsoft.com/office/drawing/2014/chart" uri="{C3380CC4-5D6E-409C-BE32-E72D297353CC}">
              <c16:uniqueId val="{00000004-0728-7B40-B49A-CD35BE65EB08}"/>
            </c:ext>
          </c:extLst>
        </c:ser>
        <c:dLbls>
          <c:showLegendKey val="0"/>
          <c:showVal val="0"/>
          <c:showCatName val="0"/>
          <c:showSerName val="0"/>
          <c:showPercent val="0"/>
          <c:showBubbleSize val="0"/>
        </c:dLbls>
        <c:smooth val="0"/>
        <c:axId val="323146559"/>
        <c:axId val="1492635040"/>
      </c:lineChart>
      <c:catAx>
        <c:axId val="32314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492635040"/>
        <c:crosses val="autoZero"/>
        <c:auto val="1"/>
        <c:lblAlgn val="ctr"/>
        <c:lblOffset val="100"/>
        <c:noMultiLvlLbl val="0"/>
      </c:catAx>
      <c:valAx>
        <c:axId val="1492635040"/>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23146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'Industry Growth'!$B$1</c:f>
              <c:strCache>
                <c:ptCount val="1"/>
                <c:pt idx="0">
                  <c:v>Software [Total Global Technology Spending ($ in mn):&gt; By Sector]</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numRef>
              <c:f>'Industry Growth'!$A$2:$A$19</c:f>
              <c:numCache>
                <c:formatCode>m/d/yy</c:formatCode>
                <c:ptCount val="18"/>
                <c:pt idx="0">
                  <c:v>45291</c:v>
                </c:pt>
                <c:pt idx="1">
                  <c:v>44926</c:v>
                </c:pt>
                <c:pt idx="2">
                  <c:v>44561</c:v>
                </c:pt>
                <c:pt idx="3">
                  <c:v>44196</c:v>
                </c:pt>
                <c:pt idx="4">
                  <c:v>43830</c:v>
                </c:pt>
                <c:pt idx="5">
                  <c:v>43465</c:v>
                </c:pt>
                <c:pt idx="6">
                  <c:v>43100</c:v>
                </c:pt>
                <c:pt idx="7">
                  <c:v>42735</c:v>
                </c:pt>
                <c:pt idx="8">
                  <c:v>42369</c:v>
                </c:pt>
                <c:pt idx="9">
                  <c:v>42004</c:v>
                </c:pt>
                <c:pt idx="10">
                  <c:v>41639</c:v>
                </c:pt>
                <c:pt idx="11">
                  <c:v>41274</c:v>
                </c:pt>
                <c:pt idx="12">
                  <c:v>40908</c:v>
                </c:pt>
                <c:pt idx="13">
                  <c:v>40543</c:v>
                </c:pt>
                <c:pt idx="14">
                  <c:v>40178</c:v>
                </c:pt>
                <c:pt idx="15">
                  <c:v>39813</c:v>
                </c:pt>
                <c:pt idx="16">
                  <c:v>39447</c:v>
                </c:pt>
                <c:pt idx="17">
                  <c:v>39082</c:v>
                </c:pt>
              </c:numCache>
            </c:numRef>
          </c:cat>
          <c:val>
            <c:numRef>
              <c:f>'Industry Growth'!$B$2:$B$19</c:f>
              <c:numCache>
                <c:formatCode>General</c:formatCode>
                <c:ptCount val="18"/>
                <c:pt idx="0">
                  <c:v>985836.8125</c:v>
                </c:pt>
                <c:pt idx="1">
                  <c:v>880902.3125</c:v>
                </c:pt>
                <c:pt idx="2">
                  <c:v>762362.0625</c:v>
                </c:pt>
                <c:pt idx="3">
                  <c:v>676717.375</c:v>
                </c:pt>
                <c:pt idx="4">
                  <c:v>617046.5</c:v>
                </c:pt>
                <c:pt idx="5">
                  <c:v>550176.625</c:v>
                </c:pt>
                <c:pt idx="6">
                  <c:v>479562.5</c:v>
                </c:pt>
                <c:pt idx="7">
                  <c:v>438046.6875</c:v>
                </c:pt>
                <c:pt idx="8">
                  <c:v>407779.3125</c:v>
                </c:pt>
                <c:pt idx="9">
                  <c:v>373016.1875</c:v>
                </c:pt>
                <c:pt idx="10">
                  <c:v>348325.6875</c:v>
                </c:pt>
                <c:pt idx="11">
                  <c:v>325520.09379999997</c:v>
                </c:pt>
                <c:pt idx="12">
                  <c:v>300401.65620000003</c:v>
                </c:pt>
                <c:pt idx="13">
                  <c:v>280033.96879999997</c:v>
                </c:pt>
                <c:pt idx="14">
                  <c:v>269265.78120000003</c:v>
                </c:pt>
                <c:pt idx="15">
                  <c:v>293630.84379999997</c:v>
                </c:pt>
                <c:pt idx="16">
                  <c:v>275163.78120000003</c:v>
                </c:pt>
                <c:pt idx="17">
                  <c:v>247689.5938</c:v>
                </c:pt>
              </c:numCache>
            </c:numRef>
          </c:val>
          <c:extLst>
            <c:ext xmlns:c16="http://schemas.microsoft.com/office/drawing/2014/chart" uri="{C3380CC4-5D6E-409C-BE32-E72D297353CC}">
              <c16:uniqueId val="{00000001-B4A4-40CE-AD99-FBCFD0E12508}"/>
            </c:ext>
          </c:extLst>
        </c:ser>
        <c:dLbls>
          <c:showLegendKey val="0"/>
          <c:showVal val="0"/>
          <c:showCatName val="0"/>
          <c:showSerName val="0"/>
          <c:showPercent val="0"/>
          <c:showBubbleSize val="0"/>
        </c:dLbls>
        <c:gapWidth val="50"/>
        <c:overlap val="-27"/>
        <c:axId val="1344479752"/>
        <c:axId val="1344481800"/>
      </c:barChart>
      <c:dateAx>
        <c:axId val="1344479752"/>
        <c:scaling>
          <c:orientation val="minMax"/>
        </c:scaling>
        <c:delete val="0"/>
        <c:axPos val="b"/>
        <c:numFmt formatCode="yyyy" sourceLinked="0"/>
        <c:majorTickMark val="none"/>
        <c:minorTickMark val="none"/>
        <c:tickLblPos val="nextTo"/>
        <c:spPr>
          <a:noFill/>
          <a:ln w="9525" cap="flat" cmpd="sng" algn="ctr">
            <a:solidFill>
              <a:srgbClr val="000000"/>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481800"/>
        <c:crosses val="autoZero"/>
        <c:auto val="1"/>
        <c:lblOffset val="100"/>
        <c:baseTimeUnit val="years"/>
        <c:majorUnit val="1"/>
        <c:majorTimeUnit val="years"/>
      </c:dateAx>
      <c:valAx>
        <c:axId val="1344481800"/>
        <c:scaling>
          <c:orientation val="minMax"/>
        </c:scaling>
        <c:delete val="0"/>
        <c:axPos val="l"/>
        <c:numFmt formatCode="General" sourceLinked="1"/>
        <c:majorTickMark val="none"/>
        <c:minorTickMark val="none"/>
        <c:tickLblPos val="nextTo"/>
        <c:spPr>
          <a:noFill/>
          <a:ln>
            <a:solidFill>
              <a:srgbClr val="000000"/>
            </a:solidFill>
            <a:prstDash val="soli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479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17</xdr:col>
      <xdr:colOff>66147</xdr:colOff>
      <xdr:row>5</xdr:row>
      <xdr:rowOff>10259</xdr:rowOff>
    </xdr:from>
    <xdr:to>
      <xdr:col>17</xdr:col>
      <xdr:colOff>66147</xdr:colOff>
      <xdr:row>14</xdr:row>
      <xdr:rowOff>76201</xdr:rowOff>
    </xdr:to>
    <xdr:pic>
      <xdr:nvPicPr>
        <xdr:cNvPr id="2" name="Picture 1">
          <a:extLst>
            <a:ext uri="{FF2B5EF4-FFF2-40B4-BE49-F238E27FC236}">
              <a16:creationId xmlns:a16="http://schemas.microsoft.com/office/drawing/2014/main" id="{96B5A00C-E19D-6645-8CEF-31A8786402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724747" y="911959"/>
          <a:ext cx="1816618" cy="1780442"/>
        </a:xfrm>
        <a:prstGeom prst="rect">
          <a:avLst/>
        </a:prstGeom>
        <a:ln>
          <a:solidFill>
            <a:sysClr val="windowText" lastClr="000000"/>
          </a:solidFill>
        </a:ln>
      </xdr:spPr>
    </xdr:pic>
    <xdr:clientData/>
  </xdr:twoCellAnchor>
  <xdr:twoCellAnchor editAs="oneCell">
    <xdr:from>
      <xdr:col>1</xdr:col>
      <xdr:colOff>508000</xdr:colOff>
      <xdr:row>2</xdr:row>
      <xdr:rowOff>12700</xdr:rowOff>
    </xdr:from>
    <xdr:to>
      <xdr:col>7</xdr:col>
      <xdr:colOff>127000</xdr:colOff>
      <xdr:row>17</xdr:row>
      <xdr:rowOff>92268</xdr:rowOff>
    </xdr:to>
    <xdr:pic>
      <xdr:nvPicPr>
        <xdr:cNvPr id="3" name="Picture 2" descr="Lightspeed Aviation Logo">
          <a:extLst>
            <a:ext uri="{FF2B5EF4-FFF2-40B4-BE49-F238E27FC236}">
              <a16:creationId xmlns:a16="http://schemas.microsoft.com/office/drawing/2014/main" id="{996AD99F-E268-DF7B-18E2-7C3A408E4957}"/>
            </a:ext>
          </a:extLst>
        </xdr:cNvPr>
        <xdr:cNvPicPr>
          <a:picLocks noChangeAspect="1"/>
        </xdr:cNvPicPr>
      </xdr:nvPicPr>
      <xdr:blipFill>
        <a:blip xmlns:r="http://schemas.openxmlformats.org/officeDocument/2006/relationships" r:embed="rId2"/>
        <a:stretch>
          <a:fillRect/>
        </a:stretch>
      </xdr:blipFill>
      <xdr:spPr>
        <a:xfrm>
          <a:off x="1193800" y="368300"/>
          <a:ext cx="3733800" cy="27973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109589</xdr:colOff>
      <xdr:row>2</xdr:row>
      <xdr:rowOff>147023</xdr:rowOff>
    </xdr:from>
    <xdr:to>
      <xdr:col>13</xdr:col>
      <xdr:colOff>550891</xdr:colOff>
      <xdr:row>17</xdr:row>
      <xdr:rowOff>31352</xdr:rowOff>
    </xdr:to>
    <xdr:graphicFrame macro="">
      <xdr:nvGraphicFramePr>
        <xdr:cNvPr id="4" name="Chart 3">
          <a:extLst>
            <a:ext uri="{FF2B5EF4-FFF2-40B4-BE49-F238E27FC236}">
              <a16:creationId xmlns:a16="http://schemas.microsoft.com/office/drawing/2014/main" id="{B330C2AD-08D5-48D0-AD51-38958AB4C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396874</xdr:colOff>
      <xdr:row>21</xdr:row>
      <xdr:rowOff>158750</xdr:rowOff>
    </xdr:from>
    <xdr:to>
      <xdr:col>12</xdr:col>
      <xdr:colOff>635000</xdr:colOff>
      <xdr:row>35</xdr:row>
      <xdr:rowOff>1</xdr:rowOff>
    </xdr:to>
    <xdr:graphicFrame macro="">
      <xdr:nvGraphicFramePr>
        <xdr:cNvPr id="26" name="Chart 12">
          <a:extLst>
            <a:ext uri="{FF2B5EF4-FFF2-40B4-BE49-F238E27FC236}">
              <a16:creationId xmlns:a16="http://schemas.microsoft.com/office/drawing/2014/main" id="{824F5ADF-8073-8DC1-5BDF-4BAB7322F2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305027</xdr:colOff>
      <xdr:row>38</xdr:row>
      <xdr:rowOff>62819</xdr:rowOff>
    </xdr:from>
    <xdr:to>
      <xdr:col>12</xdr:col>
      <xdr:colOff>738188</xdr:colOff>
      <xdr:row>52</xdr:row>
      <xdr:rowOff>107269</xdr:rowOff>
    </xdr:to>
    <xdr:graphicFrame macro="">
      <xdr:nvGraphicFramePr>
        <xdr:cNvPr id="12" name="Chart 14">
          <a:extLst>
            <a:ext uri="{FF2B5EF4-FFF2-40B4-BE49-F238E27FC236}">
              <a16:creationId xmlns:a16="http://schemas.microsoft.com/office/drawing/2014/main" id="{DE5CA0C8-309F-CA2E-B59C-AD98F1F95F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735245</xdr:colOff>
      <xdr:row>55</xdr:row>
      <xdr:rowOff>57727</xdr:rowOff>
    </xdr:from>
    <xdr:to>
      <xdr:col>14</xdr:col>
      <xdr:colOff>43296</xdr:colOff>
      <xdr:row>70</xdr:row>
      <xdr:rowOff>63380</xdr:rowOff>
    </xdr:to>
    <xdr:graphicFrame macro="">
      <xdr:nvGraphicFramePr>
        <xdr:cNvPr id="16" name="Chart 15">
          <a:extLst>
            <a:ext uri="{FF2B5EF4-FFF2-40B4-BE49-F238E27FC236}">
              <a16:creationId xmlns:a16="http://schemas.microsoft.com/office/drawing/2014/main" id="{EA6D69CB-31B4-AD4A-80A5-87F6562B0F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26698</xdr:colOff>
      <xdr:row>71</xdr:row>
      <xdr:rowOff>122093</xdr:rowOff>
    </xdr:from>
    <xdr:to>
      <xdr:col>13</xdr:col>
      <xdr:colOff>485630</xdr:colOff>
      <xdr:row>86</xdr:row>
      <xdr:rowOff>51088</xdr:rowOff>
    </xdr:to>
    <xdr:graphicFrame macro="">
      <xdr:nvGraphicFramePr>
        <xdr:cNvPr id="17" name="Chart 16">
          <a:extLst>
            <a:ext uri="{FF2B5EF4-FFF2-40B4-BE49-F238E27FC236}">
              <a16:creationId xmlns:a16="http://schemas.microsoft.com/office/drawing/2014/main" id="{FE107BA3-3251-82C6-8826-201D6172DA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37522</xdr:colOff>
      <xdr:row>87</xdr:row>
      <xdr:rowOff>100446</xdr:rowOff>
    </xdr:from>
    <xdr:to>
      <xdr:col>13</xdr:col>
      <xdr:colOff>496454</xdr:colOff>
      <xdr:row>102</xdr:row>
      <xdr:rowOff>29441</xdr:rowOff>
    </xdr:to>
    <xdr:graphicFrame macro="">
      <xdr:nvGraphicFramePr>
        <xdr:cNvPr id="18" name="Chart 17">
          <a:extLst>
            <a:ext uri="{FF2B5EF4-FFF2-40B4-BE49-F238E27FC236}">
              <a16:creationId xmlns:a16="http://schemas.microsoft.com/office/drawing/2014/main" id="{E5C0A6CC-C8E1-C137-776E-0695C3D8F4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804784</xdr:colOff>
      <xdr:row>31</xdr:row>
      <xdr:rowOff>136470</xdr:rowOff>
    </xdr:from>
    <xdr:to>
      <xdr:col>22</xdr:col>
      <xdr:colOff>398144</xdr:colOff>
      <xdr:row>50</xdr:row>
      <xdr:rowOff>160728</xdr:rowOff>
    </xdr:to>
    <xdr:pic>
      <xdr:nvPicPr>
        <xdr:cNvPr id="7" name="Picture 2">
          <a:extLst>
            <a:ext uri="{FF2B5EF4-FFF2-40B4-BE49-F238E27FC236}">
              <a16:creationId xmlns:a16="http://schemas.microsoft.com/office/drawing/2014/main" id="{3217475B-2665-15D0-A56F-51770F591A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755498" y="6395756"/>
          <a:ext cx="6124788" cy="347140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485775</xdr:colOff>
      <xdr:row>0</xdr:row>
      <xdr:rowOff>171450</xdr:rowOff>
    </xdr:from>
    <xdr:to>
      <xdr:col>11</xdr:col>
      <xdr:colOff>180975</xdr:colOff>
      <xdr:row>15</xdr:row>
      <xdr:rowOff>57150</xdr:rowOff>
    </xdr:to>
    <xdr:graphicFrame macro="">
      <xdr:nvGraphicFramePr>
        <xdr:cNvPr id="26" name="Chart 2">
          <a:extLst>
            <a:ext uri="{FF2B5EF4-FFF2-40B4-BE49-F238E27FC236}">
              <a16:creationId xmlns:a16="http://schemas.microsoft.com/office/drawing/2014/main" id="{9CAD04E9-1963-77D5-4BFB-D71D060ED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419100</xdr:colOff>
      <xdr:row>6</xdr:row>
      <xdr:rowOff>95250</xdr:rowOff>
    </xdr:from>
    <xdr:to>
      <xdr:col>9</xdr:col>
      <xdr:colOff>38100</xdr:colOff>
      <xdr:row>21</xdr:row>
      <xdr:rowOff>28575</xdr:rowOff>
    </xdr:to>
    <xdr:pic>
      <xdr:nvPicPr>
        <xdr:cNvPr id="3" name="Picture 1">
          <a:extLst>
            <a:ext uri="{FF2B5EF4-FFF2-40B4-BE49-F238E27FC236}">
              <a16:creationId xmlns:a16="http://schemas.microsoft.com/office/drawing/2014/main" id="{01C0055B-59AD-DED2-25F6-3AD7A59EC61E}"/>
            </a:ext>
          </a:extLst>
        </xdr:cNvPr>
        <xdr:cNvPicPr>
          <a:picLocks noChangeAspect="1"/>
        </xdr:cNvPicPr>
      </xdr:nvPicPr>
      <xdr:blipFill>
        <a:blip xmlns:r="http://schemas.openxmlformats.org/officeDocument/2006/relationships" r:embed="rId1"/>
        <a:stretch>
          <a:fillRect/>
        </a:stretch>
      </xdr:blipFill>
      <xdr:spPr>
        <a:xfrm>
          <a:off x="2247900" y="1238250"/>
          <a:ext cx="4572000" cy="2790825"/>
        </a:xfrm>
        <a:prstGeom prst="rect">
          <a:avLst/>
        </a:prstGeom>
      </xdr:spPr>
    </xdr:pic>
    <xdr:clientData/>
  </xdr:twoCellAnchor>
  <xdr:twoCellAnchor editAs="oneCell">
    <xdr:from>
      <xdr:col>12</xdr:col>
      <xdr:colOff>495300</xdr:colOff>
      <xdr:row>6</xdr:row>
      <xdr:rowOff>9525</xdr:rowOff>
    </xdr:from>
    <xdr:to>
      <xdr:col>18</xdr:col>
      <xdr:colOff>114300</xdr:colOff>
      <xdr:row>20</xdr:row>
      <xdr:rowOff>85725</xdr:rowOff>
    </xdr:to>
    <xdr:pic>
      <xdr:nvPicPr>
        <xdr:cNvPr id="5" name="Picture 2">
          <a:extLst>
            <a:ext uri="{FF2B5EF4-FFF2-40B4-BE49-F238E27FC236}">
              <a16:creationId xmlns:a16="http://schemas.microsoft.com/office/drawing/2014/main" id="{91805C49-6EBD-6997-47B6-F7D2BCFE5015}"/>
            </a:ext>
            <a:ext uri="{147F2762-F138-4A5C-976F-8EAC2B608ADB}">
              <a16:predDERef xmlns:a16="http://schemas.microsoft.com/office/drawing/2014/main" pred="{01C0055B-59AD-DED2-25F6-3AD7A59EC61E}"/>
            </a:ext>
          </a:extLst>
        </xdr:cNvPr>
        <xdr:cNvPicPr>
          <a:picLocks noChangeAspect="1"/>
        </xdr:cNvPicPr>
      </xdr:nvPicPr>
      <xdr:blipFill>
        <a:blip xmlns:r="http://schemas.openxmlformats.org/officeDocument/2006/relationships" r:embed="rId2"/>
        <a:stretch>
          <a:fillRect/>
        </a:stretch>
      </xdr:blipFill>
      <xdr:spPr>
        <a:xfrm>
          <a:off x="7810500" y="1152525"/>
          <a:ext cx="4572000" cy="27432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uottawa.sharepoint.com/sites/1100_365_T_Telfer_Investment_Club/Shared%20Documents/Technology,%20Media,%20Telecom,%20and%20Healthcare/2024-2025/Lightspeed%20Commerce%20-%20Winter%202024/Lightspeed%20Commerce%20DCF%20-%205yr%20&amp;%2010yr.xlsx" TargetMode="External"/><Relationship Id="rId1" Type="http://schemas.openxmlformats.org/officeDocument/2006/relationships/externalLinkPath" Target="/sites/1100_365_T_Telfer_Investment_Club/Shared%20Documents/Technology,%20Media,%20Telecom,%20and%20Healthcare/2024-2025/Lightspeed%20Commerce%20-%20Winter%202024/Lightspeed%20Commerce%20DCF%20-%205yr%20&amp;%2010y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2dA6ThWYI0q0qRZAdp37hJ4N8Ytw_Y5KtV_Kzr7DTS5OpZvDo7kvR5fbeTmWeSpd" itemId="01VGHJQYRXE7XYTZJR4ZCZW7NOL6GFXEUQ">
      <xxl21:absoluteUrl r:id="rId2"/>
    </xxl21:alternateUrls>
    <sheetNames>
      <sheetName val="Instructions"/>
      <sheetName val="Cover Page"/>
      <sheetName val="Control Sheet"/>
      <sheetName val="Company Summary"/>
      <sheetName val="DCF"/>
      <sheetName val="DCF Summary"/>
      <sheetName val="Assumptions"/>
      <sheetName val="WACC"/>
      <sheetName val="Cost of Debt"/>
      <sheetName val="Beta Regression"/>
      <sheetName val="Market Return"/>
      <sheetName val="RV"/>
      <sheetName val="EBITDA"/>
      <sheetName val="Net Income"/>
      <sheetName val="Research"/>
      <sheetName val="Income Statement"/>
      <sheetName val="Balance Sheet"/>
      <sheetName val="Cash Flow Statement"/>
    </sheetNames>
    <sheetDataSet>
      <sheetData sheetId="0"/>
      <sheetData sheetId="1"/>
      <sheetData sheetId="2"/>
      <sheetData sheetId="3">
        <row r="4">
          <cell r="C4" t="str">
            <v>Lightspeed</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2B97E4-8563-439A-81F4-419D314ACFA4}" name="Table1" displayName="Table1" ref="A1:B19" totalsRowShown="0">
  <autoFilter ref="A1:B19" xr:uid="{982B97E4-8563-439A-81F4-419D314ACFA4}"/>
  <tableColumns count="2">
    <tableColumn id="1" xr3:uid="{53DDC9DB-6FE6-422B-942D-9672916EDD6B}" name="Date" dataDxfId="0"/>
    <tableColumn id="2" xr3:uid="{2455F230-F916-4612-AF36-C1F32589D541}" name="Software [Total Global Technology Spending ($ in mn):&gt; By Secto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mailto:todd.coupland@cibc.com" TargetMode="External"/><Relationship Id="rId1" Type="http://schemas.openxmlformats.org/officeDocument/2006/relationships/hyperlink" Target="mailto:dominic.ball@redburnatlantic.com"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perplexity.ai/search/why-did-dax-da-silva-quit-ligh-eb8ztyeeT8Wf7j42t1WriQ"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my.ibisworld.com/us/en/industry-specialized/OD4521/companies" TargetMode="External"/><Relationship Id="rId1" Type="http://schemas.openxmlformats.org/officeDocument/2006/relationships/hyperlink" Target="https://my.ibisworld.com/us/en/industry-specialized/OD5897/companies"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609B5-3735-3F4E-89D5-FEF3939189D9}">
  <dimension ref="A1:U42"/>
  <sheetViews>
    <sheetView showGridLines="0" workbookViewId="0">
      <selection activeCell="H5" sqref="H5"/>
    </sheetView>
  </sheetViews>
  <sheetFormatPr baseColWidth="10" defaultColWidth="0" defaultRowHeight="14" customHeight="1" zeroHeight="1"/>
  <cols>
    <col min="1" max="21" width="9" style="163" customWidth="1"/>
    <col min="22" max="16384" width="9" style="163" hidden="1"/>
  </cols>
  <sheetData>
    <row r="1" spans="2:16"/>
    <row r="2" spans="2:16" s="164" customFormat="1">
      <c r="B2" s="165" t="str">
        <f>'[1]Company Summary'!C4</f>
        <v>Lightspeed</v>
      </c>
    </row>
    <row r="3" spans="2:16"/>
    <row r="4" spans="2:16"/>
    <row r="5" spans="2:16" ht="15" thickBot="1"/>
    <row r="6" spans="2:16">
      <c r="B6" s="793"/>
      <c r="C6" s="794"/>
      <c r="D6" s="794"/>
      <c r="E6" s="794"/>
      <c r="F6" s="794"/>
      <c r="G6" s="794"/>
      <c r="H6" s="795"/>
      <c r="J6" s="793" t="s">
        <v>0</v>
      </c>
      <c r="K6" s="794"/>
      <c r="L6" s="794"/>
      <c r="M6" s="794"/>
      <c r="N6" s="794"/>
      <c r="O6" s="794"/>
      <c r="P6" s="795"/>
    </row>
    <row r="7" spans="2:16">
      <c r="B7" s="796"/>
      <c r="C7" s="797"/>
      <c r="D7" s="797"/>
      <c r="E7" s="797"/>
      <c r="F7" s="797"/>
      <c r="G7" s="797"/>
      <c r="H7" s="798"/>
      <c r="J7" s="796"/>
      <c r="K7" s="797"/>
      <c r="L7" s="797"/>
      <c r="M7" s="797"/>
      <c r="N7" s="797"/>
      <c r="O7" s="797"/>
      <c r="P7" s="798"/>
    </row>
    <row r="8" spans="2:16">
      <c r="B8" s="796"/>
      <c r="C8" s="797"/>
      <c r="D8" s="797"/>
      <c r="E8" s="797"/>
      <c r="F8" s="797"/>
      <c r="G8" s="797"/>
      <c r="H8" s="798"/>
      <c r="J8" s="796"/>
      <c r="K8" s="797"/>
      <c r="L8" s="797"/>
      <c r="M8" s="797"/>
      <c r="N8" s="797"/>
      <c r="O8" s="797"/>
      <c r="P8" s="798"/>
    </row>
    <row r="9" spans="2:16">
      <c r="B9" s="796"/>
      <c r="C9" s="797"/>
      <c r="D9" s="797"/>
      <c r="E9" s="797"/>
      <c r="F9" s="797"/>
      <c r="G9" s="797"/>
      <c r="H9" s="798"/>
      <c r="J9" s="796"/>
      <c r="K9" s="797"/>
      <c r="L9" s="797"/>
      <c r="M9" s="797"/>
      <c r="N9" s="797"/>
      <c r="O9" s="797"/>
      <c r="P9" s="798"/>
    </row>
    <row r="10" spans="2:16">
      <c r="B10" s="796"/>
      <c r="C10" s="797"/>
      <c r="D10" s="797"/>
      <c r="E10" s="797"/>
      <c r="F10" s="797"/>
      <c r="G10" s="797"/>
      <c r="H10" s="798"/>
      <c r="J10" s="796"/>
      <c r="K10" s="797"/>
      <c r="L10" s="797"/>
      <c r="M10" s="797"/>
      <c r="N10" s="797"/>
      <c r="O10" s="797"/>
      <c r="P10" s="798"/>
    </row>
    <row r="11" spans="2:16">
      <c r="B11" s="796"/>
      <c r="C11" s="797"/>
      <c r="D11" s="797"/>
      <c r="E11" s="797"/>
      <c r="F11" s="797"/>
      <c r="G11" s="797"/>
      <c r="H11" s="798"/>
      <c r="J11" s="796"/>
      <c r="K11" s="797"/>
      <c r="L11" s="797"/>
      <c r="M11" s="797"/>
      <c r="N11" s="797"/>
      <c r="O11" s="797"/>
      <c r="P11" s="798"/>
    </row>
    <row r="12" spans="2:16">
      <c r="B12" s="796"/>
      <c r="C12" s="797"/>
      <c r="D12" s="797"/>
      <c r="E12" s="797"/>
      <c r="F12" s="797"/>
      <c r="G12" s="797"/>
      <c r="H12" s="798"/>
      <c r="J12" s="796"/>
      <c r="K12" s="797"/>
      <c r="L12" s="797"/>
      <c r="M12" s="797"/>
      <c r="N12" s="797"/>
      <c r="O12" s="797"/>
      <c r="P12" s="798"/>
    </row>
    <row r="13" spans="2:16">
      <c r="B13" s="796"/>
      <c r="C13" s="797"/>
      <c r="D13" s="797"/>
      <c r="E13" s="797"/>
      <c r="F13" s="797"/>
      <c r="G13" s="797"/>
      <c r="H13" s="798"/>
      <c r="J13" s="796"/>
      <c r="K13" s="797"/>
      <c r="L13" s="797"/>
      <c r="M13" s="797"/>
      <c r="N13" s="797"/>
      <c r="O13" s="797"/>
      <c r="P13" s="798"/>
    </row>
    <row r="14" spans="2:16">
      <c r="B14" s="796"/>
      <c r="C14" s="797"/>
      <c r="D14" s="797"/>
      <c r="E14" s="797"/>
      <c r="F14" s="797"/>
      <c r="G14" s="797"/>
      <c r="H14" s="798"/>
      <c r="J14" s="796"/>
      <c r="K14" s="797"/>
      <c r="L14" s="797"/>
      <c r="M14" s="797"/>
      <c r="N14" s="797"/>
      <c r="O14" s="797"/>
      <c r="P14" s="798"/>
    </row>
    <row r="15" spans="2:16" ht="15" thickBot="1">
      <c r="B15" s="799"/>
      <c r="C15" s="800"/>
      <c r="D15" s="800"/>
      <c r="E15" s="800"/>
      <c r="F15" s="800"/>
      <c r="G15" s="800"/>
      <c r="H15" s="801"/>
      <c r="J15" s="799"/>
      <c r="K15" s="800"/>
      <c r="L15" s="800"/>
      <c r="M15" s="800"/>
      <c r="N15" s="800"/>
      <c r="O15" s="800"/>
      <c r="P15" s="801"/>
    </row>
    <row r="16" spans="2:16" ht="15" thickBot="1"/>
    <row r="17" spans="2:16" ht="15">
      <c r="B17"/>
      <c r="G17" s="166"/>
      <c r="H17" s="167"/>
      <c r="I17" s="168" t="s">
        <v>1</v>
      </c>
      <c r="J17" s="167"/>
      <c r="K17" s="169"/>
      <c r="M17"/>
      <c r="N17"/>
      <c r="O17"/>
      <c r="P17"/>
    </row>
    <row r="18" spans="2:16" ht="15">
      <c r="B18"/>
      <c r="G18" s="170"/>
      <c r="H18" s="171"/>
      <c r="I18" s="172" t="s">
        <v>2</v>
      </c>
      <c r="J18" s="171"/>
      <c r="K18" s="173"/>
      <c r="M18"/>
      <c r="N18"/>
      <c r="O18"/>
      <c r="P18"/>
    </row>
    <row r="19" spans="2:16" ht="15">
      <c r="G19" s="174"/>
      <c r="H19" s="175"/>
      <c r="I19" s="176"/>
      <c r="J19" s="175"/>
      <c r="K19" s="177"/>
      <c r="M19"/>
      <c r="N19"/>
      <c r="O19"/>
      <c r="P19"/>
    </row>
    <row r="20" spans="2:16" ht="16" thickBot="1">
      <c r="G20" s="170"/>
      <c r="H20" s="171"/>
      <c r="I20" s="178"/>
      <c r="J20" s="171"/>
      <c r="K20" s="173"/>
      <c r="M20"/>
      <c r="N20"/>
      <c r="O20"/>
      <c r="P20"/>
    </row>
    <row r="21" spans="2:16" ht="16" thickBot="1">
      <c r="G21" s="170"/>
      <c r="H21" s="178" t="s">
        <v>3</v>
      </c>
      <c r="I21" s="171"/>
      <c r="J21" s="179">
        <f>'Company Summary'!C20</f>
        <v>13.15</v>
      </c>
      <c r="K21" s="173"/>
      <c r="M21"/>
      <c r="N21"/>
      <c r="O21"/>
      <c r="P21"/>
    </row>
    <row r="22" spans="2:16" ht="16" thickBot="1">
      <c r="G22" s="170"/>
      <c r="H22" s="178" t="s">
        <v>4</v>
      </c>
      <c r="I22" s="171"/>
      <c r="J22" s="180">
        <f>'LSPD DCF'!V90</f>
        <v>0.56439985179349783</v>
      </c>
      <c r="K22" s="173"/>
      <c r="M22"/>
      <c r="N22"/>
      <c r="O22"/>
      <c r="P22"/>
    </row>
    <row r="23" spans="2:16" ht="16" thickBot="1">
      <c r="G23" s="170"/>
      <c r="H23" s="178" t="s">
        <v>5</v>
      </c>
      <c r="I23" s="171"/>
      <c r="J23" s="181">
        <f>(J21*J22)+J21</f>
        <v>20.571858051084497</v>
      </c>
      <c r="K23" s="173"/>
      <c r="M23"/>
      <c r="N23"/>
      <c r="O23"/>
      <c r="P23"/>
    </row>
    <row r="24" spans="2:16" ht="16" thickBot="1">
      <c r="G24" s="182"/>
      <c r="H24" s="183"/>
      <c r="I24" s="183"/>
      <c r="J24" s="183"/>
      <c r="K24" s="184"/>
      <c r="M24"/>
      <c r="N24"/>
      <c r="O24"/>
      <c r="P24"/>
    </row>
    <row r="25" spans="2:16" ht="15" thickBot="1"/>
    <row r="26" spans="2:16">
      <c r="G26" s="185"/>
      <c r="H26" s="186"/>
      <c r="I26" s="187" t="s">
        <v>6</v>
      </c>
      <c r="J26" s="186"/>
      <c r="K26" s="188"/>
    </row>
    <row r="27" spans="2:16">
      <c r="G27" s="189"/>
      <c r="H27" s="190" t="s">
        <v>7</v>
      </c>
      <c r="I27" s="190"/>
      <c r="J27" s="191" t="s">
        <v>8</v>
      </c>
      <c r="K27" s="192"/>
    </row>
    <row r="28" spans="2:16">
      <c r="G28" s="193"/>
      <c r="H28" s="194" t="s">
        <v>9</v>
      </c>
      <c r="I28" s="195"/>
      <c r="J28" s="191" t="s">
        <v>10</v>
      </c>
      <c r="K28" s="196"/>
    </row>
    <row r="29" spans="2:16" ht="15" thickBot="1">
      <c r="G29" s="197"/>
      <c r="H29" s="198" t="s">
        <v>11</v>
      </c>
      <c r="I29" s="199"/>
      <c r="J29" s="200" t="s">
        <v>12</v>
      </c>
      <c r="K29" s="201"/>
    </row>
    <row r="30" spans="2:16" ht="15" thickBot="1"/>
    <row r="31" spans="2:16">
      <c r="G31" s="202"/>
      <c r="H31" s="802" t="s">
        <v>13</v>
      </c>
      <c r="I31" s="802"/>
      <c r="J31" s="802"/>
      <c r="K31" s="203"/>
    </row>
    <row r="32" spans="2:16">
      <c r="G32" s="204"/>
      <c r="H32" s="205"/>
      <c r="I32" s="205"/>
      <c r="J32" s="205"/>
      <c r="K32" s="206"/>
    </row>
    <row r="33" spans="7:11" ht="15">
      <c r="G33" s="204"/>
      <c r="H33" s="207" t="s">
        <v>14</v>
      </c>
      <c r="J33" s="208">
        <v>-0.1234</v>
      </c>
      <c r="K33" s="206"/>
    </row>
    <row r="34" spans="7:11">
      <c r="G34" s="204"/>
      <c r="H34" s="209"/>
      <c r="J34" s="210">
        <v>0.1234</v>
      </c>
      <c r="K34" s="206"/>
    </row>
    <row r="35" spans="7:11">
      <c r="G35" s="204"/>
      <c r="H35" s="209"/>
      <c r="J35" s="211">
        <v>0.1234</v>
      </c>
      <c r="K35" s="206"/>
    </row>
    <row r="36" spans="7:11">
      <c r="G36" s="204"/>
      <c r="H36" s="209"/>
      <c r="J36" s="211"/>
      <c r="K36" s="206"/>
    </row>
    <row r="37" spans="7:11" ht="15">
      <c r="G37" s="204"/>
      <c r="H37" s="212" t="s">
        <v>15</v>
      </c>
      <c r="J37" s="213">
        <v>-1234.56</v>
      </c>
      <c r="K37" s="206"/>
    </row>
    <row r="38" spans="7:11" ht="15">
      <c r="G38" s="204"/>
      <c r="H38" s="214"/>
      <c r="J38" s="215">
        <v>1234.56</v>
      </c>
      <c r="K38" s="206"/>
    </row>
    <row r="39" spans="7:11" ht="15">
      <c r="G39" s="204"/>
      <c r="H39" s="214"/>
      <c r="J39" s="216">
        <v>1234.56</v>
      </c>
      <c r="K39" s="206"/>
    </row>
    <row r="40" spans="7:11" ht="15" thickBot="1">
      <c r="G40" s="217"/>
      <c r="H40" s="218"/>
      <c r="I40" s="218"/>
      <c r="J40" s="219"/>
      <c r="K40" s="220"/>
    </row>
    <row r="41" spans="7:11"/>
    <row r="42" spans="7:11"/>
  </sheetData>
  <mergeCells count="3">
    <mergeCell ref="B6:H15"/>
    <mergeCell ref="J6:P15"/>
    <mergeCell ref="H31:J31"/>
  </mergeCells>
  <conditionalFormatting sqref="J22">
    <cfRule type="cellIs" dxfId="2" priority="1" operator="greaterThan">
      <formula>0</formula>
    </cfRule>
    <cfRule type="cellIs" dxfId="1" priority="2" operator="lessThan">
      <formula>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F716F-1E08-DD47-BFA6-D4B4B393FA05}">
  <dimension ref="B2:P28"/>
  <sheetViews>
    <sheetView showGridLines="0" zoomScaleNormal="100" zoomScaleSheetLayoutView="100" workbookViewId="0">
      <selection activeCell="C30" sqref="C30"/>
    </sheetView>
  </sheetViews>
  <sheetFormatPr baseColWidth="10" defaultColWidth="8.83203125" defaultRowHeight="15"/>
  <cols>
    <col min="2" max="2" width="17" customWidth="1"/>
    <col min="3" max="3" width="29.33203125" customWidth="1"/>
    <col min="4" max="4" width="14.6640625" customWidth="1"/>
    <col min="5" max="5" width="4.6640625" customWidth="1"/>
    <col min="6" max="6" width="23" customWidth="1"/>
    <col min="7" max="7" width="29.83203125" customWidth="1"/>
    <col min="8" max="8" width="16.33203125" customWidth="1"/>
    <col min="9" max="9" width="5.6640625" customWidth="1"/>
    <col min="10" max="10" width="13.5" customWidth="1"/>
    <col min="11" max="11" width="29.5" customWidth="1"/>
    <col min="12" max="12" width="16" customWidth="1"/>
    <col min="13" max="13" width="5" customWidth="1"/>
    <col min="14" max="14" width="26.1640625" customWidth="1"/>
    <col min="15" max="15" width="24.5" customWidth="1"/>
    <col min="16" max="16" width="17.83203125" customWidth="1"/>
  </cols>
  <sheetData>
    <row r="2" spans="2:16" ht="22">
      <c r="B2" s="25" t="s">
        <v>16</v>
      </c>
    </row>
    <row r="5" spans="2:16">
      <c r="B5" s="804" t="s">
        <v>17</v>
      </c>
      <c r="C5" s="805"/>
      <c r="D5" s="806"/>
      <c r="F5" s="804" t="s">
        <v>18</v>
      </c>
      <c r="G5" s="805"/>
      <c r="H5" s="806"/>
      <c r="J5" s="807" t="s">
        <v>19</v>
      </c>
      <c r="K5" s="808"/>
      <c r="L5" s="809"/>
      <c r="N5" s="810" t="s">
        <v>20</v>
      </c>
      <c r="O5" s="810"/>
      <c r="P5" s="810"/>
    </row>
    <row r="6" spans="2:16">
      <c r="B6" s="40" t="s">
        <v>21</v>
      </c>
      <c r="C6" s="43" t="s">
        <v>22</v>
      </c>
      <c r="D6" s="46" t="s">
        <v>23</v>
      </c>
      <c r="F6" s="40" t="s">
        <v>24</v>
      </c>
      <c r="G6" s="5" t="s">
        <v>25</v>
      </c>
      <c r="H6" s="41"/>
      <c r="J6" s="40" t="s">
        <v>26</v>
      </c>
      <c r="K6" s="5" t="s">
        <v>27</v>
      </c>
      <c r="L6" s="46" t="s">
        <v>28</v>
      </c>
      <c r="N6" s="5" t="s">
        <v>29</v>
      </c>
      <c r="O6" s="5" t="s">
        <v>30</v>
      </c>
    </row>
    <row r="7" spans="2:16">
      <c r="B7" s="40" t="s">
        <v>26</v>
      </c>
      <c r="C7" s="5" t="s">
        <v>31</v>
      </c>
      <c r="D7" s="46" t="s">
        <v>32</v>
      </c>
      <c r="F7" s="40" t="s">
        <v>33</v>
      </c>
      <c r="G7" s="5" t="s">
        <v>34</v>
      </c>
      <c r="H7" s="41"/>
      <c r="J7" s="40" t="s">
        <v>35</v>
      </c>
      <c r="K7" s="5" t="s">
        <v>36</v>
      </c>
      <c r="L7" s="46" t="s">
        <v>37</v>
      </c>
      <c r="N7" s="5" t="s">
        <v>38</v>
      </c>
      <c r="O7" s="5" t="s">
        <v>39</v>
      </c>
    </row>
    <row r="8" spans="2:16">
      <c r="B8" s="40" t="s">
        <v>35</v>
      </c>
      <c r="C8" s="5" t="s">
        <v>40</v>
      </c>
      <c r="D8" s="46" t="s">
        <v>41</v>
      </c>
      <c r="F8" s="40" t="s">
        <v>29</v>
      </c>
      <c r="G8" s="5" t="s">
        <v>42</v>
      </c>
      <c r="H8" s="41"/>
      <c r="J8" s="40" t="s">
        <v>43</v>
      </c>
      <c r="K8" s="5" t="s">
        <v>44</v>
      </c>
      <c r="L8" s="46" t="s">
        <v>45</v>
      </c>
      <c r="N8" s="5" t="s">
        <v>46</v>
      </c>
      <c r="O8" s="5" t="s">
        <v>47</v>
      </c>
    </row>
    <row r="9" spans="2:16">
      <c r="B9" s="40" t="s">
        <v>48</v>
      </c>
      <c r="C9" s="5" t="s">
        <v>49</v>
      </c>
      <c r="D9" s="46" t="s">
        <v>50</v>
      </c>
      <c r="F9" s="40" t="s">
        <v>51</v>
      </c>
      <c r="G9" s="5" t="s">
        <v>52</v>
      </c>
      <c r="H9" s="41"/>
      <c r="J9" s="40" t="s">
        <v>53</v>
      </c>
      <c r="K9" s="5" t="s">
        <v>54</v>
      </c>
      <c r="L9" s="46" t="s">
        <v>55</v>
      </c>
      <c r="N9" s="5" t="s">
        <v>56</v>
      </c>
      <c r="O9" s="5" t="s">
        <v>57</v>
      </c>
    </row>
    <row r="10" spans="2:16">
      <c r="B10" s="40" t="s">
        <v>53</v>
      </c>
      <c r="C10" s="44" t="s">
        <v>54</v>
      </c>
      <c r="D10" s="46" t="s">
        <v>55</v>
      </c>
      <c r="F10" s="40" t="s">
        <v>58</v>
      </c>
      <c r="G10" s="5" t="s">
        <v>59</v>
      </c>
      <c r="H10" s="41"/>
      <c r="J10" s="40" t="s">
        <v>60</v>
      </c>
      <c r="K10" s="5" t="s">
        <v>61</v>
      </c>
      <c r="L10" s="46" t="s">
        <v>62</v>
      </c>
      <c r="N10" s="5" t="s">
        <v>63</v>
      </c>
      <c r="O10" s="5" t="s">
        <v>64</v>
      </c>
    </row>
    <row r="11" spans="2:16">
      <c r="B11" s="40" t="s">
        <v>65</v>
      </c>
      <c r="C11" s="5" t="s">
        <v>66</v>
      </c>
      <c r="D11" s="46" t="s">
        <v>67</v>
      </c>
      <c r="F11" s="34" t="s">
        <v>68</v>
      </c>
      <c r="G11" s="35" t="s">
        <v>69</v>
      </c>
      <c r="H11" s="49" t="s">
        <v>70</v>
      </c>
      <c r="J11" s="40" t="s">
        <v>71</v>
      </c>
      <c r="K11" s="5" t="s">
        <v>72</v>
      </c>
      <c r="L11" s="46" t="s">
        <v>73</v>
      </c>
      <c r="N11" s="5"/>
      <c r="O11" s="5"/>
    </row>
    <row r="12" spans="2:16">
      <c r="B12" s="40" t="s">
        <v>74</v>
      </c>
      <c r="C12" s="5" t="s">
        <v>75</v>
      </c>
      <c r="D12" s="46" t="s">
        <v>76</v>
      </c>
      <c r="F12" s="5"/>
      <c r="G12" s="5"/>
      <c r="J12" s="40" t="s">
        <v>77</v>
      </c>
      <c r="K12" s="5" t="s">
        <v>78</v>
      </c>
      <c r="L12" s="46" t="s">
        <v>79</v>
      </c>
      <c r="N12" s="5"/>
      <c r="O12" s="5"/>
    </row>
    <row r="13" spans="2:16">
      <c r="B13" s="40" t="s">
        <v>80</v>
      </c>
      <c r="C13" s="5" t="s">
        <v>81</v>
      </c>
      <c r="D13" s="46" t="s">
        <v>82</v>
      </c>
      <c r="F13" s="5"/>
      <c r="G13" s="5"/>
      <c r="J13" s="40" t="s">
        <v>83</v>
      </c>
      <c r="K13" s="5" t="s">
        <v>84</v>
      </c>
      <c r="L13" s="46" t="s">
        <v>85</v>
      </c>
      <c r="N13" s="5"/>
      <c r="O13" s="5"/>
    </row>
    <row r="14" spans="2:16">
      <c r="B14" s="40" t="s">
        <v>86</v>
      </c>
      <c r="C14" s="5" t="s">
        <v>87</v>
      </c>
      <c r="D14" s="46" t="s">
        <v>88</v>
      </c>
      <c r="F14" s="5"/>
      <c r="G14" s="5"/>
      <c r="J14" s="40" t="s">
        <v>65</v>
      </c>
      <c r="K14" s="5" t="s">
        <v>89</v>
      </c>
      <c r="L14" s="48" t="s">
        <v>90</v>
      </c>
      <c r="N14" s="5"/>
      <c r="O14" s="5"/>
    </row>
    <row r="15" spans="2:16">
      <c r="B15" s="40" t="s">
        <v>91</v>
      </c>
      <c r="C15" s="5" t="s">
        <v>92</v>
      </c>
      <c r="D15" s="46" t="s">
        <v>93</v>
      </c>
      <c r="F15" s="5"/>
      <c r="G15" s="5"/>
      <c r="J15" s="40" t="s">
        <v>74</v>
      </c>
      <c r="K15" s="5" t="s">
        <v>94</v>
      </c>
      <c r="L15" s="46" t="s">
        <v>95</v>
      </c>
      <c r="N15" s="5"/>
      <c r="O15" s="5"/>
    </row>
    <row r="16" spans="2:16">
      <c r="B16" s="40" t="s">
        <v>96</v>
      </c>
      <c r="C16" s="5" t="s">
        <v>97</v>
      </c>
      <c r="D16" s="46" t="s">
        <v>98</v>
      </c>
      <c r="F16" s="5"/>
      <c r="G16" s="5"/>
      <c r="J16" s="40" t="s">
        <v>99</v>
      </c>
      <c r="K16" s="5" t="s">
        <v>100</v>
      </c>
      <c r="L16" s="46" t="s">
        <v>101</v>
      </c>
      <c r="N16" s="5"/>
      <c r="O16" s="5"/>
    </row>
    <row r="17" spans="2:15">
      <c r="B17" s="40" t="s">
        <v>102</v>
      </c>
      <c r="C17" s="5" t="s">
        <v>103</v>
      </c>
      <c r="D17" s="46" t="s">
        <v>104</v>
      </c>
      <c r="F17" s="5"/>
      <c r="G17" s="5"/>
      <c r="J17" s="40" t="s">
        <v>80</v>
      </c>
      <c r="K17" s="5" t="s">
        <v>105</v>
      </c>
      <c r="L17" s="46" t="s">
        <v>106</v>
      </c>
      <c r="N17" s="5"/>
      <c r="O17" s="5"/>
    </row>
    <row r="18" spans="2:15">
      <c r="B18" s="40" t="s">
        <v>107</v>
      </c>
      <c r="C18" s="5"/>
      <c r="D18" s="46" t="s">
        <v>108</v>
      </c>
      <c r="F18" s="5"/>
      <c r="G18" s="5"/>
      <c r="J18" s="40" t="s">
        <v>86</v>
      </c>
      <c r="K18" s="5" t="s">
        <v>87</v>
      </c>
      <c r="L18" s="46" t="s">
        <v>88</v>
      </c>
      <c r="N18" s="5"/>
      <c r="O18" s="5"/>
    </row>
    <row r="19" spans="2:15">
      <c r="B19" s="40" t="s">
        <v>109</v>
      </c>
      <c r="C19" s="5" t="s">
        <v>110</v>
      </c>
      <c r="D19" s="46" t="s">
        <v>111</v>
      </c>
      <c r="F19" s="5"/>
      <c r="G19" s="5"/>
      <c r="J19" s="40" t="s">
        <v>112</v>
      </c>
      <c r="K19" s="5" t="s">
        <v>113</v>
      </c>
      <c r="L19" s="46" t="s">
        <v>114</v>
      </c>
      <c r="N19" s="5"/>
      <c r="O19" s="5"/>
    </row>
    <row r="20" spans="2:15">
      <c r="B20" s="34" t="s">
        <v>115</v>
      </c>
      <c r="C20" s="35" t="s">
        <v>116</v>
      </c>
      <c r="D20" s="47" t="s">
        <v>117</v>
      </c>
      <c r="F20" s="5"/>
      <c r="G20" s="5"/>
      <c r="J20" s="40" t="s">
        <v>91</v>
      </c>
      <c r="K20" s="5" t="s">
        <v>92</v>
      </c>
      <c r="L20" s="48" t="s">
        <v>93</v>
      </c>
      <c r="N20" s="5"/>
      <c r="O20" s="5"/>
    </row>
    <row r="21" spans="2:15">
      <c r="B21" s="5"/>
      <c r="C21" s="5"/>
      <c r="D21" s="5"/>
      <c r="F21" s="5"/>
      <c r="G21" s="5"/>
      <c r="J21" s="40" t="s">
        <v>96</v>
      </c>
      <c r="K21" s="5" t="s">
        <v>118</v>
      </c>
      <c r="L21" s="46" t="s">
        <v>119</v>
      </c>
    </row>
    <row r="22" spans="2:15">
      <c r="B22" s="5"/>
      <c r="C22" s="5"/>
      <c r="D22" s="5"/>
      <c r="F22" s="5"/>
      <c r="G22" s="5"/>
      <c r="J22" s="40" t="s">
        <v>21</v>
      </c>
      <c r="K22" s="5" t="s">
        <v>120</v>
      </c>
      <c r="L22" s="46" t="s">
        <v>121</v>
      </c>
    </row>
    <row r="23" spans="2:15">
      <c r="J23" s="40" t="s">
        <v>102</v>
      </c>
      <c r="K23" s="5" t="s">
        <v>103</v>
      </c>
      <c r="L23" s="46" t="s">
        <v>104</v>
      </c>
    </row>
    <row r="24" spans="2:15">
      <c r="J24" s="40" t="s">
        <v>107</v>
      </c>
      <c r="K24" s="5"/>
      <c r="L24" s="46" t="s">
        <v>108</v>
      </c>
      <c r="M24" s="803"/>
    </row>
    <row r="25" spans="2:15">
      <c r="J25" s="40" t="s">
        <v>109</v>
      </c>
      <c r="K25" s="5" t="s">
        <v>110</v>
      </c>
      <c r="L25" s="46" t="s">
        <v>111</v>
      </c>
      <c r="M25" s="803"/>
    </row>
    <row r="26" spans="2:15">
      <c r="J26" s="34" t="s">
        <v>115</v>
      </c>
      <c r="K26" s="35" t="s">
        <v>116</v>
      </c>
      <c r="L26" s="47" t="s">
        <v>117</v>
      </c>
      <c r="M26" s="803"/>
    </row>
    <row r="27" spans="2:15">
      <c r="L27" s="45"/>
      <c r="M27" s="803"/>
    </row>
    <row r="28" spans="2:15">
      <c r="L28" s="45"/>
      <c r="M28" s="803"/>
    </row>
  </sheetData>
  <mergeCells count="5">
    <mergeCell ref="M24:M28"/>
    <mergeCell ref="B5:D5"/>
    <mergeCell ref="F5:H5"/>
    <mergeCell ref="J5:L5"/>
    <mergeCell ref="N5:P5"/>
  </mergeCells>
  <hyperlinks>
    <hyperlink ref="C6" r:id="rId1" xr:uid="{D1663362-E11D-3544-95AE-35C1A0C13894}"/>
    <hyperlink ref="C10" r:id="rId2" display="mailto:todd.coupland@cibc.com" xr:uid="{AC9B3274-CEE4-1D45-8AC4-921F0E67914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FDFD9-F716-5F47-8595-A70D5558E827}">
  <dimension ref="B1:G25"/>
  <sheetViews>
    <sheetView showGridLines="0" workbookViewId="0"/>
  </sheetViews>
  <sheetFormatPr baseColWidth="10" defaultColWidth="11.5" defaultRowHeight="15"/>
  <cols>
    <col min="2" max="2" width="22.33203125" bestFit="1" customWidth="1"/>
    <col min="3" max="3" width="23.33203125" bestFit="1" customWidth="1"/>
    <col min="6" max="6" width="21.6640625" customWidth="1"/>
  </cols>
  <sheetData>
    <row r="1" spans="2:7" ht="16" thickBot="1"/>
    <row r="2" spans="2:7" ht="34" customHeight="1">
      <c r="B2" s="635" t="s">
        <v>773</v>
      </c>
      <c r="C2" s="636"/>
      <c r="F2" s="811" t="s">
        <v>788</v>
      </c>
      <c r="G2" s="811"/>
    </row>
    <row r="3" spans="2:7" ht="18">
      <c r="B3" s="618"/>
      <c r="C3" s="619"/>
    </row>
    <row r="4" spans="2:7">
      <c r="B4" s="620" t="s">
        <v>364</v>
      </c>
      <c r="C4" s="621" t="s">
        <v>774</v>
      </c>
      <c r="F4" s="336" t="s">
        <v>789</v>
      </c>
      <c r="G4" s="688">
        <f>'DCF Summary'!D35</f>
        <v>20.571858051084497</v>
      </c>
    </row>
    <row r="5" spans="2:7">
      <c r="B5" s="154"/>
      <c r="C5" s="415"/>
      <c r="F5" s="336" t="s">
        <v>381</v>
      </c>
      <c r="G5" s="320">
        <v>0.85</v>
      </c>
    </row>
    <row r="6" spans="2:7">
      <c r="B6" s="154" t="s">
        <v>775</v>
      </c>
      <c r="C6" s="622" t="s">
        <v>776</v>
      </c>
      <c r="F6" s="336" t="s">
        <v>790</v>
      </c>
      <c r="G6" s="688">
        <f>'LSPD RV'!P15</f>
        <v>38.193232265976789</v>
      </c>
    </row>
    <row r="7" spans="2:7">
      <c r="B7" s="154" t="s">
        <v>363</v>
      </c>
      <c r="C7" s="623" t="s">
        <v>474</v>
      </c>
      <c r="F7" s="336" t="s">
        <v>791</v>
      </c>
      <c r="G7" s="320">
        <v>0.15</v>
      </c>
    </row>
    <row r="8" spans="2:7">
      <c r="B8" s="154" t="s">
        <v>777</v>
      </c>
      <c r="C8" s="623" t="s">
        <v>786</v>
      </c>
      <c r="F8" s="163"/>
      <c r="G8" s="163"/>
    </row>
    <row r="9" spans="2:7">
      <c r="B9" s="154" t="s">
        <v>778</v>
      </c>
      <c r="C9" s="623" t="s">
        <v>787</v>
      </c>
      <c r="F9" s="336" t="s">
        <v>788</v>
      </c>
      <c r="G9" s="688">
        <f>G4*G5+G6*G7</f>
        <v>23.21506418331834</v>
      </c>
    </row>
    <row r="10" spans="2:7">
      <c r="B10" s="154"/>
      <c r="C10" s="410"/>
      <c r="F10" s="689" t="s">
        <v>3</v>
      </c>
      <c r="G10" s="690">
        <f>C20</f>
        <v>13.15</v>
      </c>
    </row>
    <row r="11" spans="2:7">
      <c r="B11" s="154" t="s">
        <v>779</v>
      </c>
      <c r="C11" s="630">
        <v>18.96</v>
      </c>
      <c r="F11" s="336" t="s">
        <v>645</v>
      </c>
      <c r="G11" s="320">
        <f>(G9-G10)/G10</f>
        <v>0.76540412040443651</v>
      </c>
    </row>
    <row r="12" spans="2:7">
      <c r="B12" s="154" t="s">
        <v>780</v>
      </c>
      <c r="C12" s="630">
        <v>11.06</v>
      </c>
    </row>
    <row r="13" spans="2:7">
      <c r="B13" s="154" t="s">
        <v>781</v>
      </c>
      <c r="C13" s="624">
        <v>2870</v>
      </c>
    </row>
    <row r="14" spans="2:7">
      <c r="B14" s="154"/>
      <c r="C14" s="625"/>
    </row>
    <row r="15" spans="2:7">
      <c r="B15" s="154" t="s">
        <v>318</v>
      </c>
      <c r="C15" s="626">
        <v>152.97</v>
      </c>
    </row>
    <row r="16" spans="2:7">
      <c r="B16" s="154" t="s">
        <v>782</v>
      </c>
      <c r="C16" s="627">
        <v>0</v>
      </c>
    </row>
    <row r="17" spans="2:3">
      <c r="B17" s="154"/>
      <c r="C17" s="628"/>
    </row>
    <row r="18" spans="2:3">
      <c r="B18" s="154" t="s">
        <v>674</v>
      </c>
      <c r="C18" s="629">
        <f>'LSPD WACC'!C26</f>
        <v>16.27</v>
      </c>
    </row>
    <row r="19" spans="2:3">
      <c r="B19" s="154"/>
      <c r="C19" s="410"/>
    </row>
    <row r="20" spans="2:3">
      <c r="B20" s="154" t="s">
        <v>321</v>
      </c>
      <c r="C20" s="630">
        <v>13.15</v>
      </c>
    </row>
    <row r="21" spans="2:3">
      <c r="B21" s="154" t="s">
        <v>603</v>
      </c>
      <c r="C21" s="631">
        <v>45709</v>
      </c>
    </row>
    <row r="22" spans="2:3">
      <c r="B22" s="154"/>
      <c r="C22" s="632"/>
    </row>
    <row r="23" spans="2:3">
      <c r="B23" s="154" t="s">
        <v>783</v>
      </c>
      <c r="C23" s="631">
        <v>45747</v>
      </c>
    </row>
    <row r="24" spans="2:3">
      <c r="B24" s="154" t="s">
        <v>784</v>
      </c>
      <c r="C24" s="631">
        <v>45694</v>
      </c>
    </row>
    <row r="25" spans="2:3" ht="16" thickBot="1">
      <c r="B25" s="633" t="s">
        <v>785</v>
      </c>
      <c r="C25" s="634" t="s">
        <v>187</v>
      </c>
    </row>
  </sheetData>
  <mergeCells count="1">
    <mergeCell ref="F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5FDB2-EF18-1044-B24C-28BEA2F2559B}">
  <dimension ref="A1:T56"/>
  <sheetViews>
    <sheetView showGridLines="0" workbookViewId="0">
      <selection activeCell="G1" sqref="G1"/>
    </sheetView>
  </sheetViews>
  <sheetFormatPr baseColWidth="10" defaultColWidth="11.5" defaultRowHeight="15"/>
  <cols>
    <col min="2" max="2" width="20.6640625" customWidth="1"/>
  </cols>
  <sheetData>
    <row r="1" spans="1:20" ht="16" thickBot="1">
      <c r="A1" s="135"/>
      <c r="B1" s="135"/>
      <c r="C1" s="135"/>
      <c r="D1" s="135"/>
      <c r="E1" s="135"/>
      <c r="F1" s="135"/>
      <c r="G1" s="135"/>
      <c r="H1" s="135"/>
      <c r="I1" s="135"/>
      <c r="J1" s="135"/>
      <c r="K1" s="135"/>
      <c r="L1" s="135"/>
      <c r="M1" s="135"/>
      <c r="N1" s="135"/>
      <c r="O1" s="135"/>
      <c r="P1" s="135"/>
      <c r="Q1" s="135"/>
      <c r="R1" s="135"/>
      <c r="S1" s="135"/>
      <c r="T1" s="135"/>
    </row>
    <row r="2" spans="1:20" ht="16" thickBot="1">
      <c r="A2" s="673"/>
      <c r="B2" s="674" t="s">
        <v>715</v>
      </c>
      <c r="C2" s="675"/>
      <c r="D2" s="675"/>
      <c r="E2" s="675"/>
      <c r="F2" s="675"/>
      <c r="G2" s="675"/>
      <c r="H2" s="675"/>
      <c r="I2" s="675"/>
      <c r="J2" s="675"/>
      <c r="K2" s="675"/>
      <c r="L2" s="675"/>
      <c r="M2" s="675"/>
      <c r="N2" s="675"/>
      <c r="O2" s="675"/>
      <c r="P2" s="675"/>
      <c r="Q2" s="675"/>
      <c r="R2" s="675"/>
      <c r="S2" s="675"/>
      <c r="T2" s="675"/>
    </row>
    <row r="3" spans="1:20" ht="16" thickBot="1">
      <c r="A3" s="135"/>
      <c r="B3" s="135"/>
      <c r="C3" s="135"/>
      <c r="D3" s="135"/>
      <c r="E3" s="135"/>
      <c r="F3" s="135"/>
      <c r="G3" s="135"/>
      <c r="H3" s="135"/>
      <c r="I3" s="135"/>
      <c r="J3" s="135"/>
      <c r="K3" s="135"/>
      <c r="L3" s="135"/>
      <c r="M3" s="135"/>
      <c r="N3" s="135"/>
      <c r="O3" s="135"/>
      <c r="P3" s="135"/>
      <c r="Q3" s="135"/>
      <c r="R3" s="135"/>
      <c r="S3" s="135"/>
      <c r="T3" s="135"/>
    </row>
    <row r="4" spans="1:20" ht="16" thickBot="1">
      <c r="A4" s="135"/>
      <c r="B4" s="676" t="s">
        <v>716</v>
      </c>
      <c r="C4" s="677"/>
      <c r="D4" s="677"/>
      <c r="E4" s="677"/>
      <c r="F4" s="677"/>
      <c r="G4" s="677"/>
      <c r="H4" s="677"/>
      <c r="I4" s="677"/>
      <c r="J4" s="677"/>
      <c r="K4" s="677"/>
      <c r="L4" s="677"/>
      <c r="M4" s="677"/>
      <c r="N4" s="678"/>
      <c r="O4" s="677"/>
      <c r="P4" s="677"/>
      <c r="Q4" s="677"/>
      <c r="R4" s="679"/>
      <c r="S4" s="135"/>
      <c r="T4" s="135"/>
    </row>
    <row r="5" spans="1:20">
      <c r="A5" s="135"/>
      <c r="B5" s="465"/>
      <c r="C5" s="466" t="s">
        <v>175</v>
      </c>
      <c r="D5" s="466" t="s">
        <v>175</v>
      </c>
      <c r="E5" s="466" t="s">
        <v>175</v>
      </c>
      <c r="F5" s="466" t="s">
        <v>175</v>
      </c>
      <c r="G5" s="466" t="s">
        <v>175</v>
      </c>
      <c r="H5" s="812" t="s">
        <v>440</v>
      </c>
      <c r="I5" s="812"/>
      <c r="J5" s="812"/>
      <c r="K5" s="812"/>
      <c r="L5" s="813"/>
      <c r="M5" s="812" t="s">
        <v>440</v>
      </c>
      <c r="N5" s="812"/>
      <c r="O5" s="812"/>
      <c r="P5" s="812"/>
      <c r="Q5" s="812"/>
      <c r="R5" s="135"/>
      <c r="S5" s="135"/>
    </row>
    <row r="6" spans="1:20">
      <c r="A6" s="135"/>
      <c r="B6" s="467" t="s">
        <v>431</v>
      </c>
      <c r="C6" s="468" t="s">
        <v>441</v>
      </c>
      <c r="D6" s="468" t="s">
        <v>442</v>
      </c>
      <c r="E6" s="468" t="s">
        <v>443</v>
      </c>
      <c r="F6" s="468" t="s">
        <v>444</v>
      </c>
      <c r="G6" s="468" t="s">
        <v>445</v>
      </c>
      <c r="H6" s="469" t="s">
        <v>446</v>
      </c>
      <c r="I6" s="469" t="s">
        <v>447</v>
      </c>
      <c r="J6" s="469" t="s">
        <v>448</v>
      </c>
      <c r="K6" s="469" t="s">
        <v>449</v>
      </c>
      <c r="L6" s="509" t="s">
        <v>450</v>
      </c>
      <c r="M6" s="508" t="s">
        <v>451</v>
      </c>
      <c r="N6" s="469" t="s">
        <v>452</v>
      </c>
      <c r="O6" s="469" t="s">
        <v>453</v>
      </c>
      <c r="P6" s="469" t="s">
        <v>454</v>
      </c>
      <c r="Q6" s="510" t="s">
        <v>455</v>
      </c>
      <c r="R6" s="135"/>
      <c r="S6" s="135"/>
    </row>
    <row r="7" spans="1:20">
      <c r="A7" s="135"/>
      <c r="B7" s="470" t="s">
        <v>717</v>
      </c>
      <c r="C7" s="512" cm="1">
        <f t="array" ref="C7:G7">'LSPD DCF'!O14:S14</f>
        <v>120.64999999999999</v>
      </c>
      <c r="D7" s="512">
        <v>222.72107383673242</v>
      </c>
      <c r="E7" s="512">
        <v>549.57554679356667</v>
      </c>
      <c r="F7" s="512">
        <v>731.00761953143865</v>
      </c>
      <c r="G7" s="512">
        <v>909.27</v>
      </c>
      <c r="H7" s="512">
        <f>'LSPD DCF'!U14</f>
        <v>1089.3297890000001</v>
      </c>
      <c r="I7" s="512">
        <f>'LSPD DCF'!V14</f>
        <v>1293.2058477045</v>
      </c>
      <c r="J7" s="512">
        <f>'LSPD DCF'!W14</f>
        <v>1526.7163190199619</v>
      </c>
      <c r="K7" s="512">
        <f>'LSPD DCF'!X14</f>
        <v>1782.1474377297204</v>
      </c>
      <c r="L7" s="512">
        <f>'LSPD DCF'!Y14</f>
        <v>2057.3118255327909</v>
      </c>
      <c r="M7" s="512">
        <f>'LSPD DCF'!Z14</f>
        <v>2339.3051566666318</v>
      </c>
      <c r="N7" s="512">
        <f>'LSPD DCF'!AA14</f>
        <v>2630.0707063480168</v>
      </c>
      <c r="O7" s="512">
        <f>'LSPD DCF'!AB14</f>
        <v>2925.5229543105838</v>
      </c>
      <c r="P7" s="512">
        <f>'LSPD DCF'!AC14</f>
        <v>3203.2247692451574</v>
      </c>
      <c r="Q7" s="512">
        <f>'LSPD DCF'!AD14</f>
        <v>3455.0513760119197</v>
      </c>
      <c r="R7" s="135"/>
      <c r="S7" s="135"/>
    </row>
    <row r="8" spans="1:20">
      <c r="A8" s="135"/>
      <c r="B8" s="465" t="s">
        <v>432</v>
      </c>
      <c r="C8" s="513" cm="1">
        <f t="array" ref="C8:G8">'LSPD DCF'!O16:S16</f>
        <v>39.67</v>
      </c>
      <c r="D8" s="513">
        <v>94.06</v>
      </c>
      <c r="E8" s="514">
        <v>277.2</v>
      </c>
      <c r="F8" s="513">
        <v>398.55</v>
      </c>
      <c r="G8" s="513">
        <v>524.02</v>
      </c>
      <c r="H8" s="513" cm="1">
        <f t="array" ref="H8:Q8">'LSPD DCF'!U16:AD16</f>
        <v>620.37331483550008</v>
      </c>
      <c r="I8" s="513">
        <v>726.78168640992908</v>
      </c>
      <c r="J8" s="513">
        <v>604.36016693720001</v>
      </c>
      <c r="K8" s="513">
        <v>709.58204863545916</v>
      </c>
      <c r="L8" s="515">
        <v>829.31230449164332</v>
      </c>
      <c r="M8" s="513">
        <v>960.39925419254644</v>
      </c>
      <c r="N8" s="513">
        <v>1098.6045148345104</v>
      </c>
      <c r="O8" s="513">
        <v>1238.8960109706481</v>
      </c>
      <c r="P8" s="513">
        <v>1382.1021561858827</v>
      </c>
      <c r="Q8" s="515">
        <v>1524.1974591958142</v>
      </c>
      <c r="R8" s="135"/>
      <c r="S8" s="135"/>
    </row>
    <row r="9" spans="1:20">
      <c r="A9" s="135"/>
      <c r="B9" s="465" t="s">
        <v>195</v>
      </c>
      <c r="C9" s="513" cm="1">
        <f t="array" ref="C9:G9">'LSPD DCF'!O19:S19</f>
        <v>32.75</v>
      </c>
      <c r="D9" s="513">
        <v>55.3</v>
      </c>
      <c r="E9" s="514">
        <v>121.15</v>
      </c>
      <c r="F9" s="513">
        <v>140.44</v>
      </c>
      <c r="G9" s="513">
        <v>129.41999999999999</v>
      </c>
      <c r="H9" s="513" cm="1">
        <f t="array" ref="H9:Q9">'LSPD DCF'!U19:AD19</f>
        <v>163.39946835000001</v>
      </c>
      <c r="I9" s="513">
        <v>192.04106838411823</v>
      </c>
      <c r="J9" s="513">
        <v>220.1524932026785</v>
      </c>
      <c r="K9" s="513">
        <v>255.73815731421487</v>
      </c>
      <c r="L9" s="515">
        <v>288.02365557459075</v>
      </c>
      <c r="M9" s="513">
        <v>326.33306935499519</v>
      </c>
      <c r="N9" s="513">
        <v>364.26479282920036</v>
      </c>
      <c r="O9" s="513">
        <v>402.2594062177053</v>
      </c>
      <c r="P9" s="513">
        <v>432.4353438480963</v>
      </c>
      <c r="Q9" s="515">
        <v>466.43193576160917</v>
      </c>
      <c r="R9" s="135"/>
      <c r="S9" s="135"/>
    </row>
    <row r="10" spans="1:20">
      <c r="A10" s="135"/>
      <c r="B10" s="465" t="s">
        <v>198</v>
      </c>
      <c r="C10" s="513" cm="1">
        <f t="array" ref="C10:G10">'LSPD DCF'!O25:S25</f>
        <v>74.912000000000006</v>
      </c>
      <c r="D10" s="513">
        <v>118.245</v>
      </c>
      <c r="E10" s="514">
        <v>269.69399999999996</v>
      </c>
      <c r="F10" s="513">
        <v>345.62400000000002</v>
      </c>
      <c r="G10" s="513">
        <v>340.22899999999998</v>
      </c>
      <c r="H10" s="513" cm="1">
        <f t="array" ref="H10:Q10">'LSPD DCF'!U25:AD25</f>
        <v>433.11752410640008</v>
      </c>
      <c r="I10" s="513">
        <v>497.23764844238025</v>
      </c>
      <c r="J10" s="513">
        <v>564.12167987787598</v>
      </c>
      <c r="K10" s="513">
        <v>633.01876988159665</v>
      </c>
      <c r="L10" s="515">
        <v>711.41842926923914</v>
      </c>
      <c r="M10" s="513">
        <v>793.02444810998816</v>
      </c>
      <c r="N10" s="513">
        <v>853.98395835120107</v>
      </c>
      <c r="O10" s="513">
        <v>930.90140406162777</v>
      </c>
      <c r="P10" s="513">
        <v>1009.0158023122244</v>
      </c>
      <c r="Q10" s="515">
        <v>1071.0659265636953</v>
      </c>
      <c r="R10" s="135"/>
      <c r="S10" s="135"/>
    </row>
    <row r="11" spans="1:20">
      <c r="A11" s="135"/>
      <c r="B11" s="474" t="s">
        <v>209</v>
      </c>
      <c r="C11" s="516" cm="1">
        <f t="array" ref="C11:G11">'LSPD DCF'!O48:S48</f>
        <v>6.0679999999999836</v>
      </c>
      <c r="D11" s="516">
        <v>8.6560738367324088</v>
      </c>
      <c r="E11" s="517">
        <v>1.8785467935667244</v>
      </c>
      <c r="F11" s="516">
        <v>-41.849380468561385</v>
      </c>
      <c r="G11" s="516">
        <v>37.815000000000012</v>
      </c>
      <c r="H11" s="516" cm="1">
        <f t="array" ref="H11:Q11">'LSPD DCF'!U48:AD48</f>
        <v>-127.56051829190005</v>
      </c>
      <c r="I11" s="516">
        <v>-122.85455553192759</v>
      </c>
      <c r="J11" s="516">
        <v>138.08197900220739</v>
      </c>
      <c r="K11" s="516">
        <v>183.80846189844976</v>
      </c>
      <c r="L11" s="518">
        <v>228.55743619731766</v>
      </c>
      <c r="M11" s="516">
        <v>259.54838500910216</v>
      </c>
      <c r="N11" s="516">
        <v>313.21744033310495</v>
      </c>
      <c r="O11" s="516">
        <v>353.46613306060249</v>
      </c>
      <c r="P11" s="516">
        <v>379.67146689895389</v>
      </c>
      <c r="Q11" s="518">
        <v>393.35605449080117</v>
      </c>
      <c r="R11" s="135"/>
      <c r="S11" s="135"/>
    </row>
    <row r="12" spans="1:20">
      <c r="A12" s="135"/>
      <c r="B12" s="465" t="s">
        <v>208</v>
      </c>
      <c r="C12" s="513" cm="1">
        <f t="array" ref="C12:G12">'LSPD DCF'!O45:S45</f>
        <v>13.467000000000001</v>
      </c>
      <c r="D12" s="513">
        <v>36.483000000000004</v>
      </c>
      <c r="E12" s="514">
        <v>104.548</v>
      </c>
      <c r="F12" s="513">
        <v>115.26100000000001</v>
      </c>
      <c r="G12" s="513">
        <v>109.628</v>
      </c>
      <c r="H12" s="513" cm="1">
        <f t="array" ref="H12:Q12">'LSPD DCF'!U45:AD45</f>
        <v>123.52999807260002</v>
      </c>
      <c r="I12" s="513">
        <v>135.2693316698907</v>
      </c>
      <c r="J12" s="513">
        <v>148.70216947254431</v>
      </c>
      <c r="K12" s="513">
        <v>161.64077260208563</v>
      </c>
      <c r="L12" s="515">
        <v>172.19699979709458</v>
      </c>
      <c r="M12" s="513">
        <v>181.29614964166396</v>
      </c>
      <c r="N12" s="513">
        <v>188.83907671578763</v>
      </c>
      <c r="O12" s="513">
        <v>194.25472416622279</v>
      </c>
      <c r="P12" s="513">
        <v>197.95929073935071</v>
      </c>
      <c r="Q12" s="515">
        <v>199.01095925828656</v>
      </c>
      <c r="R12" s="135"/>
      <c r="S12" s="135"/>
    </row>
    <row r="13" spans="1:20">
      <c r="A13" s="135"/>
      <c r="B13" s="470" t="s">
        <v>305</v>
      </c>
      <c r="C13" s="513" cm="1">
        <f t="array" ref="C13:G13">'LSPD DCF'!O52:S52</f>
        <v>-7.3990000000000169</v>
      </c>
      <c r="D13" s="513">
        <v>-27.826926163267593</v>
      </c>
      <c r="E13" s="514">
        <v>-102.66945320643327</v>
      </c>
      <c r="F13" s="513">
        <v>-157.1103804685614</v>
      </c>
      <c r="G13" s="513">
        <v>-71.812999999999988</v>
      </c>
      <c r="H13" s="513" cm="1">
        <f t="array" ref="H13:Q13">'LSPD DCF'!U52:AD52</f>
        <v>-251.09051636450008</v>
      </c>
      <c r="I13" s="513">
        <v>-258.12388720181832</v>
      </c>
      <c r="J13" s="513">
        <v>-10.620190470336922</v>
      </c>
      <c r="K13" s="513">
        <v>22.167689296364131</v>
      </c>
      <c r="L13" s="515">
        <v>56.36043640022308</v>
      </c>
      <c r="M13" s="513">
        <v>78.252235367438203</v>
      </c>
      <c r="N13" s="513">
        <v>124.37836361731732</v>
      </c>
      <c r="O13" s="513">
        <v>159.2114088943797</v>
      </c>
      <c r="P13" s="513">
        <v>181.71217615960319</v>
      </c>
      <c r="Q13" s="515">
        <v>194.34509523251461</v>
      </c>
      <c r="R13" s="135"/>
      <c r="S13" s="135"/>
    </row>
    <row r="14" spans="1:20">
      <c r="A14" s="135"/>
      <c r="B14" s="475" t="s">
        <v>718</v>
      </c>
      <c r="C14" s="513" cm="1">
        <f t="array" ref="C14:G14">'LSPD DCF'!O54:S54</f>
        <v>5.8999999999999997E-2</v>
      </c>
      <c r="D14" s="513">
        <v>3.7999999999999999E-2</v>
      </c>
      <c r="E14" s="514">
        <v>1.077</v>
      </c>
      <c r="F14" s="513">
        <v>0.20100000000000001</v>
      </c>
      <c r="G14" s="513">
        <v>5.21</v>
      </c>
      <c r="H14" s="513" cm="1">
        <f t="array" ref="H14:Q14">'LSPD DCF'!U54:AD54</f>
        <v>19.107988295338455</v>
      </c>
      <c r="I14" s="513">
        <v>21.656594136232556</v>
      </c>
      <c r="J14" s="513">
        <v>0.91758445663711019</v>
      </c>
      <c r="K14" s="513">
        <v>2.0283435706173178</v>
      </c>
      <c r="L14" s="515">
        <v>5.636043640022308</v>
      </c>
      <c r="M14" s="513">
        <v>9.7815294209297754</v>
      </c>
      <c r="N14" s="513">
        <v>16.791079088337838</v>
      </c>
      <c r="O14" s="513">
        <v>23.085654289685056</v>
      </c>
      <c r="P14" s="513">
        <v>31.799630827930557</v>
      </c>
      <c r="Q14" s="515">
        <v>38.869019046502927</v>
      </c>
      <c r="R14" s="135"/>
      <c r="S14" s="135"/>
    </row>
    <row r="15" spans="1:20">
      <c r="A15" s="135"/>
      <c r="B15" s="476" t="s">
        <v>719</v>
      </c>
      <c r="C15" s="513" cm="1">
        <f t="array" ref="C15:G15">'LSPD DCF'!O57:S57</f>
        <v>3.61</v>
      </c>
      <c r="D15" s="513">
        <v>1.79</v>
      </c>
      <c r="E15" s="514">
        <v>10.65</v>
      </c>
      <c r="F15" s="513">
        <v>9.23</v>
      </c>
      <c r="G15" s="513">
        <v>7.51</v>
      </c>
      <c r="H15" s="513" cm="1">
        <f t="array" ref="H15:Q15">'LSPD DCF'!U57:AD57</f>
        <v>9.4771691643000011</v>
      </c>
      <c r="I15" s="513">
        <v>11.76817321411095</v>
      </c>
      <c r="J15" s="513">
        <v>14.656476662591633</v>
      </c>
      <c r="K15" s="513">
        <v>17.821474377297204</v>
      </c>
      <c r="L15" s="515">
        <v>21.601774168094305</v>
      </c>
      <c r="M15" s="513">
        <v>25.732356723332948</v>
      </c>
      <c r="N15" s="513">
        <v>30.508820193636993</v>
      </c>
      <c r="O15" s="513">
        <v>35.691380042589124</v>
      </c>
      <c r="P15" s="513">
        <v>41.001277046338018</v>
      </c>
      <c r="Q15" s="515">
        <v>47.679708988964492</v>
      </c>
      <c r="R15" s="135"/>
      <c r="S15" s="135"/>
    </row>
    <row r="16" spans="1:20">
      <c r="A16" s="135"/>
      <c r="B16" s="476" t="s">
        <v>720</v>
      </c>
      <c r="C16" s="513" cm="1">
        <f t="array" ref="C16:G16">'LSPD DCF'!O59:S59</f>
        <v>0</v>
      </c>
      <c r="D16" s="513">
        <v>-24.684999999999995</v>
      </c>
      <c r="E16" s="514">
        <v>-4.6510000000000105</v>
      </c>
      <c r="F16" s="513">
        <v>28.910000000000011</v>
      </c>
      <c r="G16" s="513">
        <v>8.7210000000000036</v>
      </c>
      <c r="H16" s="513" cm="1">
        <f t="array" ref="H16:Q16">'LSPD DCF'!U59:AD59</f>
        <v>76.991019292739722</v>
      </c>
      <c r="I16" s="513">
        <v>1.7064716719666393</v>
      </c>
      <c r="J16" s="513">
        <v>-5.3137469189564399</v>
      </c>
      <c r="K16" s="513">
        <v>1.0878006835782799</v>
      </c>
      <c r="L16" s="515">
        <v>-8.2269063720110438</v>
      </c>
      <c r="M16" s="513">
        <v>-2.2318505965868951</v>
      </c>
      <c r="N16" s="513">
        <v>-3.5027892601514452</v>
      </c>
      <c r="O16" s="513">
        <v>-4.7825021224601016</v>
      </c>
      <c r="P16" s="513">
        <v>-1.9212314592047335</v>
      </c>
      <c r="Q16" s="515">
        <v>0.91071539981402339</v>
      </c>
      <c r="R16" s="135"/>
      <c r="S16" s="135"/>
    </row>
    <row r="17" spans="1:20">
      <c r="A17" s="135"/>
      <c r="B17" s="476" t="s">
        <v>721</v>
      </c>
      <c r="C17" s="513" cm="1">
        <f t="array" ref="C17:G17">'LSPD DCF'!O50:S50</f>
        <v>13.467000000000001</v>
      </c>
      <c r="D17" s="513">
        <v>36.483000000000004</v>
      </c>
      <c r="E17" s="514">
        <v>104.548</v>
      </c>
      <c r="F17" s="513">
        <v>115.26100000000001</v>
      </c>
      <c r="G17" s="513">
        <v>109.628</v>
      </c>
      <c r="H17" s="513" cm="1">
        <f t="array" ref="H17:Q17">'LSPD DCF'!U50:AD50</f>
        <v>123.52999807260002</v>
      </c>
      <c r="I17" s="513">
        <v>135.2693316698907</v>
      </c>
      <c r="J17" s="513">
        <v>148.70216947254431</v>
      </c>
      <c r="K17" s="513">
        <v>161.64077260208563</v>
      </c>
      <c r="L17" s="515">
        <v>172.19699979709458</v>
      </c>
      <c r="M17" s="513">
        <v>181.29614964166396</v>
      </c>
      <c r="N17" s="513">
        <v>188.83907671578763</v>
      </c>
      <c r="O17" s="513">
        <v>194.25472416622279</v>
      </c>
      <c r="P17" s="513">
        <v>197.95929073935071</v>
      </c>
      <c r="Q17" s="515">
        <v>199.01095925828656</v>
      </c>
      <c r="R17" s="135"/>
      <c r="S17" s="135"/>
    </row>
    <row r="18" spans="1:20" ht="16" thickBot="1">
      <c r="A18" s="135"/>
      <c r="B18" s="477" t="s">
        <v>322</v>
      </c>
      <c r="C18" s="520">
        <f>C13-C14-C15-C16+C17</f>
        <v>2.3989999999999831</v>
      </c>
      <c r="D18" s="520">
        <f t="shared" ref="D18:G18" si="0">D13-D14-D15-D16+D17</f>
        <v>31.513073836732406</v>
      </c>
      <c r="E18" s="520">
        <f t="shared" si="0"/>
        <v>-5.1974532064332664</v>
      </c>
      <c r="F18" s="520">
        <f t="shared" si="0"/>
        <v>-80.190380468561401</v>
      </c>
      <c r="G18" s="520">
        <f t="shared" si="0"/>
        <v>16.374000000000009</v>
      </c>
      <c r="H18" s="520">
        <f>H13-H14-H15-H16+H17</f>
        <v>-233.13669504427824</v>
      </c>
      <c r="I18" s="520">
        <f t="shared" ref="I18:Q18" si="1">I13-I14-I15-I16+I17</f>
        <v>-157.9857945542378</v>
      </c>
      <c r="J18" s="520">
        <f t="shared" si="1"/>
        <v>127.82166480193509</v>
      </c>
      <c r="K18" s="520">
        <f t="shared" si="1"/>
        <v>162.87084326695697</v>
      </c>
      <c r="L18" s="520">
        <f t="shared" si="1"/>
        <v>209.54652476121208</v>
      </c>
      <c r="M18" s="520">
        <f t="shared" si="1"/>
        <v>226.26634946142633</v>
      </c>
      <c r="N18" s="520">
        <f t="shared" si="1"/>
        <v>269.42033031128153</v>
      </c>
      <c r="O18" s="520">
        <f t="shared" si="1"/>
        <v>299.47160085078838</v>
      </c>
      <c r="P18" s="520">
        <f t="shared" si="1"/>
        <v>308.79179048389005</v>
      </c>
      <c r="Q18" s="521">
        <f t="shared" si="1"/>
        <v>305.89661105551971</v>
      </c>
      <c r="R18" s="135"/>
      <c r="S18" s="135"/>
    </row>
    <row r="19" spans="1:20" ht="16" thickBot="1">
      <c r="A19" s="135"/>
      <c r="B19" s="478"/>
      <c r="C19" s="386"/>
      <c r="D19" s="386"/>
      <c r="E19" s="386"/>
      <c r="F19" s="386"/>
      <c r="G19" s="386"/>
      <c r="H19" s="386"/>
      <c r="I19" s="386"/>
      <c r="J19" s="386"/>
      <c r="K19" s="386"/>
      <c r="L19" s="386"/>
      <c r="M19" s="386"/>
      <c r="N19" s="478"/>
      <c r="O19" s="386"/>
      <c r="P19" s="386"/>
      <c r="Q19" s="386"/>
      <c r="R19" s="511"/>
      <c r="S19" s="135"/>
      <c r="T19" s="135"/>
    </row>
    <row r="20" spans="1:20" ht="16" thickBot="1">
      <c r="A20" s="135"/>
      <c r="B20" s="676" t="s">
        <v>722</v>
      </c>
      <c r="C20" s="677"/>
      <c r="D20" s="677"/>
      <c r="E20" s="677"/>
      <c r="F20" s="677"/>
      <c r="G20" s="677"/>
      <c r="H20" s="677"/>
      <c r="I20" s="677"/>
      <c r="J20" s="677"/>
      <c r="K20" s="677"/>
      <c r="L20" s="677"/>
      <c r="M20" s="677"/>
      <c r="N20" s="678"/>
      <c r="O20" s="677"/>
      <c r="P20" s="677"/>
      <c r="Q20" s="677"/>
      <c r="R20" s="680"/>
      <c r="S20" s="135"/>
      <c r="T20" s="135"/>
    </row>
    <row r="21" spans="1:20">
      <c r="A21" s="135"/>
      <c r="B21" s="479" t="s">
        <v>723</v>
      </c>
      <c r="C21" s="386"/>
      <c r="D21" s="386"/>
      <c r="E21" s="386"/>
      <c r="F21" s="386"/>
      <c r="G21" s="386"/>
      <c r="H21" s="386"/>
      <c r="I21" s="471"/>
      <c r="J21" s="471"/>
      <c r="K21" s="471"/>
      <c r="L21" s="471"/>
      <c r="M21" s="471"/>
      <c r="N21" s="472"/>
      <c r="O21" s="471"/>
      <c r="P21" s="471"/>
      <c r="Q21" s="471"/>
      <c r="R21" s="473"/>
      <c r="S21" s="135"/>
      <c r="T21" s="135"/>
    </row>
    <row r="22" spans="1:20" ht="16" thickBot="1">
      <c r="A22" s="135"/>
      <c r="B22" s="480" t="s">
        <v>638</v>
      </c>
      <c r="C22" s="481"/>
      <c r="D22" s="481"/>
      <c r="E22" s="481"/>
      <c r="F22" s="481"/>
      <c r="G22" s="481"/>
      <c r="H22" s="481"/>
      <c r="I22" s="519" cm="1">
        <f t="array" ref="I22:R22">'LSPD DCF'!U65:AD65</f>
        <v>-211.75508586438465</v>
      </c>
      <c r="J22" s="519">
        <v>-130.33602365888981</v>
      </c>
      <c r="K22" s="519">
        <v>95.779841161984606</v>
      </c>
      <c r="L22" s="519">
        <v>110.85012878911569</v>
      </c>
      <c r="M22" s="519">
        <v>129.53780508046248</v>
      </c>
      <c r="N22" s="522">
        <v>127.04549090774614</v>
      </c>
      <c r="O22" s="519">
        <v>137.40193984030765</v>
      </c>
      <c r="P22" s="519">
        <v>138.72072768702276</v>
      </c>
      <c r="Q22" s="519">
        <v>129.91959980265909</v>
      </c>
      <c r="R22" s="523">
        <v>116.89792661618927</v>
      </c>
      <c r="S22" s="135"/>
      <c r="T22" s="135"/>
    </row>
    <row r="23" spans="1:20" ht="16" thickBot="1">
      <c r="A23" s="135"/>
      <c r="B23" s="482"/>
      <c r="C23" s="482"/>
      <c r="D23" s="482"/>
      <c r="E23" s="482"/>
      <c r="F23" s="482"/>
      <c r="G23" s="482"/>
      <c r="H23" s="482"/>
      <c r="I23" s="482"/>
      <c r="J23" s="482"/>
      <c r="K23" s="482"/>
      <c r="L23" s="482"/>
      <c r="M23" s="482"/>
      <c r="N23" s="135"/>
      <c r="O23" s="135"/>
      <c r="P23" s="135"/>
      <c r="Q23" s="135"/>
      <c r="R23" s="135"/>
      <c r="S23" s="135"/>
      <c r="T23" s="135"/>
    </row>
    <row r="24" spans="1:20">
      <c r="A24" s="135"/>
      <c r="B24" s="682" t="s">
        <v>724</v>
      </c>
      <c r="C24" s="683"/>
      <c r="D24" s="681"/>
      <c r="E24" s="386"/>
      <c r="F24" s="684" t="s">
        <v>725</v>
      </c>
      <c r="G24" s="685"/>
      <c r="H24" s="681"/>
      <c r="I24" s="494"/>
      <c r="J24" s="135"/>
      <c r="N24" s="135"/>
      <c r="O24" s="135"/>
      <c r="P24" s="135"/>
      <c r="Q24" s="135"/>
      <c r="R24" s="135"/>
      <c r="S24" s="135"/>
      <c r="T24" s="135"/>
    </row>
    <row r="25" spans="1:20">
      <c r="A25" s="135"/>
      <c r="B25" s="483" t="s">
        <v>726</v>
      </c>
      <c r="C25" s="386"/>
      <c r="D25" s="484">
        <v>0.03</v>
      </c>
      <c r="E25" s="386"/>
      <c r="F25" s="485" t="s">
        <v>435</v>
      </c>
      <c r="G25" s="482"/>
      <c r="H25" s="486">
        <f>'LSPD WACC'!F29</f>
        <v>3.1099999999999999E-2</v>
      </c>
      <c r="I25" s="497"/>
      <c r="J25" s="135"/>
      <c r="N25" s="135"/>
      <c r="O25" s="135"/>
      <c r="P25" s="135"/>
      <c r="Q25" s="135"/>
      <c r="R25" s="135"/>
      <c r="S25" s="135"/>
      <c r="T25" s="135"/>
    </row>
    <row r="26" spans="1:20">
      <c r="A26" s="135"/>
      <c r="B26" s="483" t="s">
        <v>310</v>
      </c>
      <c r="C26" s="386"/>
      <c r="D26" s="553">
        <f>'LSPD DCF'!V73</f>
        <v>4852.0793522857539</v>
      </c>
      <c r="E26" s="386"/>
      <c r="F26" s="465" t="s">
        <v>436</v>
      </c>
      <c r="G26" s="386"/>
      <c r="H26" s="486" t="str">
        <f>'LSPD WACC'!F24</f>
        <v>B1/B+</v>
      </c>
      <c r="I26" s="498"/>
      <c r="J26" s="135"/>
      <c r="N26" s="135"/>
      <c r="O26" s="135"/>
      <c r="P26" s="135"/>
      <c r="Q26" s="135"/>
      <c r="R26" s="135"/>
      <c r="S26" s="135"/>
      <c r="T26" s="135"/>
    </row>
    <row r="27" spans="1:20">
      <c r="A27" s="135"/>
      <c r="B27" s="483" t="s">
        <v>727</v>
      </c>
      <c r="C27" s="386"/>
      <c r="D27" s="553">
        <f>'LSPD DCF'!V74</f>
        <v>1854.2147757121825</v>
      </c>
      <c r="E27" s="386"/>
      <c r="F27" s="485" t="s">
        <v>677</v>
      </c>
      <c r="G27" s="482"/>
      <c r="H27" s="524">
        <f>'LSPD WACC'!L13</f>
        <v>1.7810090045684162</v>
      </c>
      <c r="I27" s="499"/>
      <c r="J27" s="135"/>
      <c r="N27" s="135"/>
      <c r="O27" s="135"/>
      <c r="P27" s="135"/>
      <c r="Q27" s="135"/>
      <c r="R27" s="135"/>
      <c r="S27" s="135"/>
      <c r="T27" s="135"/>
    </row>
    <row r="28" spans="1:20">
      <c r="A28" s="135"/>
      <c r="B28" s="487" t="s">
        <v>729</v>
      </c>
      <c r="C28" s="386"/>
      <c r="D28" s="486">
        <f>'LSPD DCF'!V75</f>
        <v>0.74219739530087914</v>
      </c>
      <c r="E28" s="386"/>
      <c r="F28" s="485" t="s">
        <v>728</v>
      </c>
      <c r="G28" s="482"/>
      <c r="H28" s="486">
        <v>3.95E-2</v>
      </c>
      <c r="I28" s="499"/>
      <c r="J28" s="135"/>
      <c r="N28" s="135"/>
      <c r="O28" s="135"/>
      <c r="P28" s="135"/>
      <c r="Q28" s="135"/>
      <c r="R28" s="135"/>
      <c r="S28" s="135"/>
      <c r="T28" s="135"/>
    </row>
    <row r="29" spans="1:20">
      <c r="A29" s="135"/>
      <c r="B29" s="483" t="s">
        <v>638</v>
      </c>
      <c r="C29" s="386"/>
      <c r="D29" s="553">
        <f>'LSPD DCF'!V76</f>
        <v>644.06235036221312</v>
      </c>
      <c r="E29" s="386"/>
      <c r="F29" s="485" t="s">
        <v>316</v>
      </c>
      <c r="G29" s="482"/>
      <c r="H29" s="525">
        <f>'LSPD WACC'!F39</f>
        <v>2011.95</v>
      </c>
      <c r="I29" s="499"/>
      <c r="J29" s="135"/>
      <c r="N29" s="135"/>
      <c r="O29" s="135"/>
      <c r="P29" s="135"/>
      <c r="Q29" s="135"/>
      <c r="R29" s="135"/>
      <c r="S29" s="135"/>
      <c r="T29" s="135"/>
    </row>
    <row r="30" spans="1:20">
      <c r="A30" s="135"/>
      <c r="B30" s="487" t="s">
        <v>730</v>
      </c>
      <c r="C30" s="386"/>
      <c r="D30" s="486">
        <f>'LSPD DCF'!V77</f>
        <v>0.25780260469912086</v>
      </c>
      <c r="E30" s="386"/>
      <c r="F30" s="485" t="s">
        <v>381</v>
      </c>
      <c r="G30" s="482"/>
      <c r="H30" s="486">
        <f>'LSPD WACC'!F42</f>
        <v>0.99197818777055746</v>
      </c>
      <c r="I30" s="499"/>
      <c r="J30" s="135"/>
      <c r="N30" s="135"/>
      <c r="O30" s="135"/>
      <c r="P30" s="135"/>
      <c r="Q30" s="135"/>
      <c r="R30" s="135"/>
      <c r="S30" s="135"/>
      <c r="T30" s="135"/>
    </row>
    <row r="31" spans="1:20" ht="16" thickBot="1">
      <c r="A31" s="135"/>
      <c r="B31" s="480" t="s">
        <v>312</v>
      </c>
      <c r="C31" s="488"/>
      <c r="D31" s="523">
        <f>'LSPD DCF'!V78</f>
        <v>2498.2771260743957</v>
      </c>
      <c r="E31" s="386"/>
      <c r="F31" s="477" t="s">
        <v>680</v>
      </c>
      <c r="G31" s="481"/>
      <c r="H31" s="489">
        <f>'LSPD WACC'!F33</f>
        <v>0.10144985568045244</v>
      </c>
      <c r="I31" s="499"/>
      <c r="J31" s="135"/>
      <c r="N31" s="135"/>
      <c r="O31" s="135"/>
      <c r="P31" s="135"/>
      <c r="Q31" s="135"/>
      <c r="R31" s="135"/>
      <c r="S31" s="135"/>
      <c r="T31" s="135"/>
    </row>
    <row r="32" spans="1:20">
      <c r="A32" s="135"/>
      <c r="B32" s="485" t="s">
        <v>732</v>
      </c>
      <c r="C32" s="386"/>
      <c r="D32" s="553">
        <f>'LSPD DCF'!V84</f>
        <v>-648.6</v>
      </c>
      <c r="E32" s="386"/>
      <c r="F32" s="485" t="s">
        <v>731</v>
      </c>
      <c r="G32" s="482"/>
      <c r="H32" s="486">
        <f>'LSPD WACC'!F53</f>
        <v>4.9399999999999999E-2</v>
      </c>
      <c r="I32" s="502"/>
      <c r="J32" s="135"/>
      <c r="N32" s="135"/>
      <c r="O32" s="135"/>
      <c r="P32" s="135"/>
      <c r="Q32" s="135"/>
      <c r="R32" s="135"/>
      <c r="S32" s="135"/>
      <c r="T32" s="135"/>
    </row>
    <row r="33" spans="1:20" ht="16" thickBot="1">
      <c r="A33" s="135"/>
      <c r="B33" s="480" t="s">
        <v>316</v>
      </c>
      <c r="C33" s="488"/>
      <c r="D33" s="523">
        <f>'LSPD DCF'!V85</f>
        <v>3146.8771260743956</v>
      </c>
      <c r="E33" s="386"/>
      <c r="F33" s="485" t="s">
        <v>621</v>
      </c>
      <c r="G33" s="482"/>
      <c r="H33" s="473">
        <v>-648.6</v>
      </c>
      <c r="I33" s="499"/>
      <c r="J33" s="135"/>
      <c r="N33" s="135"/>
      <c r="O33" s="135"/>
      <c r="P33" s="135"/>
      <c r="Q33" s="135"/>
      <c r="R33" s="135"/>
      <c r="S33" s="135"/>
      <c r="T33" s="135"/>
    </row>
    <row r="34" spans="1:20">
      <c r="A34" s="135"/>
      <c r="B34" s="483" t="s">
        <v>682</v>
      </c>
      <c r="C34" s="386"/>
      <c r="D34" s="672">
        <f>'LSPD DCF'!V87</f>
        <v>152.97</v>
      </c>
      <c r="E34" s="386"/>
      <c r="F34" s="485" t="s">
        <v>381</v>
      </c>
      <c r="G34" s="482"/>
      <c r="H34" s="486">
        <f>'LSPD WACC'!F41</f>
        <v>8.0218122294425653E-3</v>
      </c>
      <c r="I34" s="502"/>
      <c r="J34" s="135"/>
      <c r="N34" s="135"/>
      <c r="O34" s="135"/>
      <c r="P34" s="135"/>
      <c r="Q34" s="135"/>
      <c r="R34" s="135"/>
      <c r="S34" s="135"/>
      <c r="T34" s="135"/>
    </row>
    <row r="35" spans="1:20" ht="16" thickBot="1">
      <c r="A35" s="135"/>
      <c r="B35" s="483" t="s">
        <v>5</v>
      </c>
      <c r="C35" s="386"/>
      <c r="D35" s="551">
        <f>'LSPD DCF'!V88</f>
        <v>20.571858051084497</v>
      </c>
      <c r="E35" s="386"/>
      <c r="F35" s="477" t="s">
        <v>438</v>
      </c>
      <c r="G35" s="481"/>
      <c r="H35" s="489">
        <f>'LSPD WACC'!F27</f>
        <v>4.2042000000000003E-2</v>
      </c>
      <c r="I35" s="499"/>
      <c r="J35" s="135"/>
      <c r="N35" s="135"/>
      <c r="O35" s="135"/>
      <c r="P35" s="135"/>
      <c r="Q35" s="135"/>
      <c r="R35" s="135"/>
      <c r="S35" s="135"/>
      <c r="T35" s="135"/>
    </row>
    <row r="36" spans="1:20" ht="16" thickBot="1">
      <c r="A36" s="135"/>
      <c r="B36" s="483" t="s">
        <v>3</v>
      </c>
      <c r="C36" s="386"/>
      <c r="D36" s="551">
        <f>'LSPD DCF'!V89</f>
        <v>13.15</v>
      </c>
      <c r="E36" s="386"/>
      <c r="F36" s="528" t="s">
        <v>290</v>
      </c>
      <c r="G36" s="529"/>
      <c r="H36" s="530">
        <f>'LSPD WACC'!F44</f>
        <v>0.10097329701723003</v>
      </c>
      <c r="I36" s="503"/>
      <c r="J36" s="135"/>
      <c r="N36" s="135"/>
      <c r="O36" s="135"/>
      <c r="P36" s="135"/>
      <c r="Q36" s="135"/>
      <c r="R36" s="135"/>
      <c r="S36" s="135"/>
      <c r="T36" s="135"/>
    </row>
    <row r="37" spans="1:20" ht="16" thickBot="1">
      <c r="A37" s="135"/>
      <c r="B37" s="490" t="s">
        <v>733</v>
      </c>
      <c r="C37" s="491"/>
      <c r="D37" s="552">
        <f>'LSPD DCF'!V90</f>
        <v>0.56439985179349783</v>
      </c>
      <c r="E37" s="386"/>
      <c r="F37" s="495"/>
      <c r="G37" s="496"/>
      <c r="H37" s="526"/>
      <c r="I37" s="503"/>
      <c r="J37" s="135"/>
      <c r="N37" s="135"/>
      <c r="O37" s="135"/>
      <c r="P37" s="135"/>
      <c r="Q37" s="135"/>
      <c r="R37" s="135"/>
      <c r="S37" s="135"/>
      <c r="T37" s="135"/>
    </row>
    <row r="38" spans="1:20">
      <c r="A38" s="135"/>
      <c r="B38" s="135"/>
      <c r="C38" s="135"/>
      <c r="D38" s="135"/>
      <c r="E38" s="386"/>
      <c r="F38" s="501"/>
      <c r="G38" s="527"/>
      <c r="H38" s="502"/>
      <c r="I38" s="506"/>
      <c r="J38" s="135"/>
      <c r="N38" s="135"/>
      <c r="O38" s="135"/>
      <c r="P38" s="135"/>
      <c r="Q38" s="135"/>
      <c r="R38" s="135"/>
      <c r="S38" s="135"/>
      <c r="T38" s="135"/>
    </row>
    <row r="39" spans="1:20" ht="16" thickBot="1">
      <c r="A39" s="135"/>
      <c r="B39" s="494"/>
      <c r="C39" s="531"/>
      <c r="D39" s="494"/>
      <c r="E39" s="135"/>
      <c r="F39" s="507"/>
      <c r="G39" s="507"/>
      <c r="H39" s="507"/>
      <c r="I39" s="507"/>
      <c r="J39" s="135"/>
      <c r="K39" s="135"/>
      <c r="L39" s="135"/>
      <c r="M39" s="135"/>
      <c r="N39" s="135"/>
      <c r="O39" s="135"/>
      <c r="P39" s="135"/>
      <c r="Q39" s="135"/>
      <c r="R39" s="135"/>
      <c r="S39" s="135"/>
      <c r="T39" s="135"/>
    </row>
    <row r="40" spans="1:20">
      <c r="A40" s="135"/>
      <c r="B40" s="682" t="s">
        <v>737</v>
      </c>
      <c r="C40" s="685"/>
      <c r="D40" s="686"/>
      <c r="E40" s="386"/>
      <c r="F40" s="493"/>
      <c r="G40" s="494"/>
      <c r="H40" s="494"/>
      <c r="I40" s="494"/>
      <c r="J40" s="135"/>
      <c r="K40" s="135"/>
      <c r="L40" s="135"/>
      <c r="M40" s="135"/>
      <c r="N40" s="135"/>
      <c r="O40" s="135"/>
      <c r="P40" s="135"/>
      <c r="Q40" s="135"/>
      <c r="R40" s="135"/>
      <c r="S40" s="135"/>
      <c r="T40" s="135"/>
    </row>
    <row r="41" spans="1:20">
      <c r="A41" s="135"/>
      <c r="B41" s="483" t="s">
        <v>726</v>
      </c>
      <c r="C41" s="386"/>
      <c r="D41" s="484">
        <v>0.02</v>
      </c>
      <c r="E41" s="386"/>
      <c r="F41" s="495"/>
      <c r="G41" s="496"/>
      <c r="H41" s="496"/>
      <c r="I41" s="497"/>
      <c r="J41" s="135"/>
      <c r="K41" s="135"/>
      <c r="L41" s="135"/>
      <c r="M41" s="135"/>
      <c r="N41" s="135"/>
      <c r="O41" s="135"/>
      <c r="P41" s="135"/>
      <c r="Q41" s="135"/>
      <c r="R41" s="135"/>
      <c r="S41" s="135"/>
      <c r="T41" s="135"/>
    </row>
    <row r="42" spans="1:20">
      <c r="A42" s="135"/>
      <c r="B42" s="483" t="s">
        <v>310</v>
      </c>
      <c r="C42" s="386"/>
      <c r="D42" s="553">
        <f>'DCF Assumptions (Bull)'!E42</f>
        <v>2313.5435982462604</v>
      </c>
      <c r="E42" s="386"/>
      <c r="F42" s="495"/>
      <c r="G42" s="496"/>
      <c r="H42" s="496"/>
      <c r="I42" s="498"/>
      <c r="J42" s="135"/>
      <c r="K42" s="135"/>
      <c r="L42" s="135"/>
      <c r="M42" s="135"/>
      <c r="N42" s="135"/>
      <c r="O42" s="135"/>
      <c r="P42" s="135"/>
      <c r="Q42" s="135"/>
      <c r="R42" s="135"/>
      <c r="S42" s="135"/>
      <c r="T42" s="135"/>
    </row>
    <row r="43" spans="1:20">
      <c r="A43" s="135"/>
      <c r="B43" s="483" t="s">
        <v>727</v>
      </c>
      <c r="C43" s="386"/>
      <c r="D43" s="553">
        <f>'DCF Assumptions (Bull)'!E43</f>
        <v>934.40064685687287</v>
      </c>
      <c r="E43" s="386"/>
      <c r="F43" s="495"/>
      <c r="G43" s="496"/>
      <c r="H43" s="496"/>
      <c r="I43" s="499"/>
      <c r="J43" s="135"/>
      <c r="K43" s="135"/>
      <c r="L43" s="135"/>
      <c r="M43" s="135"/>
      <c r="N43" s="135"/>
      <c r="O43" s="135"/>
      <c r="P43" s="135"/>
      <c r="Q43" s="135"/>
      <c r="R43" s="135"/>
      <c r="S43" s="135"/>
      <c r="T43" s="135"/>
    </row>
    <row r="44" spans="1:20">
      <c r="A44" s="135"/>
      <c r="B44" s="487" t="s">
        <v>729</v>
      </c>
      <c r="C44" s="386"/>
      <c r="D44" s="486">
        <f>'LSPD DCF'!V91</f>
        <v>0</v>
      </c>
      <c r="E44" s="386"/>
      <c r="F44" s="495"/>
      <c r="G44" s="496"/>
      <c r="H44" s="496"/>
      <c r="I44" s="499"/>
      <c r="J44" s="135"/>
      <c r="K44" s="135"/>
      <c r="L44" s="135"/>
      <c r="M44" s="135"/>
      <c r="N44" s="135"/>
      <c r="O44" s="135"/>
      <c r="P44" s="135"/>
      <c r="Q44" s="135"/>
      <c r="R44" s="135"/>
      <c r="S44" s="135"/>
      <c r="T44" s="135"/>
    </row>
    <row r="45" spans="1:20">
      <c r="A45" s="135"/>
      <c r="B45" s="483" t="s">
        <v>638</v>
      </c>
      <c r="C45" s="386"/>
      <c r="D45" s="553">
        <f>'DCF Assumptions (Bull)'!E41</f>
        <v>457.55810164366841</v>
      </c>
      <c r="E45" s="386"/>
      <c r="F45" s="500"/>
      <c r="G45" s="496"/>
      <c r="H45" s="496"/>
      <c r="I45" s="499"/>
      <c r="J45" s="135"/>
      <c r="K45" s="135"/>
      <c r="L45" s="135"/>
      <c r="M45" s="135"/>
      <c r="N45" s="135"/>
      <c r="O45" s="135"/>
      <c r="P45" s="135"/>
      <c r="Q45" s="135"/>
      <c r="R45" s="135"/>
      <c r="S45" s="135"/>
      <c r="T45" s="135"/>
    </row>
    <row r="46" spans="1:20">
      <c r="A46" s="135"/>
      <c r="B46" s="487" t="s">
        <v>730</v>
      </c>
      <c r="C46" s="386"/>
      <c r="D46" s="486">
        <f>'LSPD DCF'!V93</f>
        <v>0</v>
      </c>
      <c r="E46" s="386"/>
      <c r="F46" s="495"/>
      <c r="G46" s="496"/>
      <c r="H46" s="496"/>
      <c r="I46" s="499"/>
      <c r="J46" s="135"/>
      <c r="K46" s="135"/>
      <c r="L46" s="135"/>
      <c r="M46" s="135"/>
      <c r="N46" s="135"/>
      <c r="O46" s="135"/>
      <c r="P46" s="135"/>
      <c r="Q46" s="135"/>
      <c r="R46" s="135"/>
      <c r="S46" s="135"/>
      <c r="T46" s="135"/>
    </row>
    <row r="47" spans="1:20" ht="16" thickBot="1">
      <c r="A47" s="135"/>
      <c r="B47" s="480" t="s">
        <v>312</v>
      </c>
      <c r="C47" s="488"/>
      <c r="D47" s="523">
        <f>'DCF Assumptions (Bull)'!E44</f>
        <v>1391.9587485005413</v>
      </c>
      <c r="E47" s="386"/>
      <c r="F47" s="500"/>
      <c r="G47" s="496"/>
      <c r="H47" s="496"/>
      <c r="I47" s="499"/>
      <c r="J47" s="135"/>
      <c r="K47" s="135"/>
      <c r="L47" s="135"/>
      <c r="M47" s="135"/>
      <c r="N47" s="135"/>
      <c r="O47" s="135"/>
      <c r="P47" s="135"/>
      <c r="Q47" s="135"/>
      <c r="R47" s="135"/>
      <c r="S47" s="135"/>
      <c r="T47" s="135"/>
    </row>
    <row r="48" spans="1:20">
      <c r="A48" s="135"/>
      <c r="B48" s="485" t="s">
        <v>732</v>
      </c>
      <c r="C48" s="386"/>
      <c r="D48" s="553">
        <f>'DCF Assumptions (Bull)'!E46</f>
        <v>19.16</v>
      </c>
      <c r="E48" s="386"/>
      <c r="F48" s="501"/>
      <c r="G48" s="496"/>
      <c r="H48" s="496"/>
      <c r="I48" s="502"/>
      <c r="J48" s="135"/>
      <c r="K48" s="135"/>
      <c r="L48" s="135"/>
      <c r="M48" s="135"/>
      <c r="N48" s="135"/>
      <c r="O48" s="135"/>
      <c r="P48" s="135"/>
      <c r="Q48" s="135"/>
      <c r="R48" s="135"/>
      <c r="S48" s="135"/>
      <c r="T48" s="135"/>
    </row>
    <row r="49" spans="1:20" ht="16" thickBot="1">
      <c r="A49" s="135"/>
      <c r="B49" s="480" t="s">
        <v>316</v>
      </c>
      <c r="C49" s="488"/>
      <c r="D49" s="523">
        <f>'DCF Assumptions (Bull)'!E47</f>
        <v>1934.3687485005414</v>
      </c>
      <c r="E49" s="386"/>
      <c r="F49" s="495"/>
      <c r="G49" s="496"/>
      <c r="H49" s="496"/>
      <c r="I49" s="499"/>
      <c r="J49" s="135"/>
      <c r="K49" s="135"/>
      <c r="L49" s="135"/>
      <c r="M49" s="135"/>
      <c r="N49" s="135"/>
      <c r="O49" s="135"/>
      <c r="P49" s="135"/>
      <c r="Q49" s="135"/>
      <c r="R49" s="135"/>
      <c r="S49" s="135"/>
      <c r="T49" s="135"/>
    </row>
    <row r="50" spans="1:20">
      <c r="A50" s="135"/>
      <c r="B50" s="483" t="s">
        <v>682</v>
      </c>
      <c r="C50" s="386"/>
      <c r="D50" s="672">
        <f>'DCF Assumptions (Bull)'!E48</f>
        <v>146.06</v>
      </c>
      <c r="E50" s="386"/>
      <c r="F50" s="501"/>
      <c r="G50" s="496"/>
      <c r="H50" s="496"/>
      <c r="I50" s="502"/>
      <c r="J50" s="135"/>
      <c r="K50" s="135"/>
      <c r="L50" s="135"/>
      <c r="M50" s="135"/>
      <c r="N50" s="135"/>
      <c r="O50" s="135"/>
      <c r="P50" s="135"/>
      <c r="Q50" s="135"/>
      <c r="R50" s="135"/>
      <c r="S50" s="135"/>
      <c r="T50" s="135"/>
    </row>
    <row r="51" spans="1:20">
      <c r="A51" s="135"/>
      <c r="B51" s="483" t="s">
        <v>5</v>
      </c>
      <c r="C51" s="386"/>
      <c r="D51" s="551">
        <f>'DCF Assumptions (Bull)'!E49</f>
        <v>13.243658417777224</v>
      </c>
      <c r="E51" s="386"/>
      <c r="F51" s="495"/>
      <c r="G51" s="496"/>
      <c r="H51" s="496"/>
      <c r="I51" s="499"/>
      <c r="J51" s="135"/>
      <c r="K51" s="135"/>
      <c r="L51" s="135"/>
      <c r="M51" s="135"/>
      <c r="N51" s="135"/>
      <c r="O51" s="135"/>
      <c r="P51" s="135"/>
      <c r="Q51" s="135"/>
      <c r="R51" s="135"/>
      <c r="S51" s="135"/>
      <c r="T51" s="135"/>
    </row>
    <row r="52" spans="1:20">
      <c r="A52" s="135"/>
      <c r="B52" s="483" t="s">
        <v>3</v>
      </c>
      <c r="C52" s="386"/>
      <c r="D52" s="551">
        <f>'DCF Assumptions (Bull)'!E50</f>
        <v>13.72</v>
      </c>
      <c r="E52" s="386"/>
      <c r="F52" s="495"/>
      <c r="G52" s="496"/>
      <c r="H52" s="496"/>
      <c r="I52" s="503"/>
      <c r="J52" s="135"/>
      <c r="K52" s="135"/>
      <c r="L52" s="135"/>
      <c r="M52" s="135"/>
      <c r="N52" s="135"/>
      <c r="O52" s="135"/>
      <c r="P52" s="135"/>
      <c r="Q52" s="135"/>
      <c r="R52" s="135"/>
      <c r="S52" s="135"/>
      <c r="T52" s="135"/>
    </row>
    <row r="53" spans="1:20" ht="16" thickBot="1">
      <c r="A53" s="135"/>
      <c r="B53" s="490" t="s">
        <v>733</v>
      </c>
      <c r="C53" s="492"/>
      <c r="D53" s="552">
        <f>'DCF Assumptions (Bull)'!E51</f>
        <v>-3.4718774214488067E-2</v>
      </c>
      <c r="E53" s="386"/>
      <c r="F53" s="495"/>
      <c r="G53" s="496"/>
      <c r="H53" s="496"/>
      <c r="I53" s="503"/>
      <c r="J53" s="135"/>
      <c r="K53" s="135"/>
      <c r="L53" s="135"/>
      <c r="M53" s="135"/>
      <c r="N53" s="135"/>
      <c r="O53" s="135"/>
      <c r="P53" s="135"/>
      <c r="Q53" s="135"/>
      <c r="R53" s="135"/>
      <c r="S53" s="135"/>
      <c r="T53" s="135"/>
    </row>
    <row r="54" spans="1:20">
      <c r="A54" s="135"/>
      <c r="B54" s="135"/>
      <c r="C54" s="135"/>
      <c r="D54" s="135"/>
      <c r="E54" s="386"/>
      <c r="F54" s="504"/>
      <c r="G54" s="505"/>
      <c r="H54" s="505"/>
      <c r="I54" s="506"/>
      <c r="J54" s="135"/>
      <c r="K54" s="135"/>
      <c r="L54" s="135"/>
      <c r="M54" s="135"/>
      <c r="N54" s="135"/>
      <c r="O54" s="135"/>
      <c r="P54" s="135"/>
      <c r="Q54" s="135"/>
      <c r="R54" s="135"/>
      <c r="S54" s="135"/>
      <c r="T54" s="135"/>
    </row>
    <row r="55" spans="1:20">
      <c r="A55" s="135"/>
      <c r="E55" s="135"/>
      <c r="F55" s="135"/>
      <c r="G55" s="135"/>
      <c r="H55" s="135"/>
      <c r="I55" s="135"/>
      <c r="J55" s="135"/>
      <c r="K55" s="135"/>
      <c r="L55" s="135"/>
      <c r="M55" s="135"/>
      <c r="N55" s="135"/>
      <c r="O55" s="135"/>
      <c r="P55" s="135"/>
      <c r="Q55" s="135"/>
      <c r="R55" s="135"/>
      <c r="S55" s="135"/>
      <c r="T55" s="135"/>
    </row>
    <row r="56" spans="1:20">
      <c r="A56" s="135"/>
      <c r="E56" s="135"/>
      <c r="F56" s="135"/>
      <c r="G56" s="135"/>
      <c r="H56" s="135"/>
      <c r="I56" s="135"/>
      <c r="J56" s="135"/>
      <c r="K56" s="135"/>
      <c r="L56" s="135"/>
      <c r="M56" s="135"/>
      <c r="N56" s="135"/>
      <c r="O56" s="135"/>
      <c r="P56" s="135"/>
      <c r="Q56" s="135"/>
      <c r="R56" s="135"/>
      <c r="S56" s="135"/>
      <c r="T56" s="135"/>
    </row>
  </sheetData>
  <mergeCells count="2">
    <mergeCell ref="H5:L5"/>
    <mergeCell ref="M5:Q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176CA-5EE0-9547-946D-01397A950C0B}">
  <dimension ref="C2:AH100"/>
  <sheetViews>
    <sheetView showGridLines="0" topLeftCell="G14" zoomScale="113" workbookViewId="0">
      <selection activeCell="M31" sqref="M31:V31"/>
    </sheetView>
  </sheetViews>
  <sheetFormatPr baseColWidth="10" defaultColWidth="11.5" defaultRowHeight="15"/>
  <cols>
    <col min="3" max="3" width="32.5" customWidth="1"/>
    <col min="4" max="4" width="26.1640625" customWidth="1"/>
    <col min="6" max="6" width="5.83203125" customWidth="1"/>
    <col min="10" max="10" width="27.1640625" customWidth="1"/>
    <col min="12" max="12" width="6.1640625" customWidth="1"/>
    <col min="26" max="26" width="5.5" customWidth="1"/>
    <col min="27" max="27" width="5.33203125" customWidth="1"/>
  </cols>
  <sheetData>
    <row r="2" spans="4:22" ht="18">
      <c r="J2" s="832" t="s">
        <v>282</v>
      </c>
      <c r="K2" s="833"/>
      <c r="L2" s="833"/>
      <c r="M2" s="833"/>
      <c r="N2" s="833"/>
      <c r="O2" s="833"/>
      <c r="P2" s="833"/>
      <c r="Q2" s="833"/>
      <c r="R2" s="833"/>
      <c r="S2" s="833"/>
      <c r="T2" s="833"/>
      <c r="U2" s="833"/>
      <c r="V2" s="834"/>
    </row>
    <row r="3" spans="4:22">
      <c r="J3" s="237" t="s">
        <v>284</v>
      </c>
      <c r="K3" s="238" t="s">
        <v>285</v>
      </c>
      <c r="L3" s="239"/>
      <c r="M3" s="831" t="s">
        <v>286</v>
      </c>
      <c r="N3" s="831"/>
      <c r="O3" s="831"/>
      <c r="P3" s="831"/>
      <c r="Q3" s="831"/>
      <c r="R3" s="831"/>
      <c r="S3" s="831"/>
      <c r="T3" s="831"/>
      <c r="U3" s="831"/>
      <c r="V3" s="831"/>
    </row>
    <row r="4" spans="4:22">
      <c r="J4" s="108"/>
      <c r="K4" s="62"/>
      <c r="M4" s="62">
        <v>1</v>
      </c>
      <c r="N4" s="62">
        <f>M4+1</f>
        <v>2</v>
      </c>
      <c r="O4" s="62">
        <f t="shared" ref="O4:V4" si="0">N4+1</f>
        <v>3</v>
      </c>
      <c r="P4" s="62">
        <f t="shared" si="0"/>
        <v>4</v>
      </c>
      <c r="Q4" s="62">
        <f t="shared" si="0"/>
        <v>5</v>
      </c>
      <c r="R4" s="62">
        <f t="shared" si="0"/>
        <v>6</v>
      </c>
      <c r="S4" s="62">
        <f t="shared" si="0"/>
        <v>7</v>
      </c>
      <c r="T4" s="62">
        <f t="shared" si="0"/>
        <v>8</v>
      </c>
      <c r="U4" s="62">
        <f t="shared" si="0"/>
        <v>9</v>
      </c>
      <c r="V4" s="62">
        <f t="shared" si="0"/>
        <v>10</v>
      </c>
    </row>
    <row r="5" spans="4:22" ht="19">
      <c r="D5" s="830" t="s">
        <v>287</v>
      </c>
      <c r="E5" s="830"/>
      <c r="J5" s="237"/>
      <c r="K5" s="240" t="s">
        <v>337</v>
      </c>
      <c r="L5" s="222"/>
      <c r="M5" s="240">
        <v>2025</v>
      </c>
      <c r="N5" s="240">
        <f>M5+1</f>
        <v>2026</v>
      </c>
      <c r="O5" s="240">
        <f t="shared" ref="O5:U5" si="1">N5+1</f>
        <v>2027</v>
      </c>
      <c r="P5" s="240">
        <f t="shared" si="1"/>
        <v>2028</v>
      </c>
      <c r="Q5" s="240">
        <f t="shared" si="1"/>
        <v>2029</v>
      </c>
      <c r="R5" s="240">
        <f t="shared" si="1"/>
        <v>2030</v>
      </c>
      <c r="S5" s="240">
        <f t="shared" si="1"/>
        <v>2031</v>
      </c>
      <c r="T5" s="240">
        <f t="shared" si="1"/>
        <v>2032</v>
      </c>
      <c r="U5" s="240">
        <f t="shared" si="1"/>
        <v>2033</v>
      </c>
      <c r="V5" s="240">
        <f>U5+1</f>
        <v>2034</v>
      </c>
    </row>
    <row r="6" spans="4:22">
      <c r="D6" s="243" t="s">
        <v>131</v>
      </c>
      <c r="E6" s="244">
        <v>152.97</v>
      </c>
      <c r="J6" t="s">
        <v>188</v>
      </c>
      <c r="K6" s="94">
        <v>338</v>
      </c>
      <c r="M6" s="236">
        <f>M24*0.3</f>
        <v>327.3</v>
      </c>
      <c r="N6" s="236">
        <f t="shared" ref="N6:V6" si="2">N24*0.3</f>
        <v>376.39499999999992</v>
      </c>
      <c r="O6" s="236">
        <f t="shared" si="2"/>
        <v>432.85424999999987</v>
      </c>
      <c r="P6" s="236">
        <f t="shared" si="2"/>
        <v>497.7823874999998</v>
      </c>
      <c r="Q6" s="236">
        <f t="shared" si="2"/>
        <v>572.44974562499965</v>
      </c>
      <c r="R6" s="236">
        <f t="shared" si="2"/>
        <v>658.31720746874964</v>
      </c>
      <c r="S6" s="236">
        <f t="shared" si="2"/>
        <v>757.064788589062</v>
      </c>
      <c r="T6" s="236">
        <f t="shared" si="2"/>
        <v>870.62450687742114</v>
      </c>
      <c r="U6" s="236">
        <f t="shared" si="2"/>
        <v>1001.2181829090342</v>
      </c>
      <c r="V6" s="236">
        <f t="shared" si="2"/>
        <v>1151.4009103453893</v>
      </c>
    </row>
    <row r="7" spans="4:22">
      <c r="D7" s="245" t="s">
        <v>288</v>
      </c>
      <c r="E7" s="246">
        <f>E6-6.91</f>
        <v>146.06</v>
      </c>
      <c r="J7" s="97" t="s">
        <v>289</v>
      </c>
      <c r="K7" s="110">
        <f>K6/K24</f>
        <v>0.32098765432098764</v>
      </c>
      <c r="L7" s="111"/>
      <c r="M7" s="111">
        <f>M6/M24</f>
        <v>0.3</v>
      </c>
      <c r="N7" s="111">
        <f t="shared" ref="N7:V7" si="3">N6/N24</f>
        <v>0.3</v>
      </c>
      <c r="O7" s="111">
        <f t="shared" si="3"/>
        <v>0.3</v>
      </c>
      <c r="P7" s="111">
        <f t="shared" si="3"/>
        <v>0.3</v>
      </c>
      <c r="Q7" s="111">
        <f t="shared" si="3"/>
        <v>0.3</v>
      </c>
      <c r="R7" s="111">
        <f t="shared" si="3"/>
        <v>0.3</v>
      </c>
      <c r="S7" s="111">
        <f t="shared" si="3"/>
        <v>0.3</v>
      </c>
      <c r="T7" s="111">
        <f t="shared" si="3"/>
        <v>0.3</v>
      </c>
      <c r="U7" s="111">
        <f t="shared" si="3"/>
        <v>0.3</v>
      </c>
      <c r="V7" s="111">
        <f t="shared" si="3"/>
        <v>0.3</v>
      </c>
    </row>
    <row r="8" spans="4:22">
      <c r="D8" s="243" t="s">
        <v>290</v>
      </c>
      <c r="E8" s="247">
        <v>0.10100000000000001</v>
      </c>
      <c r="J8" s="57" t="s">
        <v>291</v>
      </c>
      <c r="K8" s="242">
        <f>(18.39+18.01+17.51+18.52)</f>
        <v>72.430000000000007</v>
      </c>
      <c r="L8" s="11"/>
      <c r="M8" s="223">
        <f>M26*0.11</f>
        <v>72.005999999999986</v>
      </c>
      <c r="N8" s="223">
        <f t="shared" ref="N8:V8" si="4">N26*0.11</f>
        <v>82.806899999999999</v>
      </c>
      <c r="O8" s="223">
        <f t="shared" si="4"/>
        <v>95.227934999999974</v>
      </c>
      <c r="P8" s="223">
        <f t="shared" si="4"/>
        <v>109.51212524999995</v>
      </c>
      <c r="Q8" s="223">
        <f t="shared" si="4"/>
        <v>125.93894403749992</v>
      </c>
      <c r="R8" s="223">
        <f t="shared" si="4"/>
        <v>144.82978564312492</v>
      </c>
      <c r="S8" s="223">
        <f t="shared" si="4"/>
        <v>166.55425348959363</v>
      </c>
      <c r="T8" s="223">
        <f t="shared" si="4"/>
        <v>191.53739151303265</v>
      </c>
      <c r="U8" s="223">
        <f t="shared" si="4"/>
        <v>220.26800023998754</v>
      </c>
      <c r="V8" s="223">
        <f t="shared" si="4"/>
        <v>253.30820027598566</v>
      </c>
    </row>
    <row r="9" spans="4:22">
      <c r="D9" s="243" t="s">
        <v>292</v>
      </c>
      <c r="E9" s="247">
        <v>0.03</v>
      </c>
      <c r="J9" t="s">
        <v>293</v>
      </c>
      <c r="K9" s="22">
        <f>K6-K8</f>
        <v>265.57</v>
      </c>
      <c r="M9" s="94">
        <f>M6-M8</f>
        <v>255.29400000000004</v>
      </c>
      <c r="N9" s="94">
        <f t="shared" ref="N9:V9" si="5">N6-N8</f>
        <v>293.58809999999994</v>
      </c>
      <c r="O9" s="94">
        <f t="shared" si="5"/>
        <v>337.62631499999986</v>
      </c>
      <c r="P9" s="94">
        <f t="shared" si="5"/>
        <v>388.27026224999986</v>
      </c>
      <c r="Q9" s="94">
        <f t="shared" si="5"/>
        <v>446.51080158749971</v>
      </c>
      <c r="R9" s="94">
        <f t="shared" si="5"/>
        <v>513.48742182562478</v>
      </c>
      <c r="S9" s="94">
        <f t="shared" si="5"/>
        <v>590.51053509946837</v>
      </c>
      <c r="T9" s="94">
        <f t="shared" si="5"/>
        <v>679.08711536438852</v>
      </c>
      <c r="U9" s="94">
        <f t="shared" si="5"/>
        <v>780.95018266904663</v>
      </c>
      <c r="V9" s="94">
        <f t="shared" si="5"/>
        <v>898.09271006940367</v>
      </c>
    </row>
    <row r="10" spans="4:22">
      <c r="D10" s="243" t="s">
        <v>294</v>
      </c>
      <c r="E10" s="247">
        <v>9.4899999999999998E-2</v>
      </c>
      <c r="J10" s="108" t="s">
        <v>295</v>
      </c>
      <c r="K10" s="58">
        <f>K9/K6</f>
        <v>0.78571005917159764</v>
      </c>
      <c r="L10" s="112"/>
      <c r="M10" s="241">
        <f>M9/M6</f>
        <v>0.78000000000000014</v>
      </c>
      <c r="N10" s="241">
        <f t="shared" ref="N10:V10" si="6">N9/N6</f>
        <v>0.78</v>
      </c>
      <c r="O10" s="241">
        <f t="shared" si="6"/>
        <v>0.77999999999999992</v>
      </c>
      <c r="P10" s="241">
        <f t="shared" si="6"/>
        <v>0.78</v>
      </c>
      <c r="Q10" s="241">
        <f t="shared" si="6"/>
        <v>0.78</v>
      </c>
      <c r="R10" s="241">
        <f t="shared" si="6"/>
        <v>0.78000000000000014</v>
      </c>
      <c r="S10" s="241">
        <f t="shared" si="6"/>
        <v>0.78</v>
      </c>
      <c r="T10" s="241">
        <f t="shared" si="6"/>
        <v>0.78</v>
      </c>
      <c r="U10" s="241">
        <f t="shared" si="6"/>
        <v>0.77999999999999992</v>
      </c>
      <c r="V10" s="241">
        <f t="shared" si="6"/>
        <v>0.78</v>
      </c>
    </row>
    <row r="11" spans="4:22">
      <c r="D11" s="243" t="s">
        <v>296</v>
      </c>
      <c r="E11" s="244">
        <v>661.57</v>
      </c>
      <c r="M11" s="5"/>
      <c r="N11" s="5"/>
      <c r="O11" s="5"/>
      <c r="P11" s="5"/>
      <c r="Q11" s="5"/>
      <c r="R11" s="5"/>
      <c r="S11" s="5"/>
      <c r="T11" s="5"/>
      <c r="U11" s="5"/>
      <c r="V11" s="5"/>
    </row>
    <row r="12" spans="4:22">
      <c r="D12" s="243" t="s">
        <v>297</v>
      </c>
      <c r="E12" s="244">
        <v>19.16</v>
      </c>
      <c r="J12" t="s">
        <v>189</v>
      </c>
      <c r="K12" s="94">
        <v>678</v>
      </c>
      <c r="M12" s="94">
        <f>M24*0.66</f>
        <v>720.06000000000006</v>
      </c>
      <c r="N12" s="94">
        <f t="shared" ref="N12:V12" si="7">N24*0.66</f>
        <v>828.06899999999996</v>
      </c>
      <c r="O12" s="94">
        <f t="shared" si="7"/>
        <v>952.27934999999979</v>
      </c>
      <c r="P12" s="94">
        <f t="shared" si="7"/>
        <v>1095.1212524999996</v>
      </c>
      <c r="Q12" s="94">
        <f t="shared" si="7"/>
        <v>1259.3894403749994</v>
      </c>
      <c r="R12" s="94">
        <f t="shared" si="7"/>
        <v>1448.2978564312493</v>
      </c>
      <c r="S12" s="94">
        <f t="shared" si="7"/>
        <v>1665.5425348959366</v>
      </c>
      <c r="T12" s="94">
        <f t="shared" si="7"/>
        <v>1915.3739151303268</v>
      </c>
      <c r="U12" s="94">
        <f t="shared" si="7"/>
        <v>2202.6800023998758</v>
      </c>
      <c r="V12" s="94">
        <f t="shared" si="7"/>
        <v>2533.082002759857</v>
      </c>
    </row>
    <row r="13" spans="4:22">
      <c r="D13" s="245" t="s">
        <v>298</v>
      </c>
      <c r="E13" s="246">
        <v>561.57000000000005</v>
      </c>
      <c r="J13" s="97" t="s">
        <v>289</v>
      </c>
      <c r="K13" s="110">
        <f>K12/K24</f>
        <v>0.64387464387464388</v>
      </c>
      <c r="L13" s="111"/>
      <c r="M13" s="111">
        <f>M12/M24</f>
        <v>0.66</v>
      </c>
      <c r="N13" s="111">
        <f t="shared" ref="N13:V13" si="8">N12/N24</f>
        <v>0.66</v>
      </c>
      <c r="O13" s="111">
        <f t="shared" si="8"/>
        <v>0.66</v>
      </c>
      <c r="P13" s="111">
        <f t="shared" si="8"/>
        <v>0.66</v>
      </c>
      <c r="Q13" s="111">
        <f t="shared" si="8"/>
        <v>0.66</v>
      </c>
      <c r="R13" s="111">
        <f t="shared" si="8"/>
        <v>0.66</v>
      </c>
      <c r="S13" s="111">
        <f t="shared" si="8"/>
        <v>0.66</v>
      </c>
      <c r="T13" s="111">
        <f t="shared" si="8"/>
        <v>0.66</v>
      </c>
      <c r="U13" s="111">
        <f t="shared" si="8"/>
        <v>0.66000000000000014</v>
      </c>
      <c r="V13" s="111">
        <f t="shared" si="8"/>
        <v>0.66</v>
      </c>
    </row>
    <row r="14" spans="4:22">
      <c r="D14" s="79"/>
      <c r="E14" s="80"/>
      <c r="J14" s="57" t="s">
        <v>299</v>
      </c>
      <c r="K14" s="242">
        <v>491.16999999999996</v>
      </c>
      <c r="L14" s="11"/>
      <c r="M14" s="223">
        <f>M26*0.8</f>
        <v>523.67999999999995</v>
      </c>
      <c r="N14" s="223">
        <f t="shared" ref="N14:V14" si="9">N26*0.8</f>
        <v>602.23199999999997</v>
      </c>
      <c r="O14" s="223">
        <f t="shared" si="9"/>
        <v>692.56679999999983</v>
      </c>
      <c r="P14" s="223">
        <f t="shared" si="9"/>
        <v>796.45181999999977</v>
      </c>
      <c r="Q14" s="223">
        <f t="shared" si="9"/>
        <v>915.91959299999951</v>
      </c>
      <c r="R14" s="223">
        <f t="shared" si="9"/>
        <v>1053.3075319499994</v>
      </c>
      <c r="S14" s="223">
        <f t="shared" si="9"/>
        <v>1211.3036617424993</v>
      </c>
      <c r="T14" s="223">
        <f t="shared" si="9"/>
        <v>1392.9992110038738</v>
      </c>
      <c r="U14" s="223">
        <f t="shared" si="9"/>
        <v>1601.9490926544549</v>
      </c>
      <c r="V14" s="223">
        <f t="shared" si="9"/>
        <v>1842.241456552623</v>
      </c>
    </row>
    <row r="15" spans="4:22">
      <c r="D15" s="63"/>
      <c r="E15" s="96"/>
      <c r="J15" t="s">
        <v>300</v>
      </c>
      <c r="K15" s="22">
        <f>K12-K14</f>
        <v>186.83000000000004</v>
      </c>
      <c r="M15" s="94">
        <f>M12-M14</f>
        <v>196.38000000000011</v>
      </c>
      <c r="N15" s="94">
        <f t="shared" ref="N15:V15" si="10">N12-N14</f>
        <v>225.83699999999999</v>
      </c>
      <c r="O15" s="94">
        <f t="shared" si="10"/>
        <v>259.71254999999996</v>
      </c>
      <c r="P15" s="94">
        <f t="shared" si="10"/>
        <v>298.66943249999986</v>
      </c>
      <c r="Q15" s="94">
        <f t="shared" si="10"/>
        <v>343.46984737499986</v>
      </c>
      <c r="R15" s="94">
        <f t="shared" si="10"/>
        <v>394.9903244812499</v>
      </c>
      <c r="S15" s="94">
        <f t="shared" si="10"/>
        <v>454.23887315343723</v>
      </c>
      <c r="T15" s="94">
        <f t="shared" si="10"/>
        <v>522.37470412645303</v>
      </c>
      <c r="U15" s="94">
        <f t="shared" si="10"/>
        <v>600.73090974542083</v>
      </c>
      <c r="V15" s="94">
        <f t="shared" si="10"/>
        <v>690.84054620723396</v>
      </c>
    </row>
    <row r="16" spans="4:22">
      <c r="D16" s="248" t="s">
        <v>338</v>
      </c>
      <c r="E16" s="249">
        <v>0.15</v>
      </c>
      <c r="J16" s="108" t="s">
        <v>295</v>
      </c>
      <c r="K16" s="58">
        <f>K15/K12</f>
        <v>0.27556047197640127</v>
      </c>
      <c r="L16" s="112"/>
      <c r="M16" s="112">
        <f>M15/M12</f>
        <v>0.27272727272727287</v>
      </c>
      <c r="N16" s="112">
        <f t="shared" ref="N16:V16" si="11">N15/N12</f>
        <v>0.27272727272727271</v>
      </c>
      <c r="O16" s="112">
        <f t="shared" si="11"/>
        <v>0.27272727272727276</v>
      </c>
      <c r="P16" s="112">
        <f t="shared" si="11"/>
        <v>0.27272727272727271</v>
      </c>
      <c r="Q16" s="112">
        <f t="shared" si="11"/>
        <v>0.27272727272727276</v>
      </c>
      <c r="R16" s="112">
        <f t="shared" si="11"/>
        <v>0.27272727272727276</v>
      </c>
      <c r="S16" s="112">
        <f t="shared" si="11"/>
        <v>0.27272727272727271</v>
      </c>
      <c r="T16" s="112">
        <f t="shared" si="11"/>
        <v>0.27272727272727287</v>
      </c>
      <c r="U16" s="112">
        <f t="shared" si="11"/>
        <v>0.27272727272727282</v>
      </c>
      <c r="V16" s="112">
        <f t="shared" si="11"/>
        <v>0.27272727272727282</v>
      </c>
    </row>
    <row r="17" spans="4:22">
      <c r="D17" s="248" t="s">
        <v>339</v>
      </c>
      <c r="E17" s="249">
        <v>0.4</v>
      </c>
      <c r="M17" s="5"/>
      <c r="N17" s="5"/>
      <c r="O17" s="5"/>
      <c r="P17" s="5"/>
      <c r="Q17" s="5"/>
      <c r="R17" s="5"/>
      <c r="S17" s="5"/>
      <c r="T17" s="5"/>
      <c r="U17" s="5"/>
      <c r="V17" s="5"/>
    </row>
    <row r="18" spans="4:22">
      <c r="D18" s="248" t="s">
        <v>340</v>
      </c>
      <c r="E18" s="249">
        <v>0.12</v>
      </c>
      <c r="J18" t="s">
        <v>190</v>
      </c>
      <c r="K18" s="94">
        <v>37</v>
      </c>
      <c r="M18" s="94">
        <f>M24*0.04</f>
        <v>43.64</v>
      </c>
      <c r="N18" s="94">
        <f t="shared" ref="N18:V18" si="12">N24*0.04</f>
        <v>50.185999999999993</v>
      </c>
      <c r="O18" s="94">
        <f t="shared" si="12"/>
        <v>57.713899999999988</v>
      </c>
      <c r="P18" s="94">
        <f t="shared" si="12"/>
        <v>66.370984999999976</v>
      </c>
      <c r="Q18" s="94">
        <f t="shared" si="12"/>
        <v>76.326632749999959</v>
      </c>
      <c r="R18" s="94">
        <f t="shared" si="12"/>
        <v>87.775627662499957</v>
      </c>
      <c r="S18" s="94">
        <f t="shared" si="12"/>
        <v>100.94197181187494</v>
      </c>
      <c r="T18" s="94">
        <f t="shared" si="12"/>
        <v>116.08326758365617</v>
      </c>
      <c r="U18" s="94">
        <f t="shared" si="12"/>
        <v>133.49575772120457</v>
      </c>
      <c r="V18" s="94">
        <f t="shared" si="12"/>
        <v>153.52012137938524</v>
      </c>
    </row>
    <row r="19" spans="4:22">
      <c r="D19" s="248" t="s">
        <v>325</v>
      </c>
      <c r="E19" s="249">
        <v>0.28000000000000003</v>
      </c>
      <c r="J19" s="97" t="s">
        <v>289</v>
      </c>
      <c r="K19" s="110">
        <f>K18/K24</f>
        <v>3.5137701804368468E-2</v>
      </c>
      <c r="L19" s="111"/>
      <c r="M19" s="111">
        <f>M18/M24</f>
        <v>0.04</v>
      </c>
      <c r="N19" s="111">
        <f t="shared" ref="N19:V19" si="13">N18/N24</f>
        <v>0.04</v>
      </c>
      <c r="O19" s="111">
        <f t="shared" si="13"/>
        <v>0.04</v>
      </c>
      <c r="P19" s="111">
        <f t="shared" si="13"/>
        <v>0.04</v>
      </c>
      <c r="Q19" s="111">
        <f t="shared" si="13"/>
        <v>0.04</v>
      </c>
      <c r="R19" s="111">
        <f t="shared" si="13"/>
        <v>0.04</v>
      </c>
      <c r="S19" s="111">
        <f t="shared" si="13"/>
        <v>0.04</v>
      </c>
      <c r="T19" s="111">
        <f t="shared" si="13"/>
        <v>0.04</v>
      </c>
      <c r="U19" s="111">
        <f t="shared" si="13"/>
        <v>0.04</v>
      </c>
      <c r="V19" s="111">
        <f t="shared" si="13"/>
        <v>3.9999999999999994E-2</v>
      </c>
    </row>
    <row r="20" spans="4:22">
      <c r="D20" s="248" t="s">
        <v>341</v>
      </c>
      <c r="E20" s="249">
        <v>0.1</v>
      </c>
      <c r="J20" s="57" t="s">
        <v>301</v>
      </c>
      <c r="K20" s="242">
        <f>(14.44+11.39+12.42+13.71)</f>
        <v>51.96</v>
      </c>
      <c r="L20" s="11"/>
      <c r="M20" s="23">
        <f>M26*0.09</f>
        <v>58.913999999999987</v>
      </c>
      <c r="N20" s="23">
        <f t="shared" ref="N20:V20" si="14">N26*0.09</f>
        <v>67.751099999999994</v>
      </c>
      <c r="O20" s="23">
        <f t="shared" si="14"/>
        <v>77.91376499999997</v>
      </c>
      <c r="P20" s="23">
        <f t="shared" si="14"/>
        <v>89.60082974999996</v>
      </c>
      <c r="Q20" s="23">
        <f t="shared" si="14"/>
        <v>103.04095421249993</v>
      </c>
      <c r="R20" s="23">
        <f t="shared" si="14"/>
        <v>118.49709734437494</v>
      </c>
      <c r="S20" s="23">
        <f t="shared" si="14"/>
        <v>136.27166194603114</v>
      </c>
      <c r="T20" s="23">
        <f t="shared" si="14"/>
        <v>156.71241123793581</v>
      </c>
      <c r="U20" s="23">
        <f t="shared" si="14"/>
        <v>180.21927292362616</v>
      </c>
      <c r="V20" s="23">
        <f t="shared" si="14"/>
        <v>207.25216386217008</v>
      </c>
    </row>
    <row r="21" spans="4:22">
      <c r="D21" s="248" t="s">
        <v>342</v>
      </c>
      <c r="E21" s="249">
        <v>0.05</v>
      </c>
      <c r="J21" t="s">
        <v>302</v>
      </c>
      <c r="K21" s="94">
        <f>K18-K20</f>
        <v>-14.96</v>
      </c>
      <c r="M21" s="94">
        <f>M18-M20</f>
        <v>-15.273999999999987</v>
      </c>
      <c r="N21" s="94">
        <f t="shared" ref="N21:V21" si="15">N18-N20</f>
        <v>-17.565100000000001</v>
      </c>
      <c r="O21" s="94">
        <f t="shared" si="15"/>
        <v>-20.199864999999981</v>
      </c>
      <c r="P21" s="94">
        <f t="shared" si="15"/>
        <v>-23.229844749999984</v>
      </c>
      <c r="Q21" s="94">
        <f t="shared" si="15"/>
        <v>-26.714321462499967</v>
      </c>
      <c r="R21" s="94">
        <f t="shared" si="15"/>
        <v>-30.721469681874979</v>
      </c>
      <c r="S21" s="94">
        <f t="shared" si="15"/>
        <v>-35.329690134156209</v>
      </c>
      <c r="T21" s="94">
        <f t="shared" si="15"/>
        <v>-40.629143654279645</v>
      </c>
      <c r="U21" s="94">
        <f t="shared" si="15"/>
        <v>-46.723515202421595</v>
      </c>
      <c r="V21" s="94">
        <f t="shared" si="15"/>
        <v>-53.732042482784834</v>
      </c>
    </row>
    <row r="22" spans="4:22">
      <c r="D22" s="248" t="s">
        <v>343</v>
      </c>
      <c r="E22" s="249">
        <v>0.05</v>
      </c>
      <c r="J22" s="108" t="s">
        <v>295</v>
      </c>
      <c r="K22" s="112">
        <f>K21/K18</f>
        <v>-0.40432432432432436</v>
      </c>
      <c r="L22" s="112"/>
      <c r="M22" s="112">
        <f>M21/M18</f>
        <v>-0.3499999999999997</v>
      </c>
      <c r="N22" s="112">
        <f t="shared" ref="N22:V22" si="16">N21/N18</f>
        <v>-0.35000000000000009</v>
      </c>
      <c r="O22" s="112">
        <f t="shared" si="16"/>
        <v>-0.34999999999999976</v>
      </c>
      <c r="P22" s="112">
        <f t="shared" si="16"/>
        <v>-0.34999999999999987</v>
      </c>
      <c r="Q22" s="112">
        <f t="shared" si="16"/>
        <v>-0.34999999999999976</v>
      </c>
      <c r="R22" s="112">
        <f t="shared" si="16"/>
        <v>-0.34999999999999992</v>
      </c>
      <c r="S22" s="112">
        <f t="shared" si="16"/>
        <v>-0.34999999999999981</v>
      </c>
      <c r="T22" s="112">
        <f t="shared" si="16"/>
        <v>-0.34999999999999987</v>
      </c>
      <c r="U22" s="112">
        <f t="shared" si="16"/>
        <v>-0.35</v>
      </c>
      <c r="V22" s="112">
        <f t="shared" si="16"/>
        <v>-0.35</v>
      </c>
    </row>
    <row r="23" spans="4:22" ht="16" thickBot="1">
      <c r="D23" s="248" t="s">
        <v>344</v>
      </c>
      <c r="E23" s="249">
        <v>0.01</v>
      </c>
      <c r="J23" s="55"/>
      <c r="K23" s="55"/>
      <c r="L23" s="55"/>
      <c r="M23" s="55"/>
      <c r="N23" s="55"/>
      <c r="O23" s="55"/>
      <c r="P23" s="55"/>
      <c r="Q23" s="55"/>
      <c r="R23" s="55"/>
      <c r="S23" s="55"/>
      <c r="T23" s="55"/>
      <c r="U23" s="55"/>
      <c r="V23" s="55"/>
    </row>
    <row r="24" spans="4:22" ht="16" thickTop="1">
      <c r="J24" s="9" t="s">
        <v>191</v>
      </c>
      <c r="K24" s="24">
        <f>K6+K12+K18</f>
        <v>1053</v>
      </c>
      <c r="L24" s="62"/>
      <c r="M24" s="24">
        <v>1091</v>
      </c>
      <c r="N24" s="24">
        <f>M24*(1+N25)</f>
        <v>1254.6499999999999</v>
      </c>
      <c r="O24" s="24">
        <f t="shared" ref="O24:V24" si="17">N24*(1+O25)</f>
        <v>1442.8474999999996</v>
      </c>
      <c r="P24" s="24">
        <f t="shared" si="17"/>
        <v>1659.2746249999993</v>
      </c>
      <c r="Q24" s="24">
        <f t="shared" si="17"/>
        <v>1908.1658187499991</v>
      </c>
      <c r="R24" s="24">
        <f t="shared" si="17"/>
        <v>2194.3906915624989</v>
      </c>
      <c r="S24" s="24">
        <f t="shared" si="17"/>
        <v>2523.5492952968734</v>
      </c>
      <c r="T24" s="24">
        <f t="shared" si="17"/>
        <v>2902.081689591404</v>
      </c>
      <c r="U24" s="24">
        <f t="shared" si="17"/>
        <v>3337.3939430301143</v>
      </c>
      <c r="V24" s="24">
        <f t="shared" si="17"/>
        <v>3838.0030344846314</v>
      </c>
    </row>
    <row r="25" spans="4:22">
      <c r="D25" s="70" t="s">
        <v>306</v>
      </c>
      <c r="J25" s="97" t="s">
        <v>303</v>
      </c>
      <c r="K25" s="97"/>
      <c r="L25" s="97"/>
      <c r="M25" s="61">
        <f>(M24-K24)/K24</f>
        <v>3.6087369420702751E-2</v>
      </c>
      <c r="N25" s="61">
        <f>$E$16</f>
        <v>0.15</v>
      </c>
      <c r="O25" s="61">
        <f t="shared" ref="O25:V25" si="18">$E$16</f>
        <v>0.15</v>
      </c>
      <c r="P25" s="61">
        <f t="shared" si="18"/>
        <v>0.15</v>
      </c>
      <c r="Q25" s="61">
        <f t="shared" si="18"/>
        <v>0.15</v>
      </c>
      <c r="R25" s="61">
        <f t="shared" si="18"/>
        <v>0.15</v>
      </c>
      <c r="S25" s="61">
        <f t="shared" si="18"/>
        <v>0.15</v>
      </c>
      <c r="T25" s="61">
        <f t="shared" si="18"/>
        <v>0.15</v>
      </c>
      <c r="U25" s="61">
        <f t="shared" si="18"/>
        <v>0.15</v>
      </c>
      <c r="V25" s="61">
        <f t="shared" si="18"/>
        <v>0.15</v>
      </c>
    </row>
    <row r="26" spans="4:22" ht="15" customHeight="1">
      <c r="D26" s="19" t="s">
        <v>307</v>
      </c>
      <c r="E26" s="13">
        <f>SUM(M51:V51)</f>
        <v>457.55810164366841</v>
      </c>
      <c r="F26" s="835" t="s">
        <v>308</v>
      </c>
      <c r="J26" t="s">
        <v>192</v>
      </c>
      <c r="K26" s="22">
        <f>K8+K14+K20</f>
        <v>615.55999999999995</v>
      </c>
      <c r="L26" s="5"/>
      <c r="M26" s="22">
        <f>M24-M28</f>
        <v>654.59999999999991</v>
      </c>
      <c r="N26" s="22">
        <f t="shared" ref="N26:V26" si="19">N24-N28</f>
        <v>752.79</v>
      </c>
      <c r="O26" s="22">
        <f t="shared" si="19"/>
        <v>865.70849999999973</v>
      </c>
      <c r="P26" s="22">
        <f t="shared" si="19"/>
        <v>995.5647749999996</v>
      </c>
      <c r="Q26" s="22">
        <f t="shared" si="19"/>
        <v>1144.8994912499993</v>
      </c>
      <c r="R26" s="22">
        <f t="shared" si="19"/>
        <v>1316.6344149374993</v>
      </c>
      <c r="S26" s="22">
        <f t="shared" si="19"/>
        <v>1514.129577178124</v>
      </c>
      <c r="T26" s="22">
        <f t="shared" si="19"/>
        <v>1741.2490137548423</v>
      </c>
      <c r="U26" s="22">
        <f t="shared" si="19"/>
        <v>2002.4363658180685</v>
      </c>
      <c r="V26" s="22">
        <f t="shared" si="19"/>
        <v>2302.8018206907786</v>
      </c>
    </row>
    <row r="27" spans="4:22">
      <c r="D27" s="18" t="s">
        <v>310</v>
      </c>
      <c r="E27" s="12">
        <f>(V50*(1+E9))/(E10-E9)</f>
        <v>2313.5435982462604</v>
      </c>
      <c r="F27" s="835"/>
      <c r="J27" s="65" t="s">
        <v>289</v>
      </c>
      <c r="K27" s="65">
        <f>K26/K24</f>
        <v>0.58457739791073116</v>
      </c>
      <c r="L27" s="65"/>
      <c r="M27" s="65">
        <f>M26/M24</f>
        <v>0.59999999999999987</v>
      </c>
      <c r="N27" s="65">
        <f t="shared" ref="N27:V27" si="20">N26/N24</f>
        <v>0.60000000000000009</v>
      </c>
      <c r="O27" s="65">
        <f t="shared" si="20"/>
        <v>0.6</v>
      </c>
      <c r="P27" s="65">
        <f t="shared" si="20"/>
        <v>0.6</v>
      </c>
      <c r="Q27" s="65">
        <f t="shared" si="20"/>
        <v>0.6</v>
      </c>
      <c r="R27" s="65">
        <f t="shared" si="20"/>
        <v>0.6</v>
      </c>
      <c r="S27" s="65">
        <f t="shared" si="20"/>
        <v>0.6</v>
      </c>
      <c r="T27" s="65">
        <f t="shared" si="20"/>
        <v>0.6</v>
      </c>
      <c r="U27" s="65">
        <f t="shared" si="20"/>
        <v>0.6</v>
      </c>
      <c r="V27" s="65">
        <f t="shared" si="20"/>
        <v>0.6</v>
      </c>
    </row>
    <row r="28" spans="4:22">
      <c r="D28" s="19" t="s">
        <v>311</v>
      </c>
      <c r="E28" s="13">
        <f>E27/((1+E10)^10)</f>
        <v>934.40064685687287</v>
      </c>
      <c r="F28" s="835"/>
      <c r="J28" t="s">
        <v>304</v>
      </c>
      <c r="K28" s="22">
        <f>K24-K26</f>
        <v>437.44000000000005</v>
      </c>
      <c r="L28" s="5"/>
      <c r="M28" s="22">
        <f>M24*M29</f>
        <v>436.40000000000003</v>
      </c>
      <c r="N28" s="22">
        <f t="shared" ref="N28:V28" si="21">N24*N29</f>
        <v>501.85999999999996</v>
      </c>
      <c r="O28" s="22">
        <f t="shared" si="21"/>
        <v>577.1389999999999</v>
      </c>
      <c r="P28" s="22">
        <f t="shared" si="21"/>
        <v>663.70984999999973</v>
      </c>
      <c r="Q28" s="22">
        <f t="shared" si="21"/>
        <v>763.26632749999965</v>
      </c>
      <c r="R28" s="22">
        <f t="shared" si="21"/>
        <v>877.7562766249996</v>
      </c>
      <c r="S28" s="22">
        <f t="shared" si="21"/>
        <v>1009.4197181187494</v>
      </c>
      <c r="T28" s="22">
        <f t="shared" si="21"/>
        <v>1160.8326758365617</v>
      </c>
      <c r="U28" s="22">
        <f t="shared" si="21"/>
        <v>1334.9575772120459</v>
      </c>
      <c r="V28" s="22">
        <f t="shared" si="21"/>
        <v>1535.2012137938527</v>
      </c>
    </row>
    <row r="29" spans="4:22">
      <c r="D29" s="18" t="s">
        <v>312</v>
      </c>
      <c r="E29" s="12">
        <f>E28+E26</f>
        <v>1391.9587485005413</v>
      </c>
      <c r="F29" s="835"/>
      <c r="J29" s="28" t="s">
        <v>295</v>
      </c>
      <c r="K29" s="95">
        <f>K28/K24</f>
        <v>0.41542260208926879</v>
      </c>
      <c r="L29" s="28"/>
      <c r="M29" s="95">
        <f>$E$17</f>
        <v>0.4</v>
      </c>
      <c r="N29" s="95">
        <f t="shared" ref="N29:V29" si="22">$E$17</f>
        <v>0.4</v>
      </c>
      <c r="O29" s="95">
        <f t="shared" si="22"/>
        <v>0.4</v>
      </c>
      <c r="P29" s="95">
        <f t="shared" si="22"/>
        <v>0.4</v>
      </c>
      <c r="Q29" s="95">
        <f t="shared" si="22"/>
        <v>0.4</v>
      </c>
      <c r="R29" s="95">
        <f t="shared" si="22"/>
        <v>0.4</v>
      </c>
      <c r="S29" s="95">
        <f t="shared" si="22"/>
        <v>0.4</v>
      </c>
      <c r="T29" s="95">
        <f t="shared" si="22"/>
        <v>0.4</v>
      </c>
      <c r="U29" s="95">
        <f t="shared" si="22"/>
        <v>0.4</v>
      </c>
      <c r="V29" s="95">
        <f t="shared" si="22"/>
        <v>0.4</v>
      </c>
    </row>
    <row r="30" spans="4:22">
      <c r="D30" s="18" t="s">
        <v>313</v>
      </c>
      <c r="E30" s="12">
        <f>E11</f>
        <v>661.57</v>
      </c>
      <c r="F30" s="835"/>
      <c r="J30" s="28"/>
      <c r="K30" s="95"/>
      <c r="L30" s="28"/>
      <c r="M30" s="28"/>
      <c r="N30" s="28"/>
      <c r="O30" s="28"/>
      <c r="P30" s="28"/>
      <c r="Q30" s="28"/>
      <c r="R30" s="28"/>
      <c r="S30" s="28"/>
      <c r="T30" s="28"/>
      <c r="U30" s="28"/>
      <c r="V30" s="28"/>
    </row>
    <row r="31" spans="4:22">
      <c r="D31" s="19" t="s">
        <v>315</v>
      </c>
      <c r="E31" s="13">
        <f>E12</f>
        <v>19.16</v>
      </c>
      <c r="F31" s="835"/>
      <c r="J31" t="s">
        <v>195</v>
      </c>
      <c r="K31" s="68">
        <v>117.76</v>
      </c>
      <c r="L31" s="5"/>
      <c r="M31" s="22">
        <f>M24*M32</f>
        <v>130.91999999999999</v>
      </c>
      <c r="N31" s="22">
        <f t="shared" ref="N31:V31" si="23">N24*N32</f>
        <v>150.55799999999996</v>
      </c>
      <c r="O31" s="22">
        <f t="shared" si="23"/>
        <v>173.14169999999996</v>
      </c>
      <c r="P31" s="22">
        <f t="shared" si="23"/>
        <v>199.11295499999991</v>
      </c>
      <c r="Q31" s="22">
        <f t="shared" si="23"/>
        <v>228.97989824999988</v>
      </c>
      <c r="R31" s="22">
        <f t="shared" si="23"/>
        <v>263.32688298749986</v>
      </c>
      <c r="S31" s="22">
        <f t="shared" si="23"/>
        <v>302.82591543562478</v>
      </c>
      <c r="T31" s="22">
        <f t="shared" si="23"/>
        <v>348.24980275096846</v>
      </c>
      <c r="U31" s="22">
        <f t="shared" si="23"/>
        <v>400.48727316361368</v>
      </c>
      <c r="V31" s="22">
        <f t="shared" si="23"/>
        <v>460.56036413815576</v>
      </c>
    </row>
    <row r="32" spans="4:22" ht="16">
      <c r="D32" s="18" t="s">
        <v>316</v>
      </c>
      <c r="E32" s="12">
        <f>E29+E30-E31</f>
        <v>2034.3687485005414</v>
      </c>
      <c r="F32" s="835"/>
      <c r="J32" s="98" t="s">
        <v>289</v>
      </c>
      <c r="K32" s="98">
        <f>K31/K24</f>
        <v>0.11183285849952516</v>
      </c>
      <c r="L32" s="98"/>
      <c r="M32" s="98">
        <f>$E$18</f>
        <v>0.12</v>
      </c>
      <c r="N32" s="98">
        <f t="shared" ref="N32:V32" si="24">$E$18</f>
        <v>0.12</v>
      </c>
      <c r="O32" s="98">
        <f t="shared" si="24"/>
        <v>0.12</v>
      </c>
      <c r="P32" s="98">
        <f t="shared" si="24"/>
        <v>0.12</v>
      </c>
      <c r="Q32" s="98">
        <f t="shared" si="24"/>
        <v>0.12</v>
      </c>
      <c r="R32" s="98">
        <f t="shared" si="24"/>
        <v>0.12</v>
      </c>
      <c r="S32" s="98">
        <f t="shared" si="24"/>
        <v>0.12</v>
      </c>
      <c r="T32" s="98">
        <f t="shared" si="24"/>
        <v>0.12</v>
      </c>
      <c r="U32" s="98">
        <f t="shared" si="24"/>
        <v>0.12</v>
      </c>
      <c r="V32" s="98">
        <f t="shared" si="24"/>
        <v>0.12</v>
      </c>
    </row>
    <row r="33" spans="3:22" ht="16" thickBot="1">
      <c r="D33" s="18" t="s">
        <v>318</v>
      </c>
      <c r="E33" s="12">
        <f>E6</f>
        <v>152.97</v>
      </c>
      <c r="F33" s="835"/>
      <c r="J33" t="s">
        <v>198</v>
      </c>
      <c r="K33" s="22">
        <v>349.67999999999995</v>
      </c>
      <c r="L33" s="5"/>
      <c r="M33" s="22">
        <f>M24*M34</f>
        <v>305.48</v>
      </c>
      <c r="N33" s="22">
        <f t="shared" ref="N33:V33" si="25">N24*N34</f>
        <v>351.30200000000002</v>
      </c>
      <c r="O33" s="22">
        <f t="shared" si="25"/>
        <v>403.99729999999994</v>
      </c>
      <c r="P33" s="22">
        <f t="shared" si="25"/>
        <v>464.59689499999985</v>
      </c>
      <c r="Q33" s="22">
        <f t="shared" si="25"/>
        <v>534.28642924999974</v>
      </c>
      <c r="R33" s="22">
        <f t="shared" si="25"/>
        <v>614.42939363749974</v>
      </c>
      <c r="S33" s="22">
        <f t="shared" si="25"/>
        <v>706.59380268312464</v>
      </c>
      <c r="T33" s="22">
        <f t="shared" si="25"/>
        <v>812.58287308559318</v>
      </c>
      <c r="U33" s="22">
        <f t="shared" si="25"/>
        <v>934.47030404843213</v>
      </c>
      <c r="V33" s="22">
        <f t="shared" si="25"/>
        <v>1074.6408496556969</v>
      </c>
    </row>
    <row r="34" spans="3:22" ht="16" thickBot="1">
      <c r="D34" s="73" t="s">
        <v>319</v>
      </c>
      <c r="E34" s="109">
        <f>E32/E33</f>
        <v>13.299135441593394</v>
      </c>
      <c r="F34" s="835"/>
      <c r="J34" s="61" t="s">
        <v>289</v>
      </c>
      <c r="K34" s="64">
        <f>K33/K24</f>
        <v>0.33207977207977202</v>
      </c>
      <c r="L34" s="61"/>
      <c r="M34" s="61">
        <f>$E$19</f>
        <v>0.28000000000000003</v>
      </c>
      <c r="N34" s="61">
        <f t="shared" ref="N34:V34" si="26">$E$19</f>
        <v>0.28000000000000003</v>
      </c>
      <c r="O34" s="61">
        <f t="shared" si="26"/>
        <v>0.28000000000000003</v>
      </c>
      <c r="P34" s="61">
        <f t="shared" si="26"/>
        <v>0.28000000000000003</v>
      </c>
      <c r="Q34" s="61">
        <f t="shared" si="26"/>
        <v>0.28000000000000003</v>
      </c>
      <c r="R34" s="61">
        <f t="shared" si="26"/>
        <v>0.28000000000000003</v>
      </c>
      <c r="S34" s="61">
        <f t="shared" si="26"/>
        <v>0.28000000000000003</v>
      </c>
      <c r="T34" s="61">
        <f t="shared" si="26"/>
        <v>0.28000000000000003</v>
      </c>
      <c r="U34" s="61">
        <f t="shared" si="26"/>
        <v>0.28000000000000003</v>
      </c>
      <c r="V34" s="61">
        <f t="shared" si="26"/>
        <v>0.28000000000000003</v>
      </c>
    </row>
    <row r="35" spans="3:22">
      <c r="D35" s="18" t="s">
        <v>321</v>
      </c>
      <c r="E35" s="78">
        <v>13.72</v>
      </c>
      <c r="F35" s="835"/>
      <c r="J35" t="s">
        <v>208</v>
      </c>
      <c r="K35" s="17">
        <v>126.10999999999999</v>
      </c>
      <c r="L35" s="5"/>
      <c r="M35" s="22">
        <f>M24*M36</f>
        <v>109.10000000000001</v>
      </c>
      <c r="N35" s="22">
        <f t="shared" ref="N35:V35" si="27">N24*N36</f>
        <v>125.46499999999999</v>
      </c>
      <c r="O35" s="22">
        <f t="shared" si="27"/>
        <v>144.28474999999997</v>
      </c>
      <c r="P35" s="22">
        <f t="shared" si="27"/>
        <v>165.92746249999993</v>
      </c>
      <c r="Q35" s="22">
        <f t="shared" si="27"/>
        <v>190.81658187499991</v>
      </c>
      <c r="R35" s="22">
        <f t="shared" si="27"/>
        <v>219.4390691562499</v>
      </c>
      <c r="S35" s="22">
        <f t="shared" si="27"/>
        <v>252.35492952968735</v>
      </c>
      <c r="T35" s="22">
        <f t="shared" si="27"/>
        <v>290.20816895914044</v>
      </c>
      <c r="U35" s="22">
        <f t="shared" si="27"/>
        <v>333.73939430301147</v>
      </c>
      <c r="V35" s="22">
        <f t="shared" si="27"/>
        <v>383.80030344846318</v>
      </c>
    </row>
    <row r="36" spans="3:22">
      <c r="D36" s="18" t="s">
        <v>323</v>
      </c>
      <c r="E36" s="86">
        <f>(E34-E35)/E35</f>
        <v>-3.0675259359082083E-2</v>
      </c>
      <c r="F36" s="835"/>
      <c r="J36" s="65" t="s">
        <v>289</v>
      </c>
      <c r="K36" s="65">
        <f>K35/K24</f>
        <v>0.11976258309591642</v>
      </c>
      <c r="L36" s="65"/>
      <c r="M36" s="65">
        <f>$E$20</f>
        <v>0.1</v>
      </c>
      <c r="N36" s="65">
        <f t="shared" ref="N36:V36" si="28">$E$20</f>
        <v>0.1</v>
      </c>
      <c r="O36" s="65">
        <f t="shared" si="28"/>
        <v>0.1</v>
      </c>
      <c r="P36" s="65">
        <f t="shared" si="28"/>
        <v>0.1</v>
      </c>
      <c r="Q36" s="65">
        <f t="shared" si="28"/>
        <v>0.1</v>
      </c>
      <c r="R36" s="65">
        <f t="shared" si="28"/>
        <v>0.1</v>
      </c>
      <c r="S36" s="65">
        <f t="shared" si="28"/>
        <v>0.1</v>
      </c>
      <c r="T36" s="65">
        <f t="shared" si="28"/>
        <v>0.1</v>
      </c>
      <c r="U36" s="65">
        <f t="shared" si="28"/>
        <v>0.1</v>
      </c>
      <c r="V36" s="65">
        <f t="shared" si="28"/>
        <v>0.1</v>
      </c>
    </row>
    <row r="37" spans="3:22">
      <c r="J37" t="s">
        <v>305</v>
      </c>
      <c r="K37" s="22">
        <f>K28-K31-K33-K35</f>
        <v>-156.10999999999987</v>
      </c>
      <c r="L37" s="5"/>
      <c r="M37" s="22">
        <f>M28-M31-M33-M35</f>
        <v>-109.10000000000001</v>
      </c>
      <c r="N37" s="22">
        <f t="shared" ref="N37:V37" si="29">N28-N31-N33-N35</f>
        <v>-125.46499999999999</v>
      </c>
      <c r="O37" s="22">
        <f t="shared" si="29"/>
        <v>-144.28474999999997</v>
      </c>
      <c r="P37" s="22">
        <f t="shared" si="29"/>
        <v>-165.92746249999999</v>
      </c>
      <c r="Q37" s="22">
        <f t="shared" si="29"/>
        <v>-190.81658187499991</v>
      </c>
      <c r="R37" s="22">
        <f t="shared" si="29"/>
        <v>-219.4390691562499</v>
      </c>
      <c r="S37" s="22">
        <f t="shared" si="29"/>
        <v>-252.35492952968735</v>
      </c>
      <c r="T37" s="22">
        <f t="shared" si="29"/>
        <v>-290.20816895914032</v>
      </c>
      <c r="U37" s="22">
        <f t="shared" si="29"/>
        <v>-333.73939430301147</v>
      </c>
      <c r="V37" s="22">
        <f t="shared" si="29"/>
        <v>-383.80030344846318</v>
      </c>
    </row>
    <row r="38" spans="3:22">
      <c r="J38" s="61" t="s">
        <v>289</v>
      </c>
      <c r="K38" s="61">
        <f>K37/K24</f>
        <v>-0.1482526115859448</v>
      </c>
      <c r="L38" s="61"/>
      <c r="M38" s="61"/>
      <c r="N38" s="61"/>
      <c r="O38" s="61"/>
      <c r="P38" s="61"/>
      <c r="Q38" s="61"/>
      <c r="R38" s="61"/>
      <c r="S38" s="61"/>
      <c r="T38" s="61"/>
      <c r="U38" s="61"/>
      <c r="V38" s="61"/>
    </row>
    <row r="39" spans="3:22">
      <c r="J39" t="s">
        <v>267</v>
      </c>
      <c r="K39" s="22">
        <v>38.620000000000005</v>
      </c>
      <c r="L39" s="5"/>
      <c r="M39" s="22">
        <f>M24*M40</f>
        <v>54.550000000000004</v>
      </c>
      <c r="N39" s="22">
        <f t="shared" ref="N39:V39" si="30">N24*N40</f>
        <v>62.732499999999995</v>
      </c>
      <c r="O39" s="22">
        <f t="shared" si="30"/>
        <v>72.142374999999987</v>
      </c>
      <c r="P39" s="22">
        <f t="shared" si="30"/>
        <v>82.963731249999967</v>
      </c>
      <c r="Q39" s="22">
        <f t="shared" si="30"/>
        <v>95.408290937499956</v>
      </c>
      <c r="R39" s="22">
        <f t="shared" si="30"/>
        <v>109.71953457812495</v>
      </c>
      <c r="S39" s="22">
        <f t="shared" si="30"/>
        <v>126.17746476484368</v>
      </c>
      <c r="T39" s="22">
        <f t="shared" si="30"/>
        <v>145.10408447957022</v>
      </c>
      <c r="U39" s="22">
        <f t="shared" si="30"/>
        <v>166.86969715150573</v>
      </c>
      <c r="V39" s="22">
        <f t="shared" si="30"/>
        <v>191.90015172423159</v>
      </c>
    </row>
    <row r="40" spans="3:22">
      <c r="D40" s="70" t="s">
        <v>306</v>
      </c>
      <c r="J40" s="61" t="s">
        <v>289</v>
      </c>
      <c r="K40" s="64">
        <f>K39/K24</f>
        <v>3.6676163342830012E-2</v>
      </c>
      <c r="L40" s="61"/>
      <c r="M40" s="61">
        <f>$E$21</f>
        <v>0.05</v>
      </c>
      <c r="N40" s="61">
        <f t="shared" ref="N40:V40" si="31">$E$21</f>
        <v>0.05</v>
      </c>
      <c r="O40" s="61">
        <f t="shared" si="31"/>
        <v>0.05</v>
      </c>
      <c r="P40" s="61">
        <f t="shared" si="31"/>
        <v>0.05</v>
      </c>
      <c r="Q40" s="61">
        <f t="shared" si="31"/>
        <v>0.05</v>
      </c>
      <c r="R40" s="61">
        <f t="shared" si="31"/>
        <v>0.05</v>
      </c>
      <c r="S40" s="61">
        <f t="shared" si="31"/>
        <v>0.05</v>
      </c>
      <c r="T40" s="61">
        <f t="shared" si="31"/>
        <v>0.05</v>
      </c>
      <c r="U40" s="61">
        <f t="shared" si="31"/>
        <v>0.05</v>
      </c>
      <c r="V40" s="61">
        <f t="shared" si="31"/>
        <v>0.05</v>
      </c>
    </row>
    <row r="41" spans="3:22">
      <c r="D41" s="19" t="s">
        <v>307</v>
      </c>
      <c r="E41" s="13">
        <f>SUM(M51:V51)</f>
        <v>457.55810164366841</v>
      </c>
      <c r="F41" s="837" t="s">
        <v>324</v>
      </c>
      <c r="J41" t="s">
        <v>309</v>
      </c>
      <c r="K41" s="22">
        <v>5.2900000000000009</v>
      </c>
      <c r="L41" s="5"/>
      <c r="M41" s="22">
        <f>ABS(M37*M42)</f>
        <v>5.455000000000001</v>
      </c>
      <c r="N41" s="22">
        <f t="shared" ref="N41:V41" si="32">ABS(N37*N42)</f>
        <v>6.27325</v>
      </c>
      <c r="O41" s="22">
        <f t="shared" si="32"/>
        <v>7.2142374999999994</v>
      </c>
      <c r="P41" s="22">
        <f t="shared" si="32"/>
        <v>8.2963731250000006</v>
      </c>
      <c r="Q41" s="22">
        <f t="shared" si="32"/>
        <v>9.5408290937499967</v>
      </c>
      <c r="R41" s="22">
        <f t="shared" si="32"/>
        <v>10.971953457812496</v>
      </c>
      <c r="S41" s="22">
        <f t="shared" si="32"/>
        <v>12.617746476484369</v>
      </c>
      <c r="T41" s="22">
        <f t="shared" si="32"/>
        <v>14.510408447957017</v>
      </c>
      <c r="U41" s="22">
        <f t="shared" si="32"/>
        <v>16.686969715150575</v>
      </c>
      <c r="V41" s="22">
        <f t="shared" si="32"/>
        <v>19.190015172423159</v>
      </c>
    </row>
    <row r="42" spans="3:22">
      <c r="C42" t="s">
        <v>345</v>
      </c>
      <c r="D42" s="18" t="s">
        <v>310</v>
      </c>
      <c r="E42" s="12">
        <f>(V50*(1+E9))/(E10-E9)</f>
        <v>2313.5435982462604</v>
      </c>
      <c r="F42" s="837"/>
      <c r="J42" s="65" t="s">
        <v>346</v>
      </c>
      <c r="K42" s="65">
        <f>ABS(K41/K37)</f>
        <v>3.3886362180513774E-2</v>
      </c>
      <c r="L42" s="65"/>
      <c r="M42" s="65">
        <f>$E$22</f>
        <v>0.05</v>
      </c>
      <c r="N42" s="65">
        <f t="shared" ref="N42:V42" si="33">$E$22</f>
        <v>0.05</v>
      </c>
      <c r="O42" s="65">
        <f t="shared" si="33"/>
        <v>0.05</v>
      </c>
      <c r="P42" s="65">
        <f t="shared" si="33"/>
        <v>0.05</v>
      </c>
      <c r="Q42" s="65">
        <f t="shared" si="33"/>
        <v>0.05</v>
      </c>
      <c r="R42" s="65">
        <f t="shared" si="33"/>
        <v>0.05</v>
      </c>
      <c r="S42" s="65">
        <f t="shared" si="33"/>
        <v>0.05</v>
      </c>
      <c r="T42" s="65">
        <f t="shared" si="33"/>
        <v>0.05</v>
      </c>
      <c r="U42" s="65">
        <f t="shared" si="33"/>
        <v>0.05</v>
      </c>
      <c r="V42" s="65">
        <f t="shared" si="33"/>
        <v>0.05</v>
      </c>
    </row>
    <row r="43" spans="3:22">
      <c r="C43" t="s">
        <v>347</v>
      </c>
      <c r="D43" s="19" t="s">
        <v>311</v>
      </c>
      <c r="E43" s="13">
        <f>E42/((1+E10)^10)</f>
        <v>934.40064685687287</v>
      </c>
      <c r="F43" s="837"/>
      <c r="J43" t="s">
        <v>215</v>
      </c>
      <c r="K43" s="22">
        <f>K37+K39-K41</f>
        <v>-122.77999999999987</v>
      </c>
      <c r="L43" s="5"/>
      <c r="M43" s="22">
        <f>M37+M39-M41</f>
        <v>-60.005000000000003</v>
      </c>
      <c r="N43" s="22">
        <f t="shared" ref="N43:V43" si="34">N37+N39-N41</f>
        <v>-69.005749999999992</v>
      </c>
      <c r="O43" s="22">
        <f t="shared" si="34"/>
        <v>-79.356612499999983</v>
      </c>
      <c r="P43" s="22">
        <f t="shared" si="34"/>
        <v>-91.260104375000026</v>
      </c>
      <c r="Q43" s="22">
        <f t="shared" si="34"/>
        <v>-104.94912003124995</v>
      </c>
      <c r="R43" s="22">
        <f t="shared" si="34"/>
        <v>-120.69148803593745</v>
      </c>
      <c r="S43" s="22">
        <f t="shared" si="34"/>
        <v>-138.79521124132805</v>
      </c>
      <c r="T43" s="22">
        <f t="shared" si="34"/>
        <v>-159.61449292752712</v>
      </c>
      <c r="U43" s="22">
        <f t="shared" si="34"/>
        <v>-183.55666686665631</v>
      </c>
      <c r="V43" s="22">
        <f t="shared" si="34"/>
        <v>-211.09016689665475</v>
      </c>
    </row>
    <row r="44" spans="3:22">
      <c r="D44" s="18" t="s">
        <v>312</v>
      </c>
      <c r="E44" s="12">
        <f>E43+E41</f>
        <v>1391.9587485005413</v>
      </c>
      <c r="F44" s="837"/>
      <c r="K44" s="5"/>
      <c r="L44" s="5"/>
      <c r="M44" s="5"/>
      <c r="N44" s="5"/>
      <c r="O44" s="5"/>
      <c r="P44" s="5"/>
      <c r="Q44" s="5"/>
      <c r="R44" s="5"/>
      <c r="S44" s="5"/>
      <c r="T44" s="5"/>
      <c r="U44" s="5"/>
      <c r="V44" s="5"/>
    </row>
    <row r="45" spans="3:22">
      <c r="D45" s="18" t="s">
        <v>313</v>
      </c>
      <c r="E45" s="12">
        <f>E13</f>
        <v>561.57000000000005</v>
      </c>
      <c r="F45" s="837"/>
      <c r="J45" t="s">
        <v>208</v>
      </c>
      <c r="K45" s="17">
        <v>104.40999999999998</v>
      </c>
      <c r="L45" s="5"/>
      <c r="M45" s="22">
        <f>M35</f>
        <v>109.10000000000001</v>
      </c>
      <c r="N45" s="22">
        <f t="shared" ref="N45:V45" si="35">N35</f>
        <v>125.46499999999999</v>
      </c>
      <c r="O45" s="22">
        <f t="shared" si="35"/>
        <v>144.28474999999997</v>
      </c>
      <c r="P45" s="22">
        <f t="shared" si="35"/>
        <v>165.92746249999993</v>
      </c>
      <c r="Q45" s="22">
        <f t="shared" si="35"/>
        <v>190.81658187499991</v>
      </c>
      <c r="R45" s="22">
        <f t="shared" si="35"/>
        <v>219.4390691562499</v>
      </c>
      <c r="S45" s="22">
        <f t="shared" si="35"/>
        <v>252.35492952968735</v>
      </c>
      <c r="T45" s="22">
        <f t="shared" si="35"/>
        <v>290.20816895914044</v>
      </c>
      <c r="U45" s="22">
        <f t="shared" si="35"/>
        <v>333.73939430301147</v>
      </c>
      <c r="V45" s="22">
        <f t="shared" si="35"/>
        <v>383.80030344846318</v>
      </c>
    </row>
    <row r="46" spans="3:22">
      <c r="D46" s="19" t="s">
        <v>315</v>
      </c>
      <c r="E46" s="13">
        <f>E12</f>
        <v>19.16</v>
      </c>
      <c r="F46" s="837"/>
      <c r="J46" s="61" t="s">
        <v>289</v>
      </c>
      <c r="K46" s="64">
        <f>K45/K24</f>
        <v>9.9154795821462471E-2</v>
      </c>
      <c r="L46" s="61"/>
      <c r="M46" s="61">
        <f>M45/M24</f>
        <v>0.1</v>
      </c>
      <c r="N46" s="61">
        <f t="shared" ref="N46:V46" si="36">N45/N24</f>
        <v>0.1</v>
      </c>
      <c r="O46" s="61">
        <f t="shared" si="36"/>
        <v>0.1</v>
      </c>
      <c r="P46" s="61">
        <f t="shared" si="36"/>
        <v>0.1</v>
      </c>
      <c r="Q46" s="61">
        <f t="shared" si="36"/>
        <v>0.1</v>
      </c>
      <c r="R46" s="61">
        <f t="shared" si="36"/>
        <v>0.1</v>
      </c>
      <c r="S46" s="61">
        <f t="shared" si="36"/>
        <v>0.1</v>
      </c>
      <c r="T46" s="61">
        <f t="shared" si="36"/>
        <v>0.1</v>
      </c>
      <c r="U46" s="61">
        <f t="shared" si="36"/>
        <v>0.1</v>
      </c>
      <c r="V46" s="61">
        <f t="shared" si="36"/>
        <v>0.1</v>
      </c>
    </row>
    <row r="47" spans="3:22">
      <c r="D47" s="18" t="s">
        <v>316</v>
      </c>
      <c r="E47" s="12">
        <f>E44+E45-E46</f>
        <v>1934.3687485005414</v>
      </c>
      <c r="F47" s="837"/>
      <c r="J47" t="s">
        <v>348</v>
      </c>
      <c r="K47" s="67">
        <v>6.16</v>
      </c>
      <c r="L47" s="5"/>
      <c r="M47" s="22">
        <f>M24*M48</f>
        <v>10.91</v>
      </c>
      <c r="N47" s="22">
        <f t="shared" ref="N47:V47" si="37">N24*N48</f>
        <v>12.546499999999998</v>
      </c>
      <c r="O47" s="22">
        <f t="shared" si="37"/>
        <v>14.428474999999997</v>
      </c>
      <c r="P47" s="22">
        <f t="shared" si="37"/>
        <v>16.592746249999994</v>
      </c>
      <c r="Q47" s="22">
        <f t="shared" si="37"/>
        <v>19.08165818749999</v>
      </c>
      <c r="R47" s="22">
        <f t="shared" si="37"/>
        <v>21.943906915624989</v>
      </c>
      <c r="S47" s="22">
        <f t="shared" si="37"/>
        <v>25.235492952968734</v>
      </c>
      <c r="T47" s="22">
        <f t="shared" si="37"/>
        <v>29.020816895914042</v>
      </c>
      <c r="U47" s="22">
        <f t="shared" si="37"/>
        <v>33.373939430301142</v>
      </c>
      <c r="V47" s="22">
        <f t="shared" si="37"/>
        <v>38.380030344846311</v>
      </c>
    </row>
    <row r="48" spans="3:22" ht="16" thickBot="1">
      <c r="D48" s="18" t="s">
        <v>318</v>
      </c>
      <c r="E48" s="12">
        <f>E7</f>
        <v>146.06</v>
      </c>
      <c r="F48" s="837"/>
      <c r="J48" s="97" t="s">
        <v>289</v>
      </c>
      <c r="K48" s="61">
        <f>K47/K24</f>
        <v>5.8499525166191835E-3</v>
      </c>
      <c r="L48" s="61"/>
      <c r="M48" s="61">
        <f>$E$23</f>
        <v>0.01</v>
      </c>
      <c r="N48" s="61">
        <f t="shared" ref="N48:V48" si="38">$E$23</f>
        <v>0.01</v>
      </c>
      <c r="O48" s="61">
        <f t="shared" si="38"/>
        <v>0.01</v>
      </c>
      <c r="P48" s="61">
        <f t="shared" si="38"/>
        <v>0.01</v>
      </c>
      <c r="Q48" s="61">
        <f t="shared" si="38"/>
        <v>0.01</v>
      </c>
      <c r="R48" s="61">
        <f t="shared" si="38"/>
        <v>0.01</v>
      </c>
      <c r="S48" s="61">
        <f t="shared" si="38"/>
        <v>0.01</v>
      </c>
      <c r="T48" s="61">
        <f t="shared" si="38"/>
        <v>0.01</v>
      </c>
      <c r="U48" s="61">
        <f t="shared" si="38"/>
        <v>0.01</v>
      </c>
      <c r="V48" s="61">
        <f t="shared" si="38"/>
        <v>0.01</v>
      </c>
    </row>
    <row r="49" spans="4:34" ht="16" thickBot="1">
      <c r="D49" s="73" t="s">
        <v>319</v>
      </c>
      <c r="E49" s="109">
        <f>E47/E48</f>
        <v>13.243658417777224</v>
      </c>
      <c r="F49" s="837"/>
      <c r="J49" s="66" t="s">
        <v>320</v>
      </c>
      <c r="K49" s="107"/>
      <c r="L49" s="107"/>
      <c r="M49" s="69">
        <v>-0.13999999999999346</v>
      </c>
      <c r="N49" s="69">
        <v>-3.4911999999999992</v>
      </c>
      <c r="O49" s="69">
        <v>-4.0497919999999965</v>
      </c>
      <c r="P49" s="69">
        <v>-4.6977587199999959</v>
      </c>
      <c r="Q49" s="69">
        <v>-5.4494001151999996</v>
      </c>
      <c r="R49" s="69">
        <v>-6.3213041336319975</v>
      </c>
      <c r="S49" s="69">
        <v>-7.3327127950131157</v>
      </c>
      <c r="T49" s="69">
        <v>-8.5059468422152023</v>
      </c>
      <c r="U49" s="69">
        <v>-9.8668983369696477</v>
      </c>
      <c r="V49" s="69">
        <v>-11.445602070884789</v>
      </c>
    </row>
    <row r="50" spans="4:34">
      <c r="D50" s="18" t="s">
        <v>321</v>
      </c>
      <c r="E50" s="78">
        <v>13.72</v>
      </c>
      <c r="F50" s="837"/>
      <c r="J50" s="9" t="s">
        <v>322</v>
      </c>
      <c r="K50" s="9"/>
      <c r="L50" s="9"/>
      <c r="M50" s="24">
        <f>M43+M45-M47-M49</f>
        <v>38.324999999999996</v>
      </c>
      <c r="N50" s="24">
        <f t="shared" ref="N50:V50" si="39">N43+N45-N47-N49</f>
        <v>47.403950000000002</v>
      </c>
      <c r="O50" s="24">
        <f t="shared" si="39"/>
        <v>54.549454499999989</v>
      </c>
      <c r="P50" s="24">
        <f t="shared" si="39"/>
        <v>62.772370594999913</v>
      </c>
      <c r="Q50" s="24">
        <f t="shared" si="39"/>
        <v>72.235203771449989</v>
      </c>
      <c r="R50" s="24">
        <f t="shared" si="39"/>
        <v>83.124978338319451</v>
      </c>
      <c r="S50" s="24">
        <f t="shared" si="39"/>
        <v>95.656938130403688</v>
      </c>
      <c r="T50" s="24">
        <f t="shared" si="39"/>
        <v>110.07880597791447</v>
      </c>
      <c r="U50" s="24">
        <f t="shared" si="39"/>
        <v>126.67568634302367</v>
      </c>
      <c r="V50" s="24">
        <f t="shared" si="39"/>
        <v>145.77570827784689</v>
      </c>
    </row>
    <row r="51" spans="4:34">
      <c r="D51" s="18" t="s">
        <v>323</v>
      </c>
      <c r="E51" s="86">
        <f>(E49-E50)/E50</f>
        <v>-3.4718774214488067E-2</v>
      </c>
      <c r="F51" s="837"/>
      <c r="J51" t="s">
        <v>349</v>
      </c>
      <c r="M51" s="22">
        <f>M50/((1+$E$8)^M4)</f>
        <v>34.809264305177109</v>
      </c>
      <c r="N51" s="22">
        <f t="shared" ref="N51:V51" si="40">N50/((1+$E$8)^N4)</f>
        <v>39.105684618310008</v>
      </c>
      <c r="O51" s="22">
        <f t="shared" si="40"/>
        <v>40.872241430756866</v>
      </c>
      <c r="P51" s="22">
        <f t="shared" si="40"/>
        <v>42.718820618389728</v>
      </c>
      <c r="Q51" s="22">
        <f t="shared" si="40"/>
        <v>44.649058694331423</v>
      </c>
      <c r="R51" s="22">
        <f t="shared" si="40"/>
        <v>46.666758040084176</v>
      </c>
      <c r="S51" s="22">
        <f t="shared" si="40"/>
        <v>48.775894503212236</v>
      </c>
      <c r="T51" s="22">
        <f t="shared" si="40"/>
        <v>50.980625344717978</v>
      </c>
      <c r="U51" s="22">
        <f t="shared" si="40"/>
        <v>53.285297552294907</v>
      </c>
      <c r="V51" s="22">
        <f t="shared" si="40"/>
        <v>55.694456536394071</v>
      </c>
    </row>
    <row r="54" spans="4:34">
      <c r="D54" s="258" t="s">
        <v>283</v>
      </c>
      <c r="E54" s="259"/>
      <c r="F54" s="259"/>
      <c r="G54" s="259"/>
      <c r="H54" s="259"/>
      <c r="I54" s="260"/>
      <c r="J54" s="261"/>
      <c r="K54" s="262"/>
    </row>
    <row r="55" spans="4:34" ht="23">
      <c r="D55" s="253" t="s">
        <v>327</v>
      </c>
      <c r="E55" s="254"/>
      <c r="F55" s="254"/>
      <c r="G55" s="254"/>
      <c r="H55" s="254"/>
      <c r="I55" s="254"/>
      <c r="J55" s="254"/>
      <c r="K55" s="255"/>
      <c r="Z55" s="115" t="s">
        <v>350</v>
      </c>
    </row>
    <row r="56" spans="4:34" ht="22" customHeight="1">
      <c r="D56" s="824" t="s">
        <v>627</v>
      </c>
      <c r="E56" s="825"/>
      <c r="F56" s="825"/>
      <c r="G56" s="825"/>
      <c r="H56" s="825"/>
      <c r="I56" s="825"/>
      <c r="J56" s="825"/>
      <c r="K56" s="826"/>
      <c r="Z56" s="836" t="s">
        <v>325</v>
      </c>
      <c r="AA56" s="823" t="s">
        <v>221</v>
      </c>
      <c r="AB56" s="823"/>
      <c r="AC56" s="823"/>
      <c r="AD56" s="823"/>
      <c r="AE56" s="823"/>
      <c r="AF56" s="823"/>
      <c r="AG56" s="823"/>
      <c r="AH56" s="823"/>
    </row>
    <row r="57" spans="4:34">
      <c r="D57" s="824"/>
      <c r="E57" s="825"/>
      <c r="F57" s="825"/>
      <c r="G57" s="825"/>
      <c r="H57" s="825"/>
      <c r="I57" s="825"/>
      <c r="J57" s="825"/>
      <c r="K57" s="826"/>
      <c r="Z57" s="836"/>
      <c r="AB57" s="28">
        <v>0.32</v>
      </c>
      <c r="AC57" s="28">
        <v>0.35</v>
      </c>
      <c r="AD57" s="28">
        <v>0.38</v>
      </c>
      <c r="AE57" s="28">
        <v>0.4</v>
      </c>
      <c r="AF57" s="28">
        <v>0.42</v>
      </c>
      <c r="AG57" s="28">
        <v>0.45</v>
      </c>
      <c r="AH57" s="28">
        <v>0.5</v>
      </c>
    </row>
    <row r="58" spans="4:34">
      <c r="D58" s="824"/>
      <c r="E58" s="825"/>
      <c r="F58" s="825"/>
      <c r="G58" s="825"/>
      <c r="H58" s="825"/>
      <c r="I58" s="825"/>
      <c r="J58" s="825"/>
      <c r="K58" s="826"/>
      <c r="Z58" s="836"/>
      <c r="AA58" s="28">
        <v>0.18</v>
      </c>
      <c r="AB58" s="116">
        <v>23.13</v>
      </c>
      <c r="AC58" s="117">
        <v>30.69</v>
      </c>
      <c r="AD58" s="117">
        <v>38.25</v>
      </c>
      <c r="AE58" s="117">
        <v>42.81</v>
      </c>
      <c r="AF58" s="117">
        <v>47.37</v>
      </c>
      <c r="AG58" s="117">
        <v>54.21</v>
      </c>
      <c r="AH58" s="118">
        <v>65.61</v>
      </c>
    </row>
    <row r="59" spans="4:34">
      <c r="D59" s="827"/>
      <c r="E59" s="828"/>
      <c r="F59" s="828"/>
      <c r="G59" s="828"/>
      <c r="H59" s="828"/>
      <c r="I59" s="828"/>
      <c r="J59" s="828"/>
      <c r="K59" s="829"/>
      <c r="Z59" s="836"/>
      <c r="AA59" s="28">
        <v>0.2</v>
      </c>
      <c r="AB59" s="119">
        <v>18.079999999999998</v>
      </c>
      <c r="AC59" s="124">
        <v>25.65</v>
      </c>
      <c r="AD59" s="124">
        <v>33.21</v>
      </c>
      <c r="AE59" s="124">
        <v>38.25</v>
      </c>
      <c r="AF59" s="124">
        <v>42.81</v>
      </c>
      <c r="AG59" s="124">
        <v>49.65</v>
      </c>
      <c r="AH59" s="120">
        <v>61.05</v>
      </c>
    </row>
    <row r="60" spans="4:34">
      <c r="D60" s="256" t="s">
        <v>192</v>
      </c>
      <c r="E60" s="250"/>
      <c r="F60" s="250"/>
      <c r="G60" s="250"/>
      <c r="H60" s="250"/>
      <c r="I60" s="250"/>
      <c r="J60" s="251"/>
      <c r="K60" s="252"/>
      <c r="Z60" s="836"/>
      <c r="AA60" s="28">
        <v>0.22</v>
      </c>
      <c r="AB60" s="119">
        <v>13.04</v>
      </c>
      <c r="AC60" s="124">
        <v>20.61</v>
      </c>
      <c r="AD60" s="125">
        <v>28.17</v>
      </c>
      <c r="AE60" s="125">
        <v>33.21</v>
      </c>
      <c r="AF60" s="125">
        <v>38.25</v>
      </c>
      <c r="AG60" s="124">
        <v>45.09</v>
      </c>
      <c r="AH60" s="120">
        <v>56.49</v>
      </c>
    </row>
    <row r="61" spans="4:34">
      <c r="D61" s="814" t="s">
        <v>628</v>
      </c>
      <c r="E61" s="815"/>
      <c r="F61" s="815"/>
      <c r="G61" s="815"/>
      <c r="H61" s="815"/>
      <c r="I61" s="815"/>
      <c r="J61" s="815"/>
      <c r="K61" s="816"/>
      <c r="Z61" s="836"/>
      <c r="AA61" s="28">
        <v>0.25</v>
      </c>
      <c r="AB61" s="119">
        <v>5.48</v>
      </c>
      <c r="AC61" s="124">
        <v>13.04</v>
      </c>
      <c r="AD61" s="125">
        <v>20.61</v>
      </c>
      <c r="AE61" s="126">
        <v>25.65</v>
      </c>
      <c r="AF61" s="125">
        <v>30.69</v>
      </c>
      <c r="AG61" s="124">
        <v>38.25</v>
      </c>
      <c r="AH61" s="120">
        <v>49.65</v>
      </c>
    </row>
    <row r="62" spans="4:34">
      <c r="D62" s="814"/>
      <c r="E62" s="815"/>
      <c r="F62" s="815"/>
      <c r="G62" s="815"/>
      <c r="H62" s="815"/>
      <c r="I62" s="815"/>
      <c r="J62" s="815"/>
      <c r="K62" s="816"/>
      <c r="Z62" s="836"/>
      <c r="AA62" s="28">
        <v>0.28000000000000003</v>
      </c>
      <c r="AB62" s="119">
        <v>-2.08</v>
      </c>
      <c r="AC62" s="124">
        <v>5.48</v>
      </c>
      <c r="AD62" s="125">
        <v>13.04</v>
      </c>
      <c r="AE62" s="125">
        <v>18.079999999999998</v>
      </c>
      <c r="AF62" s="125">
        <v>23.13</v>
      </c>
      <c r="AG62" s="124">
        <v>30.69</v>
      </c>
      <c r="AH62" s="120">
        <v>42.81</v>
      </c>
    </row>
    <row r="63" spans="4:34">
      <c r="D63" s="814"/>
      <c r="E63" s="815"/>
      <c r="F63" s="815"/>
      <c r="G63" s="815"/>
      <c r="H63" s="815"/>
      <c r="I63" s="815"/>
      <c r="J63" s="815"/>
      <c r="K63" s="816"/>
      <c r="Z63" s="836"/>
      <c r="AA63" s="28">
        <v>0.3</v>
      </c>
      <c r="AB63" s="119">
        <v>-7.12</v>
      </c>
      <c r="AC63" s="124">
        <v>0.44</v>
      </c>
      <c r="AD63" s="124">
        <v>8</v>
      </c>
      <c r="AE63" s="124">
        <v>13.04</v>
      </c>
      <c r="AF63" s="124">
        <v>18.079999999999998</v>
      </c>
      <c r="AG63" s="124">
        <v>25.65</v>
      </c>
      <c r="AH63" s="120">
        <v>38.25</v>
      </c>
    </row>
    <row r="64" spans="4:34">
      <c r="D64" s="814"/>
      <c r="E64" s="815"/>
      <c r="F64" s="815"/>
      <c r="G64" s="815"/>
      <c r="H64" s="815"/>
      <c r="I64" s="815"/>
      <c r="J64" s="815"/>
      <c r="K64" s="816"/>
      <c r="Z64" s="836"/>
      <c r="AA64" s="28">
        <v>0.35</v>
      </c>
      <c r="AB64" s="121">
        <v>-19.72</v>
      </c>
      <c r="AC64" s="122">
        <v>-12.16</v>
      </c>
      <c r="AD64" s="122">
        <v>-4.5999999999999996</v>
      </c>
      <c r="AE64" s="122">
        <v>0.44</v>
      </c>
      <c r="AF64" s="122">
        <v>5.48</v>
      </c>
      <c r="AG64" s="122">
        <v>13.04</v>
      </c>
      <c r="AH64" s="123">
        <v>25.65</v>
      </c>
    </row>
    <row r="65" spans="4:34" ht="16" customHeight="1">
      <c r="D65" s="817"/>
      <c r="E65" s="818"/>
      <c r="F65" s="818"/>
      <c r="G65" s="818"/>
      <c r="H65" s="818"/>
      <c r="I65" s="818"/>
      <c r="J65" s="818"/>
      <c r="K65" s="819"/>
      <c r="M65" s="52"/>
    </row>
    <row r="66" spans="4:34" ht="23" customHeight="1">
      <c r="D66" s="256" t="s">
        <v>328</v>
      </c>
      <c r="E66" s="250"/>
      <c r="F66" s="250"/>
      <c r="G66" s="250"/>
      <c r="H66" s="250"/>
      <c r="I66" s="250"/>
      <c r="J66" s="251"/>
      <c r="K66" s="252"/>
      <c r="L66" s="113"/>
      <c r="M66" s="113"/>
      <c r="N66" s="113"/>
      <c r="O66" s="113"/>
      <c r="P66" s="113"/>
      <c r="Q66" s="113"/>
      <c r="R66" s="113"/>
      <c r="S66" s="113"/>
    </row>
    <row r="67" spans="4:34">
      <c r="D67" s="814" t="s">
        <v>632</v>
      </c>
      <c r="E67" s="815"/>
      <c r="F67" s="815"/>
      <c r="G67" s="815"/>
      <c r="H67" s="815"/>
      <c r="I67" s="815"/>
      <c r="J67" s="815"/>
      <c r="K67" s="816"/>
      <c r="L67" s="114"/>
    </row>
    <row r="68" spans="4:34" ht="23">
      <c r="D68" s="814"/>
      <c r="E68" s="815"/>
      <c r="F68" s="815"/>
      <c r="G68" s="815"/>
      <c r="H68" s="815"/>
      <c r="I68" s="815"/>
      <c r="J68" s="815"/>
      <c r="K68" s="816"/>
      <c r="L68" s="114"/>
      <c r="Z68" s="115" t="s">
        <v>326</v>
      </c>
    </row>
    <row r="69" spans="4:34">
      <c r="D69" s="814"/>
      <c r="E69" s="815"/>
      <c r="F69" s="815"/>
      <c r="G69" s="815"/>
      <c r="H69" s="815"/>
      <c r="I69" s="815"/>
      <c r="J69" s="815"/>
      <c r="K69" s="816"/>
      <c r="L69" s="114"/>
      <c r="Z69" s="836" t="s">
        <v>325</v>
      </c>
      <c r="AA69" s="823" t="s">
        <v>221</v>
      </c>
      <c r="AB69" s="823"/>
      <c r="AC69" s="823"/>
      <c r="AD69" s="823"/>
      <c r="AE69" s="823"/>
      <c r="AF69" s="823"/>
      <c r="AG69" s="823"/>
      <c r="AH69" s="823"/>
    </row>
    <row r="70" spans="4:34">
      <c r="D70" s="814"/>
      <c r="E70" s="815"/>
      <c r="F70" s="815"/>
      <c r="G70" s="815"/>
      <c r="H70" s="815"/>
      <c r="I70" s="815"/>
      <c r="J70" s="815"/>
      <c r="K70" s="816"/>
      <c r="L70" s="114"/>
      <c r="Z70" s="836"/>
      <c r="AB70" s="28">
        <v>0.32</v>
      </c>
      <c r="AC70" s="28">
        <v>0.35</v>
      </c>
      <c r="AD70" s="28">
        <v>0.38</v>
      </c>
      <c r="AE70" s="28">
        <v>0.4</v>
      </c>
      <c r="AF70" s="28">
        <v>0.42</v>
      </c>
      <c r="AG70" s="28">
        <v>0.45</v>
      </c>
      <c r="AH70" s="28">
        <v>0.5</v>
      </c>
    </row>
    <row r="71" spans="4:34">
      <c r="D71" s="817"/>
      <c r="E71" s="818"/>
      <c r="F71" s="818"/>
      <c r="G71" s="818"/>
      <c r="H71" s="818"/>
      <c r="I71" s="818"/>
      <c r="J71" s="818"/>
      <c r="K71" s="819"/>
      <c r="L71" s="114"/>
      <c r="Z71" s="836"/>
      <c r="AA71" s="28">
        <v>0.18</v>
      </c>
      <c r="AB71" s="116">
        <v>23.54</v>
      </c>
      <c r="AC71" s="117">
        <v>31.45</v>
      </c>
      <c r="AD71" s="117">
        <v>39.369999999999997</v>
      </c>
      <c r="AE71" s="117">
        <v>44.15</v>
      </c>
      <c r="AF71" s="117">
        <v>48.93</v>
      </c>
      <c r="AG71" s="117">
        <v>56.09</v>
      </c>
      <c r="AH71" s="118">
        <v>68.03</v>
      </c>
    </row>
    <row r="72" spans="4:34">
      <c r="D72" s="256" t="s">
        <v>329</v>
      </c>
      <c r="E72" s="250"/>
      <c r="F72" s="250"/>
      <c r="G72" s="250"/>
      <c r="H72" s="250"/>
      <c r="I72" s="250"/>
      <c r="J72" s="251"/>
      <c r="K72" s="252"/>
      <c r="L72" s="114"/>
      <c r="Z72" s="836"/>
      <c r="AA72" s="28">
        <v>0.2</v>
      </c>
      <c r="AB72" s="119">
        <v>18.260000000000002</v>
      </c>
      <c r="AC72" s="124">
        <v>26.17</v>
      </c>
      <c r="AD72" s="124">
        <v>34.090000000000003</v>
      </c>
      <c r="AE72" s="124">
        <v>39.369999999999997</v>
      </c>
      <c r="AF72" s="124">
        <v>44.15</v>
      </c>
      <c r="AG72" s="124">
        <v>51.32</v>
      </c>
      <c r="AH72" s="120">
        <v>63.26</v>
      </c>
    </row>
    <row r="73" spans="4:34">
      <c r="D73" s="814" t="s">
        <v>631</v>
      </c>
      <c r="E73" s="815"/>
      <c r="F73" s="815"/>
      <c r="G73" s="815"/>
      <c r="H73" s="815"/>
      <c r="I73" s="815"/>
      <c r="J73" s="815"/>
      <c r="K73" s="816"/>
      <c r="L73" s="114"/>
      <c r="Z73" s="836"/>
      <c r="AA73" s="28">
        <v>0.22</v>
      </c>
      <c r="AB73" s="119">
        <v>12.98</v>
      </c>
      <c r="AC73" s="124">
        <v>20.9</v>
      </c>
      <c r="AD73" s="125">
        <v>28.81</v>
      </c>
      <c r="AE73" s="125">
        <v>34.090000000000003</v>
      </c>
      <c r="AF73" s="125">
        <v>39.369999999999997</v>
      </c>
      <c r="AG73" s="124">
        <v>46.54</v>
      </c>
      <c r="AH73" s="120">
        <v>58.48</v>
      </c>
    </row>
    <row r="74" spans="4:34">
      <c r="D74" s="814"/>
      <c r="E74" s="815"/>
      <c r="F74" s="815"/>
      <c r="G74" s="815"/>
      <c r="H74" s="815"/>
      <c r="I74" s="815"/>
      <c r="J74" s="815"/>
      <c r="K74" s="816"/>
      <c r="Z74" s="836"/>
      <c r="AA74" s="28">
        <v>0.25</v>
      </c>
      <c r="AB74" s="119">
        <v>5.0599999999999996</v>
      </c>
      <c r="AC74" s="124">
        <v>12.98</v>
      </c>
      <c r="AD74" s="125">
        <v>20.9</v>
      </c>
      <c r="AE74" s="126">
        <v>26.17</v>
      </c>
      <c r="AF74" s="125">
        <v>31.45</v>
      </c>
      <c r="AG74" s="124">
        <v>39.369999999999997</v>
      </c>
      <c r="AH74" s="120">
        <v>51.32</v>
      </c>
    </row>
    <row r="75" spans="4:34">
      <c r="D75" s="814"/>
      <c r="E75" s="815"/>
      <c r="F75" s="815"/>
      <c r="G75" s="815"/>
      <c r="H75" s="815"/>
      <c r="I75" s="815"/>
      <c r="J75" s="815"/>
      <c r="K75" s="816"/>
      <c r="Z75" s="836"/>
      <c r="AA75" s="28">
        <v>0.28000000000000003</v>
      </c>
      <c r="AB75" s="119">
        <v>-2.86</v>
      </c>
      <c r="AC75" s="124">
        <v>5.0599999999999996</v>
      </c>
      <c r="AD75" s="125">
        <v>12.98</v>
      </c>
      <c r="AE75" s="125">
        <v>18.260000000000002</v>
      </c>
      <c r="AF75" s="125">
        <v>23.45</v>
      </c>
      <c r="AG75" s="124">
        <v>31.45</v>
      </c>
      <c r="AH75" s="120">
        <v>44.15</v>
      </c>
    </row>
    <row r="76" spans="4:34">
      <c r="D76" s="814"/>
      <c r="E76" s="815"/>
      <c r="F76" s="815"/>
      <c r="G76" s="815"/>
      <c r="H76" s="815"/>
      <c r="I76" s="815"/>
      <c r="J76" s="815"/>
      <c r="K76" s="816"/>
      <c r="Z76" s="836"/>
      <c r="AA76" s="28">
        <v>0.3</v>
      </c>
      <c r="AB76" s="119">
        <v>-8.14</v>
      </c>
      <c r="AC76" s="124">
        <v>-0.22</v>
      </c>
      <c r="AD76" s="124">
        <v>7.7</v>
      </c>
      <c r="AE76" s="124">
        <v>12.98</v>
      </c>
      <c r="AF76" s="124">
        <v>18.260000000000002</v>
      </c>
      <c r="AG76" s="124">
        <v>26.17</v>
      </c>
      <c r="AH76" s="120">
        <v>39.369999999999997</v>
      </c>
    </row>
    <row r="77" spans="4:34">
      <c r="D77" s="817"/>
      <c r="E77" s="818"/>
      <c r="F77" s="818"/>
      <c r="G77" s="818"/>
      <c r="H77" s="818"/>
      <c r="I77" s="818"/>
      <c r="J77" s="818"/>
      <c r="K77" s="819"/>
      <c r="Z77" s="836"/>
      <c r="AA77" s="28">
        <v>0.35</v>
      </c>
      <c r="AB77" s="121">
        <v>-21.35</v>
      </c>
      <c r="AC77" s="122">
        <v>-12.16</v>
      </c>
      <c r="AD77" s="122">
        <v>-5.5</v>
      </c>
      <c r="AE77" s="122">
        <v>-0.22</v>
      </c>
      <c r="AF77" s="122">
        <v>5.0599999999999996</v>
      </c>
      <c r="AG77" s="122">
        <v>12.98</v>
      </c>
      <c r="AH77" s="123">
        <v>26.17</v>
      </c>
    </row>
    <row r="78" spans="4:34">
      <c r="D78" s="256" t="s">
        <v>330</v>
      </c>
      <c r="E78" s="250"/>
      <c r="F78" s="250"/>
      <c r="G78" s="250"/>
      <c r="H78" s="250"/>
      <c r="I78" s="250"/>
      <c r="J78" s="251"/>
      <c r="K78" s="252"/>
    </row>
    <row r="79" spans="4:34">
      <c r="D79" s="814" t="s">
        <v>331</v>
      </c>
      <c r="E79" s="815"/>
      <c r="F79" s="815"/>
      <c r="G79" s="815"/>
      <c r="H79" s="815"/>
      <c r="I79" s="815"/>
      <c r="J79" s="815"/>
      <c r="K79" s="816"/>
    </row>
    <row r="80" spans="4:34">
      <c r="D80" s="814"/>
      <c r="E80" s="815"/>
      <c r="F80" s="815"/>
      <c r="G80" s="815"/>
      <c r="H80" s="815"/>
      <c r="I80" s="815"/>
      <c r="J80" s="815"/>
      <c r="K80" s="816"/>
    </row>
    <row r="81" spans="4:11">
      <c r="D81" s="814"/>
      <c r="E81" s="815"/>
      <c r="F81" s="815"/>
      <c r="G81" s="815"/>
      <c r="H81" s="815"/>
      <c r="I81" s="815"/>
      <c r="J81" s="815"/>
      <c r="K81" s="816"/>
    </row>
    <row r="82" spans="4:11">
      <c r="D82" s="814"/>
      <c r="E82" s="815"/>
      <c r="F82" s="815"/>
      <c r="G82" s="815"/>
      <c r="H82" s="815"/>
      <c r="I82" s="815"/>
      <c r="J82" s="815"/>
      <c r="K82" s="816"/>
    </row>
    <row r="83" spans="4:11">
      <c r="D83" s="817"/>
      <c r="E83" s="818"/>
      <c r="F83" s="818"/>
      <c r="G83" s="818"/>
      <c r="H83" s="818"/>
      <c r="I83" s="818"/>
      <c r="J83" s="818"/>
      <c r="K83" s="819"/>
    </row>
    <row r="84" spans="4:11">
      <c r="D84" s="257" t="s">
        <v>332</v>
      </c>
      <c r="E84" s="250"/>
      <c r="F84" s="250"/>
      <c r="G84" s="250"/>
      <c r="H84" s="250"/>
      <c r="I84" s="250"/>
      <c r="J84" s="251"/>
      <c r="K84" s="252"/>
    </row>
    <row r="85" spans="4:11">
      <c r="D85" s="814" t="s">
        <v>333</v>
      </c>
      <c r="E85" s="815"/>
      <c r="F85" s="815"/>
      <c r="G85" s="815"/>
      <c r="H85" s="815"/>
      <c r="I85" s="815"/>
      <c r="J85" s="815"/>
      <c r="K85" s="816"/>
    </row>
    <row r="86" spans="4:11">
      <c r="D86" s="814"/>
      <c r="E86" s="815"/>
      <c r="F86" s="815"/>
      <c r="G86" s="815"/>
      <c r="H86" s="815"/>
      <c r="I86" s="815"/>
      <c r="J86" s="815"/>
      <c r="K86" s="816"/>
    </row>
    <row r="87" spans="4:11">
      <c r="D87" s="814"/>
      <c r="E87" s="815"/>
      <c r="F87" s="815"/>
      <c r="G87" s="815"/>
      <c r="H87" s="815"/>
      <c r="I87" s="815"/>
      <c r="J87" s="815"/>
      <c r="K87" s="816"/>
    </row>
    <row r="88" spans="4:11">
      <c r="D88" s="814"/>
      <c r="E88" s="815"/>
      <c r="F88" s="815"/>
      <c r="G88" s="815"/>
      <c r="H88" s="815"/>
      <c r="I88" s="815"/>
      <c r="J88" s="815"/>
      <c r="K88" s="816"/>
    </row>
    <row r="89" spans="4:11">
      <c r="D89" s="817"/>
      <c r="E89" s="818"/>
      <c r="F89" s="818"/>
      <c r="G89" s="818"/>
      <c r="H89" s="818"/>
      <c r="I89" s="818"/>
      <c r="J89" s="818"/>
      <c r="K89" s="819"/>
    </row>
    <row r="90" spans="4:11">
      <c r="D90" s="256" t="s">
        <v>334</v>
      </c>
      <c r="E90" s="250"/>
      <c r="F90" s="250"/>
      <c r="G90" s="250"/>
      <c r="H90" s="250"/>
      <c r="I90" s="250"/>
      <c r="J90" s="251"/>
      <c r="K90" s="252"/>
    </row>
    <row r="91" spans="4:11">
      <c r="D91" s="814" t="s">
        <v>335</v>
      </c>
      <c r="E91" s="815"/>
      <c r="F91" s="815"/>
      <c r="G91" s="815"/>
      <c r="H91" s="815"/>
      <c r="I91" s="815"/>
      <c r="J91" s="815"/>
      <c r="K91" s="816"/>
    </row>
    <row r="92" spans="4:11">
      <c r="D92" s="814"/>
      <c r="E92" s="815"/>
      <c r="F92" s="815"/>
      <c r="G92" s="815"/>
      <c r="H92" s="815"/>
      <c r="I92" s="815"/>
      <c r="J92" s="815"/>
      <c r="K92" s="816"/>
    </row>
    <row r="93" spans="4:11">
      <c r="D93" s="814"/>
      <c r="E93" s="815"/>
      <c r="F93" s="815"/>
      <c r="G93" s="815"/>
      <c r="H93" s="815"/>
      <c r="I93" s="815"/>
      <c r="J93" s="815"/>
      <c r="K93" s="816"/>
    </row>
    <row r="94" spans="4:11">
      <c r="D94" s="814"/>
      <c r="E94" s="815"/>
      <c r="F94" s="815"/>
      <c r="G94" s="815"/>
      <c r="H94" s="815"/>
      <c r="I94" s="815"/>
      <c r="J94" s="815"/>
      <c r="K94" s="816"/>
    </row>
    <row r="95" spans="4:11">
      <c r="D95" s="817"/>
      <c r="E95" s="818"/>
      <c r="F95" s="818"/>
      <c r="G95" s="818"/>
      <c r="H95" s="818"/>
      <c r="I95" s="818"/>
      <c r="J95" s="818"/>
      <c r="K95" s="819"/>
    </row>
    <row r="96" spans="4:11">
      <c r="D96" s="256" t="s">
        <v>214</v>
      </c>
      <c r="E96" s="250"/>
      <c r="F96" s="250"/>
      <c r="G96" s="250"/>
      <c r="H96" s="250"/>
      <c r="I96" s="250"/>
      <c r="J96" s="251"/>
      <c r="K96" s="252"/>
    </row>
    <row r="97" spans="4:11">
      <c r="D97" s="814" t="s">
        <v>336</v>
      </c>
      <c r="E97" s="815"/>
      <c r="F97" s="815"/>
      <c r="G97" s="815"/>
      <c r="H97" s="815"/>
      <c r="I97" s="815"/>
      <c r="J97" s="815"/>
      <c r="K97" s="816"/>
    </row>
    <row r="98" spans="4:11">
      <c r="D98" s="814"/>
      <c r="E98" s="815"/>
      <c r="F98" s="815"/>
      <c r="G98" s="815"/>
      <c r="H98" s="815"/>
      <c r="I98" s="815"/>
      <c r="J98" s="815"/>
      <c r="K98" s="816"/>
    </row>
    <row r="99" spans="4:11">
      <c r="D99" s="814"/>
      <c r="E99" s="815"/>
      <c r="F99" s="815"/>
      <c r="G99" s="815"/>
      <c r="H99" s="815"/>
      <c r="I99" s="815"/>
      <c r="J99" s="815"/>
      <c r="K99" s="816"/>
    </row>
    <row r="100" spans="4:11" ht="16" thickBot="1">
      <c r="D100" s="820"/>
      <c r="E100" s="821"/>
      <c r="F100" s="821"/>
      <c r="G100" s="821"/>
      <c r="H100" s="821"/>
      <c r="I100" s="821"/>
      <c r="J100" s="821"/>
      <c r="K100" s="822"/>
    </row>
  </sheetData>
  <mergeCells count="17">
    <mergeCell ref="D5:E5"/>
    <mergeCell ref="M3:V3"/>
    <mergeCell ref="J2:V2"/>
    <mergeCell ref="F26:F36"/>
    <mergeCell ref="Z69:Z77"/>
    <mergeCell ref="D73:K77"/>
    <mergeCell ref="F41:F51"/>
    <mergeCell ref="Z56:Z64"/>
    <mergeCell ref="D91:K95"/>
    <mergeCell ref="D97:K100"/>
    <mergeCell ref="AA69:AH69"/>
    <mergeCell ref="D67:K71"/>
    <mergeCell ref="AA56:AH56"/>
    <mergeCell ref="D56:K59"/>
    <mergeCell ref="D61:K65"/>
    <mergeCell ref="D79:K83"/>
    <mergeCell ref="D85:K8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31094-24A9-A940-9DC3-1F4601C10095}">
  <dimension ref="A1:BT154"/>
  <sheetViews>
    <sheetView showGridLines="0" zoomScale="85" zoomScaleNormal="100" zoomScaleSheetLayoutView="100" workbookViewId="0">
      <pane xSplit="2" ySplit="7" topLeftCell="N19" activePane="bottomRight" state="frozen"/>
      <selection pane="topRight" activeCell="E1" sqref="E1"/>
      <selection pane="bottomLeft" activeCell="A5" sqref="A5"/>
      <selection pane="bottomRight" activeCell="T93" sqref="T93"/>
    </sheetView>
  </sheetViews>
  <sheetFormatPr baseColWidth="10" defaultColWidth="8.83203125" defaultRowHeight="14"/>
  <cols>
    <col min="1" max="1" width="3.5" style="163" customWidth="1"/>
    <col min="2" max="2" width="27.1640625" style="163" customWidth="1"/>
    <col min="3" max="3" width="9.5" style="300" customWidth="1"/>
    <col min="4" max="4" width="9.33203125" style="163" bestFit="1" customWidth="1"/>
    <col min="5" max="5" width="9.83203125" style="163" bestFit="1" customWidth="1"/>
    <col min="6" max="6" width="9.5" style="163" bestFit="1" customWidth="1"/>
    <col min="7" max="7" width="9.33203125" style="163" bestFit="1" customWidth="1"/>
    <col min="8" max="8" width="10.83203125" style="163" customWidth="1"/>
    <col min="9" max="9" width="9.33203125" style="163" bestFit="1" customWidth="1"/>
    <col min="10" max="10" width="12.33203125" style="163" customWidth="1"/>
    <col min="11" max="11" width="9.83203125" style="163" customWidth="1"/>
    <col min="12" max="13" width="9.33203125" style="163" bestFit="1" customWidth="1"/>
    <col min="14" max="14" width="8.83203125" style="163"/>
    <col min="15" max="15" width="10.5" style="163" bestFit="1" customWidth="1"/>
    <col min="16" max="17" width="10.6640625" style="163" bestFit="1" customWidth="1"/>
    <col min="18" max="19" width="11.83203125" style="163" bestFit="1" customWidth="1"/>
    <col min="20" max="20" width="15.6640625" style="266" bestFit="1" customWidth="1"/>
    <col min="21" max="21" width="9.5" style="163" customWidth="1"/>
    <col min="22" max="22" width="11.33203125" style="163" bestFit="1" customWidth="1"/>
    <col min="23" max="24" width="9.33203125" style="163" bestFit="1" customWidth="1"/>
    <col min="25" max="26" width="9.6640625" style="163" bestFit="1" customWidth="1"/>
    <col min="27" max="27" width="10" style="163" bestFit="1" customWidth="1"/>
    <col min="28" max="28" width="10" style="163" customWidth="1"/>
    <col min="29" max="30" width="10" style="163" bestFit="1" customWidth="1"/>
    <col min="31" max="16384" width="8.83203125" style="163"/>
  </cols>
  <sheetData>
    <row r="1" spans="1:72">
      <c r="B1" s="163" t="s">
        <v>171</v>
      </c>
      <c r="C1" s="265">
        <v>45747</v>
      </c>
    </row>
    <row r="5" spans="1:72">
      <c r="B5" s="616" t="s">
        <v>172</v>
      </c>
      <c r="C5" s="613"/>
      <c r="D5" s="614"/>
      <c r="E5" s="614"/>
      <c r="F5" s="614"/>
      <c r="G5" s="614"/>
      <c r="H5" s="614"/>
      <c r="I5" s="614"/>
      <c r="J5" s="614"/>
      <c r="K5" s="614"/>
      <c r="L5" s="614"/>
      <c r="M5" s="614"/>
      <c r="N5" s="614"/>
      <c r="O5" s="614"/>
      <c r="P5" s="614"/>
      <c r="Q5" s="614"/>
      <c r="R5" s="614"/>
      <c r="S5" s="614"/>
      <c r="T5" s="615"/>
      <c r="U5" s="614"/>
      <c r="V5" s="614"/>
      <c r="W5" s="614"/>
      <c r="X5" s="614"/>
      <c r="Y5" s="614"/>
      <c r="Z5" s="614"/>
      <c r="AA5" s="614"/>
      <c r="AB5" s="614"/>
      <c r="AC5" s="614"/>
      <c r="AD5" s="614"/>
      <c r="AE5" s="269"/>
      <c r="AF5" s="269"/>
      <c r="AG5" s="269"/>
      <c r="AH5" s="269"/>
    </row>
    <row r="6" spans="1:72" ht="17" thickBot="1">
      <c r="B6" s="267" t="s">
        <v>173</v>
      </c>
      <c r="C6" s="268"/>
      <c r="D6" s="269"/>
      <c r="E6" s="269"/>
      <c r="F6" s="269"/>
      <c r="G6" s="269"/>
      <c r="H6" s="269"/>
      <c r="I6" s="269"/>
      <c r="J6" s="269"/>
      <c r="K6" s="269"/>
      <c r="L6" s="269"/>
      <c r="M6" s="269"/>
      <c r="N6" s="269"/>
      <c r="O6" s="270" t="s">
        <v>174</v>
      </c>
      <c r="P6" s="270" t="s">
        <v>175</v>
      </c>
      <c r="Q6" s="270" t="s">
        <v>175</v>
      </c>
      <c r="R6" s="270" t="s">
        <v>175</v>
      </c>
      <c r="S6" s="270" t="s">
        <v>175</v>
      </c>
      <c r="T6" s="271"/>
      <c r="U6" s="874" t="s">
        <v>176</v>
      </c>
      <c r="V6" s="874"/>
      <c r="W6" s="874"/>
      <c r="X6" s="874"/>
      <c r="Y6" s="874"/>
      <c r="Z6" s="874"/>
      <c r="AA6" s="874"/>
      <c r="AB6" s="874"/>
      <c r="AC6" s="874"/>
      <c r="AD6" s="874"/>
      <c r="AE6" s="269"/>
      <c r="AF6" s="269"/>
      <c r="AG6" s="269"/>
      <c r="AH6" s="269"/>
    </row>
    <row r="7" spans="1:72" ht="16">
      <c r="B7" s="272"/>
      <c r="C7" s="273" t="s">
        <v>177</v>
      </c>
      <c r="D7" s="273" t="s">
        <v>178</v>
      </c>
      <c r="E7" s="273" t="s">
        <v>179</v>
      </c>
      <c r="F7" s="273" t="s">
        <v>180</v>
      </c>
      <c r="G7" s="273" t="s">
        <v>181</v>
      </c>
      <c r="H7" s="273" t="s">
        <v>182</v>
      </c>
      <c r="I7" s="273" t="s">
        <v>183</v>
      </c>
      <c r="J7" s="273" t="s">
        <v>184</v>
      </c>
      <c r="K7" s="273" t="s">
        <v>185</v>
      </c>
      <c r="L7" s="273" t="s">
        <v>186</v>
      </c>
      <c r="M7" s="273" t="s">
        <v>187</v>
      </c>
      <c r="N7" s="273"/>
      <c r="O7" s="270">
        <v>2020</v>
      </c>
      <c r="P7" s="273">
        <f>O7+1</f>
        <v>2021</v>
      </c>
      <c r="Q7" s="273">
        <f t="shared" ref="Q7:S7" si="0">P7+1</f>
        <v>2022</v>
      </c>
      <c r="R7" s="273">
        <f t="shared" si="0"/>
        <v>2023</v>
      </c>
      <c r="S7" s="273">
        <f t="shared" si="0"/>
        <v>2024</v>
      </c>
      <c r="U7" s="273">
        <v>2025</v>
      </c>
      <c r="V7" s="273">
        <f>U7+1</f>
        <v>2026</v>
      </c>
      <c r="W7" s="273">
        <f t="shared" ref="W7:AD7" si="1">V7+1</f>
        <v>2027</v>
      </c>
      <c r="X7" s="273">
        <f t="shared" si="1"/>
        <v>2028</v>
      </c>
      <c r="Y7" s="273">
        <f t="shared" si="1"/>
        <v>2029</v>
      </c>
      <c r="Z7" s="273">
        <f t="shared" si="1"/>
        <v>2030</v>
      </c>
      <c r="AA7" s="273">
        <f t="shared" si="1"/>
        <v>2031</v>
      </c>
      <c r="AB7" s="273">
        <f t="shared" si="1"/>
        <v>2032</v>
      </c>
      <c r="AC7" s="273">
        <f t="shared" si="1"/>
        <v>2033</v>
      </c>
      <c r="AD7" s="273">
        <f t="shared" si="1"/>
        <v>2034</v>
      </c>
      <c r="AE7" s="269"/>
      <c r="AF7" s="269"/>
      <c r="AG7" s="269"/>
      <c r="AH7" s="875" t="s">
        <v>606</v>
      </c>
      <c r="AI7" s="876"/>
      <c r="AJ7" s="876"/>
      <c r="AK7" s="876"/>
      <c r="AL7" s="876"/>
      <c r="AM7" s="877"/>
      <c r="AR7" s="163">
        <f t="shared" ref="AR7" si="2">AQ7+1</f>
        <v>1</v>
      </c>
    </row>
    <row r="8" spans="1:72">
      <c r="B8" s="214" t="s">
        <v>188</v>
      </c>
      <c r="C8" s="274">
        <v>73.56</v>
      </c>
      <c r="D8" s="274">
        <v>74.489999999999995</v>
      </c>
      <c r="E8" s="274">
        <v>74.489999999999995</v>
      </c>
      <c r="F8" s="274">
        <f>298.76-(C8+D8+E8)</f>
        <v>76.21999999999997</v>
      </c>
      <c r="G8" s="274">
        <v>78.73</v>
      </c>
      <c r="H8" s="274">
        <v>81.040000000000006</v>
      </c>
      <c r="I8" s="274">
        <v>80.88</v>
      </c>
      <c r="J8" s="274">
        <f>322-(G8+H8+I8)</f>
        <v>81.349999999999994</v>
      </c>
      <c r="K8" s="274">
        <v>83.31</v>
      </c>
      <c r="L8" s="274">
        <v>85.54</v>
      </c>
      <c r="M8" s="274">
        <v>88.06</v>
      </c>
      <c r="N8" s="274"/>
      <c r="O8" s="274">
        <v>78.8</v>
      </c>
      <c r="P8" s="274">
        <v>119.32</v>
      </c>
      <c r="Q8" s="274">
        <v>248.43</v>
      </c>
      <c r="R8" s="274">
        <f>SUM(C8:F8)</f>
        <v>298.76</v>
      </c>
      <c r="S8" s="274">
        <f>SUM(G8:J8)</f>
        <v>322</v>
      </c>
      <c r="U8" s="310">
        <f>S8*(1+U9)</f>
        <v>342.93</v>
      </c>
      <c r="V8" s="310">
        <f>U8*(1+V9)</f>
        <v>363.23145599999998</v>
      </c>
      <c r="W8" s="310">
        <f t="shared" ref="W8:AD8" si="3">V8*(1+W9)</f>
        <v>383.20918607999994</v>
      </c>
      <c r="X8" s="310">
        <f t="shared" si="3"/>
        <v>403.74919845388797</v>
      </c>
      <c r="Y8" s="310">
        <f t="shared" si="3"/>
        <v>424.01740821627317</v>
      </c>
      <c r="Z8" s="310">
        <f t="shared" si="3"/>
        <v>443.43740551257849</v>
      </c>
      <c r="AA8" s="310">
        <f t="shared" si="3"/>
        <v>461.17490173308164</v>
      </c>
      <c r="AB8" s="310">
        <f t="shared" si="3"/>
        <v>476.94708337235306</v>
      </c>
      <c r="AC8" s="310">
        <f t="shared" si="3"/>
        <v>491.25549587352367</v>
      </c>
      <c r="AD8" s="310">
        <f t="shared" si="3"/>
        <v>503.78251101829858</v>
      </c>
      <c r="AH8" s="857" t="s">
        <v>610</v>
      </c>
      <c r="AI8" s="858"/>
      <c r="AJ8" s="858"/>
      <c r="AK8" s="858"/>
      <c r="AL8" s="858"/>
      <c r="AM8" s="859"/>
    </row>
    <row r="9" spans="1:72">
      <c r="B9" s="275" t="s">
        <v>605</v>
      </c>
      <c r="C9" s="276"/>
      <c r="D9" s="276">
        <f>(D8-C8)/D8</f>
        <v>1.2484897301651129E-2</v>
      </c>
      <c r="E9" s="276">
        <f t="shared" ref="E9:M9" si="4">(E8-D8)/E8</f>
        <v>0</v>
      </c>
      <c r="F9" s="276">
        <f t="shared" si="4"/>
        <v>2.2697454736289376E-2</v>
      </c>
      <c r="G9" s="276">
        <f t="shared" si="4"/>
        <v>3.1881112663534023E-2</v>
      </c>
      <c r="H9" s="276">
        <f t="shared" si="4"/>
        <v>2.8504442250740402E-2</v>
      </c>
      <c r="I9" s="276">
        <f t="shared" si="4"/>
        <v>-1.9782393669635361E-3</v>
      </c>
      <c r="J9" s="276">
        <f t="shared" si="4"/>
        <v>5.7775046097111116E-3</v>
      </c>
      <c r="K9" s="276">
        <f t="shared" si="4"/>
        <v>2.3526587444484551E-2</v>
      </c>
      <c r="L9" s="276">
        <f t="shared" si="4"/>
        <v>2.6069675005845262E-2</v>
      </c>
      <c r="M9" s="276">
        <f t="shared" si="4"/>
        <v>2.8616852146263864E-2</v>
      </c>
      <c r="N9" s="276"/>
      <c r="O9" s="276"/>
      <c r="P9" s="276">
        <f t="shared" ref="P9:S11" si="5">(P8-O8)/P8</f>
        <v>0.33959101575595035</v>
      </c>
      <c r="Q9" s="276">
        <f t="shared" si="5"/>
        <v>0.51970373948395931</v>
      </c>
      <c r="R9" s="276">
        <f t="shared" si="5"/>
        <v>0.16846298031865037</v>
      </c>
      <c r="S9" s="276">
        <f t="shared" si="5"/>
        <v>7.2173913043478283E-2</v>
      </c>
      <c r="T9" s="276"/>
      <c r="U9" s="325">
        <v>6.5000000000000002E-2</v>
      </c>
      <c r="V9" s="325">
        <v>5.9200000000000003E-2</v>
      </c>
      <c r="W9" s="325">
        <v>5.5E-2</v>
      </c>
      <c r="X9" s="325">
        <v>5.3600000000000002E-2</v>
      </c>
      <c r="Y9" s="325">
        <v>5.0200000000000002E-2</v>
      </c>
      <c r="Z9" s="325">
        <v>4.58E-2</v>
      </c>
      <c r="AA9" s="325">
        <v>0.04</v>
      </c>
      <c r="AB9" s="325">
        <v>3.4200000000000001E-2</v>
      </c>
      <c r="AC9" s="325">
        <v>0.03</v>
      </c>
      <c r="AD9" s="325">
        <v>2.5499999999999998E-2</v>
      </c>
      <c r="AH9" s="845" t="s">
        <v>608</v>
      </c>
      <c r="AI9" s="825"/>
      <c r="AJ9" s="825"/>
      <c r="AK9" s="825"/>
      <c r="AL9" s="825"/>
      <c r="AM9" s="826"/>
    </row>
    <row r="10" spans="1:72">
      <c r="B10" s="214" t="s">
        <v>189</v>
      </c>
      <c r="C10" s="274">
        <v>91.52</v>
      </c>
      <c r="D10" s="274">
        <v>101.3</v>
      </c>
      <c r="E10" s="274">
        <v>107.16</v>
      </c>
      <c r="F10" s="274">
        <f>399.55-(C10+D10+E10)</f>
        <v>99.57</v>
      </c>
      <c r="G10" s="274">
        <v>120.97</v>
      </c>
      <c r="H10" s="274">
        <v>137.66999999999999</v>
      </c>
      <c r="I10" s="274">
        <v>147.83000000000001</v>
      </c>
      <c r="J10" s="274">
        <f>545.47-(G10+H10+I10)</f>
        <v>139</v>
      </c>
      <c r="K10" s="274">
        <v>174.05</v>
      </c>
      <c r="L10" s="274">
        <v>183.75</v>
      </c>
      <c r="M10" s="274">
        <v>181.66</v>
      </c>
      <c r="N10" s="274"/>
      <c r="O10" s="274">
        <v>28.08</v>
      </c>
      <c r="P10" s="274">
        <v>82.95</v>
      </c>
      <c r="Q10" s="274">
        <v>264.04000000000002</v>
      </c>
      <c r="R10" s="274">
        <f>SUM(C10:F10)</f>
        <v>399.55</v>
      </c>
      <c r="S10" s="274">
        <f>SUM(G10:J10)</f>
        <v>545.47</v>
      </c>
      <c r="U10" s="310">
        <f>S10*(1+U11)</f>
        <v>676.38279999999997</v>
      </c>
      <c r="V10" s="310">
        <f>U10*(1+V11)</f>
        <v>828.56893000000002</v>
      </c>
      <c r="W10" s="310">
        <f t="shared" ref="W10:AD10" si="6">V10*(1+W11)</f>
        <v>977.71133739999993</v>
      </c>
      <c r="X10" s="310">
        <f t="shared" si="6"/>
        <v>1143.9222647579998</v>
      </c>
      <c r="Y10" s="310">
        <f t="shared" si="6"/>
        <v>1326.6066504398523</v>
      </c>
      <c r="Z10" s="310">
        <f t="shared" si="6"/>
        <v>1517.9033294332792</v>
      </c>
      <c r="AA10" s="310">
        <f t="shared" si="6"/>
        <v>1725.5525048997517</v>
      </c>
      <c r="AB10" s="310">
        <f t="shared" si="6"/>
        <v>1934.6894684936017</v>
      </c>
      <c r="AC10" s="310">
        <f t="shared" si="6"/>
        <v>2144.990213718856</v>
      </c>
      <c r="AD10" s="310">
        <f t="shared" si="6"/>
        <v>2313.3719454957863</v>
      </c>
      <c r="AH10" s="845"/>
      <c r="AI10" s="825"/>
      <c r="AJ10" s="825"/>
      <c r="AK10" s="825"/>
      <c r="AL10" s="825"/>
      <c r="AM10" s="826"/>
    </row>
    <row r="11" spans="1:72">
      <c r="B11" s="275" t="s">
        <v>605</v>
      </c>
      <c r="C11" s="333"/>
      <c r="D11" s="333">
        <f t="shared" ref="D11:M11" si="7">(D10-C10)/D10</f>
        <v>9.654491609081936E-2</v>
      </c>
      <c r="E11" s="333">
        <f t="shared" si="7"/>
        <v>5.4684583799925343E-2</v>
      </c>
      <c r="F11" s="333">
        <f t="shared" si="7"/>
        <v>-7.6227779451642094E-2</v>
      </c>
      <c r="G11" s="333">
        <f t="shared" si="7"/>
        <v>0.17690336447052993</v>
      </c>
      <c r="H11" s="333">
        <f t="shared" si="7"/>
        <v>0.12130456889663681</v>
      </c>
      <c r="I11" s="333">
        <f t="shared" si="7"/>
        <v>6.8727592504904442E-2</v>
      </c>
      <c r="J11" s="333">
        <f t="shared" si="7"/>
        <v>-6.3525179856115194E-2</v>
      </c>
      <c r="K11" s="333">
        <f t="shared" si="7"/>
        <v>0.20137891410514225</v>
      </c>
      <c r="L11" s="333">
        <f t="shared" si="7"/>
        <v>5.278911564625844E-2</v>
      </c>
      <c r="M11" s="333">
        <f t="shared" si="7"/>
        <v>-1.1505009358141602E-2</v>
      </c>
      <c r="N11" s="333"/>
      <c r="O11" s="333"/>
      <c r="P11" s="333">
        <f t="shared" si="5"/>
        <v>0.66148282097649191</v>
      </c>
      <c r="Q11" s="333">
        <f t="shared" si="5"/>
        <v>0.68584305408271484</v>
      </c>
      <c r="R11" s="333">
        <f t="shared" si="5"/>
        <v>0.33915655112000997</v>
      </c>
      <c r="S11" s="333">
        <f t="shared" si="5"/>
        <v>0.26751242048141971</v>
      </c>
      <c r="U11" s="325">
        <v>0.24</v>
      </c>
      <c r="V11" s="325">
        <v>0.22500000000000001</v>
      </c>
      <c r="W11" s="325">
        <v>0.18</v>
      </c>
      <c r="X11" s="325">
        <v>0.17</v>
      </c>
      <c r="Y11" s="325">
        <v>0.15970000000000001</v>
      </c>
      <c r="Z11" s="325">
        <v>0.14419999999999999</v>
      </c>
      <c r="AA11" s="325">
        <v>0.1368</v>
      </c>
      <c r="AB11" s="325">
        <v>0.1212</v>
      </c>
      <c r="AC11" s="325">
        <v>0.1087</v>
      </c>
      <c r="AD11" s="325">
        <v>7.85E-2</v>
      </c>
      <c r="AH11" s="845"/>
      <c r="AI11" s="825"/>
      <c r="AJ11" s="825"/>
      <c r="AK11" s="825"/>
      <c r="AL11" s="825"/>
      <c r="AM11" s="826"/>
    </row>
    <row r="12" spans="1:72">
      <c r="B12" s="214" t="s">
        <v>190</v>
      </c>
      <c r="C12" s="274">
        <v>8.8000000000000007</v>
      </c>
      <c r="D12" s="274">
        <v>7.9</v>
      </c>
      <c r="E12" s="274">
        <v>7.05</v>
      </c>
      <c r="F12" s="274">
        <f>32.19-(C12+D12+E12)</f>
        <v>8.4399999999999942</v>
      </c>
      <c r="G12" s="274">
        <v>9.39</v>
      </c>
      <c r="H12" s="274">
        <v>11.56</v>
      </c>
      <c r="I12" s="274">
        <v>10.98</v>
      </c>
      <c r="J12" s="274">
        <f>41.8-(G12+H12+I12)</f>
        <v>9.8699999999999939</v>
      </c>
      <c r="K12" s="274">
        <v>8.7200000000000006</v>
      </c>
      <c r="L12" s="274">
        <v>7.9</v>
      </c>
      <c r="M12" s="274">
        <v>10.41</v>
      </c>
      <c r="N12" s="274"/>
      <c r="O12" s="274">
        <v>13.77</v>
      </c>
      <c r="P12" s="274">
        <v>19.45</v>
      </c>
      <c r="Q12" s="274">
        <v>35.9</v>
      </c>
      <c r="R12" s="274">
        <f>SUM(C12:F12)</f>
        <v>32.19</v>
      </c>
      <c r="S12" s="274">
        <f>SUM(G12:J12)</f>
        <v>41.8</v>
      </c>
      <c r="U12" s="310">
        <f>S12*(1+U13)</f>
        <v>48.069999999999993</v>
      </c>
      <c r="V12" s="310">
        <f>U12*(1+V13)</f>
        <v>54.165275999999992</v>
      </c>
      <c r="W12" s="310">
        <f t="shared" ref="W12:AD12" si="8">V12*(1+W13)</f>
        <v>60.085540666799986</v>
      </c>
      <c r="X12" s="310">
        <f t="shared" si="8"/>
        <v>65.042597771810989</v>
      </c>
      <c r="Y12" s="310">
        <f t="shared" si="8"/>
        <v>68.444325635276698</v>
      </c>
      <c r="Z12" s="310">
        <f t="shared" si="8"/>
        <v>71.442187098101826</v>
      </c>
      <c r="AA12" s="310">
        <f t="shared" si="8"/>
        <v>74.021250052343305</v>
      </c>
      <c r="AB12" s="310">
        <f t="shared" si="8"/>
        <v>76.190072678876973</v>
      </c>
      <c r="AC12" s="310">
        <f t="shared" si="8"/>
        <v>77.995777401366368</v>
      </c>
      <c r="AD12" s="310">
        <f t="shared" si="8"/>
        <v>79.282707728488916</v>
      </c>
      <c r="AH12" s="845"/>
      <c r="AI12" s="825"/>
      <c r="AJ12" s="825"/>
      <c r="AK12" s="825"/>
      <c r="AL12" s="825"/>
      <c r="AM12" s="826"/>
    </row>
    <row r="13" spans="1:72" s="279" customFormat="1" ht="15" thickBot="1">
      <c r="A13" s="163"/>
      <c r="B13" s="322" t="s">
        <v>605</v>
      </c>
      <c r="C13" s="334"/>
      <c r="D13" s="334">
        <f t="shared" ref="D13:M13" si="9">(D12-C12)/D12</f>
        <v>-0.11392405063291143</v>
      </c>
      <c r="E13" s="334">
        <f t="shared" si="9"/>
        <v>-0.1205673758865249</v>
      </c>
      <c r="F13" s="334">
        <f t="shared" si="9"/>
        <v>0.16469194312796154</v>
      </c>
      <c r="G13" s="334">
        <f t="shared" si="9"/>
        <v>0.10117145899893572</v>
      </c>
      <c r="H13" s="334">
        <f t="shared" si="9"/>
        <v>0.18771626297577854</v>
      </c>
      <c r="I13" s="334">
        <f t="shared" si="9"/>
        <v>-5.2823315118397093E-2</v>
      </c>
      <c r="J13" s="334">
        <f t="shared" si="9"/>
        <v>-0.11246200607902809</v>
      </c>
      <c r="K13" s="334">
        <f t="shared" si="9"/>
        <v>-0.13188073394495334</v>
      </c>
      <c r="L13" s="334">
        <f t="shared" si="9"/>
        <v>-0.10379746835443041</v>
      </c>
      <c r="M13" s="334">
        <f t="shared" si="9"/>
        <v>0.24111431316042264</v>
      </c>
      <c r="N13" s="335"/>
      <c r="O13" s="334"/>
      <c r="P13" s="334">
        <f t="shared" ref="P13:S13" si="10">(P12-O12)/P12</f>
        <v>0.29203084832904885</v>
      </c>
      <c r="Q13" s="334">
        <f t="shared" si="10"/>
        <v>0.45821727019498609</v>
      </c>
      <c r="R13" s="334">
        <f t="shared" si="10"/>
        <v>-0.1152531842187015</v>
      </c>
      <c r="S13" s="334">
        <f t="shared" si="10"/>
        <v>0.22990430622009569</v>
      </c>
      <c r="T13" s="281"/>
      <c r="U13" s="659">
        <v>0.15</v>
      </c>
      <c r="V13" s="659">
        <v>0.1268</v>
      </c>
      <c r="W13" s="659">
        <v>0.10929999999999999</v>
      </c>
      <c r="X13" s="659">
        <v>8.2500000000000004E-2</v>
      </c>
      <c r="Y13" s="659">
        <v>5.2299999999999999E-2</v>
      </c>
      <c r="Z13" s="659">
        <v>4.3799999999999999E-2</v>
      </c>
      <c r="AA13" s="659">
        <v>3.61E-2</v>
      </c>
      <c r="AB13" s="659">
        <v>2.93E-2</v>
      </c>
      <c r="AC13" s="659">
        <v>2.3699999999999999E-2</v>
      </c>
      <c r="AD13" s="659">
        <v>1.6500000000000001E-2</v>
      </c>
      <c r="AE13" s="163"/>
      <c r="AF13" s="163"/>
      <c r="AG13" s="163"/>
      <c r="AH13" s="845"/>
      <c r="AI13" s="825"/>
      <c r="AJ13" s="825"/>
      <c r="AK13" s="825"/>
      <c r="AL13" s="825"/>
      <c r="AM13" s="826"/>
      <c r="AN13" s="163"/>
      <c r="AO13" s="163"/>
      <c r="AP13" s="163"/>
      <c r="AQ13" s="163"/>
      <c r="AR13" s="163"/>
      <c r="AS13" s="163"/>
      <c r="AT13" s="163"/>
      <c r="AU13" s="163"/>
      <c r="AV13" s="163"/>
      <c r="AW13" s="163"/>
      <c r="AX13" s="163"/>
      <c r="AY13" s="163"/>
      <c r="AZ13" s="163"/>
      <c r="BA13" s="163"/>
      <c r="BB13" s="163"/>
      <c r="BC13" s="163"/>
      <c r="BD13" s="163"/>
      <c r="BE13" s="163"/>
      <c r="BF13" s="163"/>
      <c r="BG13" s="163"/>
      <c r="BH13" s="163"/>
      <c r="BI13" s="163"/>
      <c r="BJ13" s="163"/>
      <c r="BK13" s="163"/>
      <c r="BL13" s="163"/>
      <c r="BM13" s="163"/>
      <c r="BN13" s="163"/>
      <c r="BO13" s="163"/>
      <c r="BP13" s="163"/>
      <c r="BQ13" s="163"/>
      <c r="BR13" s="163"/>
      <c r="BS13" s="163"/>
      <c r="BT13" s="163"/>
    </row>
    <row r="14" spans="1:72" s="280" customFormat="1" ht="15" thickTop="1">
      <c r="A14" s="163"/>
      <c r="B14" s="212" t="s">
        <v>191</v>
      </c>
      <c r="C14" s="321">
        <f t="shared" ref="C14:M14" si="11">SUM(C8:C12)</f>
        <v>173.88</v>
      </c>
      <c r="D14" s="321">
        <f t="shared" si="11"/>
        <v>183.79902981339245</v>
      </c>
      <c r="E14" s="321">
        <f t="shared" si="11"/>
        <v>188.7546845837999</v>
      </c>
      <c r="F14" s="321">
        <f t="shared" si="11"/>
        <v>184.17646967528461</v>
      </c>
      <c r="G14" s="321">
        <f t="shared" si="11"/>
        <v>209.29878447713406</v>
      </c>
      <c r="H14" s="321">
        <f t="shared" si="11"/>
        <v>230.41980901114738</v>
      </c>
      <c r="I14" s="321">
        <f t="shared" si="11"/>
        <v>239.75674935313793</v>
      </c>
      <c r="J14" s="321">
        <f t="shared" si="11"/>
        <v>230.16225232475358</v>
      </c>
      <c r="K14" s="321">
        <f t="shared" si="11"/>
        <v>266.30490550154968</v>
      </c>
      <c r="L14" s="321">
        <f t="shared" si="11"/>
        <v>277.26885879065208</v>
      </c>
      <c r="M14" s="321">
        <f t="shared" si="11"/>
        <v>280.14711184278815</v>
      </c>
      <c r="N14" s="300"/>
      <c r="O14" s="321">
        <f>SUM(O8:O12)</f>
        <v>120.64999999999999</v>
      </c>
      <c r="P14" s="321">
        <f>SUM(P8:P12)</f>
        <v>222.72107383673242</v>
      </c>
      <c r="Q14" s="321">
        <f>SUM(Q8:Q12)</f>
        <v>549.57554679356667</v>
      </c>
      <c r="R14" s="321">
        <f>SUM(R8:R12)</f>
        <v>731.00761953143865</v>
      </c>
      <c r="S14" s="321">
        <f>SUM(S8,S10,S12)</f>
        <v>909.27</v>
      </c>
      <c r="T14" s="266"/>
      <c r="U14" s="321">
        <f t="shared" ref="U14:AD14" si="12">SUM(U8:U12)</f>
        <v>1067.6877999999999</v>
      </c>
      <c r="V14" s="321">
        <f t="shared" si="12"/>
        <v>1246.2498619999999</v>
      </c>
      <c r="W14" s="321">
        <f t="shared" si="12"/>
        <v>1421.2410641468</v>
      </c>
      <c r="X14" s="321">
        <f t="shared" si="12"/>
        <v>1612.9376609836988</v>
      </c>
      <c r="Y14" s="321">
        <f t="shared" si="12"/>
        <v>1819.2782842914021</v>
      </c>
      <c r="Z14" s="321">
        <f t="shared" si="12"/>
        <v>2032.9729220439594</v>
      </c>
      <c r="AA14" s="321">
        <f t="shared" si="12"/>
        <v>2260.9254566851773</v>
      </c>
      <c r="AB14" s="321">
        <f t="shared" si="12"/>
        <v>2487.9820245448318</v>
      </c>
      <c r="AC14" s="321">
        <f t="shared" si="12"/>
        <v>2714.3801869937465</v>
      </c>
      <c r="AD14" s="321">
        <f t="shared" si="12"/>
        <v>2896.5411642425738</v>
      </c>
      <c r="AE14" s="163"/>
      <c r="AF14" s="163"/>
      <c r="AG14" s="163"/>
      <c r="AH14" s="845"/>
      <c r="AI14" s="825"/>
      <c r="AJ14" s="825"/>
      <c r="AK14" s="825"/>
      <c r="AL14" s="825"/>
      <c r="AM14" s="826"/>
      <c r="AN14" s="163"/>
      <c r="AO14" s="163"/>
      <c r="AP14" s="163"/>
      <c r="AQ14" s="163"/>
      <c r="AR14" s="163"/>
      <c r="AS14" s="163"/>
      <c r="AT14" s="163"/>
      <c r="AU14" s="163"/>
      <c r="AV14" s="163"/>
      <c r="AW14" s="163"/>
      <c r="AX14" s="163"/>
      <c r="AY14" s="163"/>
      <c r="AZ14" s="163"/>
      <c r="BA14" s="163"/>
      <c r="BB14" s="163"/>
      <c r="BC14" s="163"/>
      <c r="BD14" s="163"/>
      <c r="BE14" s="163"/>
      <c r="BF14" s="163"/>
      <c r="BG14" s="163"/>
      <c r="BH14" s="163"/>
      <c r="BI14" s="163"/>
      <c r="BJ14" s="163"/>
      <c r="BK14" s="163"/>
      <c r="BL14" s="163"/>
      <c r="BM14" s="163"/>
      <c r="BN14" s="163"/>
      <c r="BO14" s="163"/>
      <c r="BP14" s="163"/>
      <c r="BQ14" s="163"/>
      <c r="BR14" s="163"/>
      <c r="BS14" s="163"/>
      <c r="BT14" s="163"/>
    </row>
    <row r="15" spans="1:72" ht="15" thickBot="1">
      <c r="B15" s="323" t="s">
        <v>605</v>
      </c>
      <c r="C15" s="278"/>
      <c r="D15" s="277">
        <f>(D14-C14)/D14</f>
        <v>5.396671475068749E-2</v>
      </c>
      <c r="E15" s="277">
        <f t="shared" ref="E15:M15" si="13">(E14-D14)/E14</f>
        <v>2.6254473002005556E-2</v>
      </c>
      <c r="F15" s="277">
        <f t="shared" si="13"/>
        <v>-2.4857762322119597E-2</v>
      </c>
      <c r="G15" s="277">
        <f t="shared" si="13"/>
        <v>0.12003086814196991</v>
      </c>
      <c r="H15" s="277">
        <f t="shared" si="13"/>
        <v>9.1663232534801339E-2</v>
      </c>
      <c r="I15" s="277">
        <f t="shared" si="13"/>
        <v>3.894338894392569E-2</v>
      </c>
      <c r="J15" s="277">
        <f t="shared" si="13"/>
        <v>-4.1685797438438088E-2</v>
      </c>
      <c r="K15" s="277">
        <f t="shared" si="13"/>
        <v>0.13571906649157006</v>
      </c>
      <c r="L15" s="277">
        <f t="shared" si="13"/>
        <v>3.9542678312029872E-2</v>
      </c>
      <c r="M15" s="277">
        <f t="shared" si="13"/>
        <v>1.0274077191812281E-2</v>
      </c>
      <c r="N15" s="278"/>
      <c r="O15" s="277"/>
      <c r="P15" s="277">
        <f t="shared" ref="P15:AD15" si="14">(P14-O14)/P14</f>
        <v>0.45829104573892498</v>
      </c>
      <c r="Q15" s="277">
        <f t="shared" si="14"/>
        <v>0.59473984034374872</v>
      </c>
      <c r="R15" s="277">
        <f t="shared" si="14"/>
        <v>0.24819450288926717</v>
      </c>
      <c r="S15" s="277">
        <f t="shared" si="14"/>
        <v>0.19604999666607426</v>
      </c>
      <c r="T15" s="324"/>
      <c r="U15" s="277">
        <f>(U14-S14)/U14</f>
        <v>0.14837464659613039</v>
      </c>
      <c r="V15" s="277">
        <f t="shared" si="14"/>
        <v>0.14327950392984676</v>
      </c>
      <c r="W15" s="277">
        <f t="shared" si="14"/>
        <v>0.12312563052197685</v>
      </c>
      <c r="X15" s="277">
        <f t="shared" si="14"/>
        <v>0.11884935262779274</v>
      </c>
      <c r="Y15" s="277">
        <f t="shared" si="14"/>
        <v>0.11341894480319797</v>
      </c>
      <c r="Z15" s="277">
        <f t="shared" si="14"/>
        <v>0.10511435515713012</v>
      </c>
      <c r="AA15" s="277">
        <f t="shared" si="14"/>
        <v>0.10082266709289352</v>
      </c>
      <c r="AB15" s="277">
        <f t="shared" si="14"/>
        <v>9.1261337750699278E-2</v>
      </c>
      <c r="AC15" s="277">
        <f t="shared" si="14"/>
        <v>8.3406946283253389E-2</v>
      </c>
      <c r="AD15" s="277">
        <f t="shared" si="14"/>
        <v>6.2889138085652302E-2</v>
      </c>
      <c r="AH15" s="878" t="s">
        <v>736</v>
      </c>
      <c r="AI15" s="825"/>
      <c r="AJ15" s="825"/>
      <c r="AK15" s="825"/>
      <c r="AL15" s="825"/>
      <c r="AM15" s="826"/>
    </row>
    <row r="16" spans="1:72" ht="15" thickTop="1">
      <c r="B16" s="214" t="s">
        <v>609</v>
      </c>
      <c r="C16" s="274">
        <v>96.36</v>
      </c>
      <c r="D16" s="274">
        <v>102.23</v>
      </c>
      <c r="E16" s="274">
        <v>102.69</v>
      </c>
      <c r="F16" s="274">
        <f>398.55-(C16+D16+E16)</f>
        <v>97.270000000000039</v>
      </c>
      <c r="G16" s="274">
        <v>121.18</v>
      </c>
      <c r="H16" s="274">
        <v>134.11000000000001</v>
      </c>
      <c r="I16" s="274">
        <v>138.22</v>
      </c>
      <c r="J16" s="274">
        <f>524.02-(G16+H16+I16)</f>
        <v>130.51</v>
      </c>
      <c r="K16" s="274">
        <v>157.88</v>
      </c>
      <c r="L16" s="274">
        <v>162.899</v>
      </c>
      <c r="M16" s="274">
        <v>164.26</v>
      </c>
      <c r="N16" s="274"/>
      <c r="O16" s="274">
        <v>39.67</v>
      </c>
      <c r="P16" s="274">
        <v>94.06</v>
      </c>
      <c r="Q16" s="274">
        <v>277.2</v>
      </c>
      <c r="R16" s="274">
        <f>SUM(C16:F16)</f>
        <v>398.55</v>
      </c>
      <c r="S16" s="274">
        <f>SUM(G16:J16)</f>
        <v>524.02</v>
      </c>
      <c r="U16" s="310">
        <f>U14*U17</f>
        <v>612.85279719999994</v>
      </c>
      <c r="V16" s="310">
        <f>V14*V17</f>
        <v>712.85492106399988</v>
      </c>
      <c r="W16" s="310">
        <f t="shared" ref="W16:AD16" si="15">U14*W17</f>
        <v>610.1835777</v>
      </c>
      <c r="X16" s="310">
        <f t="shared" si="15"/>
        <v>710.36242133999986</v>
      </c>
      <c r="Y16" s="310">
        <f t="shared" si="15"/>
        <v>807.83342086104119</v>
      </c>
      <c r="Z16" s="310">
        <f t="shared" si="15"/>
        <v>885.34148211395234</v>
      </c>
      <c r="AA16" s="310">
        <f t="shared" si="15"/>
        <v>996.23678847797169</v>
      </c>
      <c r="AB16" s="310">
        <f t="shared" si="15"/>
        <v>1076.6624595144808</v>
      </c>
      <c r="AC16" s="310">
        <f t="shared" si="15"/>
        <v>1188.1163274880605</v>
      </c>
      <c r="AD16" s="310">
        <f t="shared" si="15"/>
        <v>1296.2386347878573</v>
      </c>
      <c r="AH16" s="845"/>
      <c r="AI16" s="825"/>
      <c r="AJ16" s="825"/>
      <c r="AK16" s="825"/>
      <c r="AL16" s="825"/>
      <c r="AM16" s="826"/>
    </row>
    <row r="17" spans="2:39">
      <c r="B17" s="275" t="s">
        <v>193</v>
      </c>
      <c r="C17" s="276">
        <f t="shared" ref="C17:M17" si="16">ABS(C16/C$14)</f>
        <v>0.55417529330572812</v>
      </c>
      <c r="D17" s="276">
        <f t="shared" si="16"/>
        <v>0.55620532983113191</v>
      </c>
      <c r="E17" s="276">
        <f t="shared" si="16"/>
        <v>0.54403947762371718</v>
      </c>
      <c r="F17" s="276">
        <f t="shared" si="16"/>
        <v>0.52813478383798718</v>
      </c>
      <c r="G17" s="276">
        <f t="shared" si="16"/>
        <v>0.57898090666283319</v>
      </c>
      <c r="H17" s="276">
        <f t="shared" si="16"/>
        <v>0.58202461227416413</v>
      </c>
      <c r="I17" s="276">
        <f t="shared" si="16"/>
        <v>0.57650097598051608</v>
      </c>
      <c r="J17" s="276">
        <f t="shared" si="16"/>
        <v>0.56703477082703124</v>
      </c>
      <c r="K17" s="276">
        <f t="shared" si="16"/>
        <v>0.59285426869119862</v>
      </c>
      <c r="L17" s="276">
        <f t="shared" si="16"/>
        <v>0.58751278708509624</v>
      </c>
      <c r="M17" s="276">
        <f t="shared" si="16"/>
        <v>0.5863347971696341</v>
      </c>
      <c r="N17" s="276"/>
      <c r="O17" s="276">
        <f t="shared" ref="O17:S17" si="17">ABS(O16/O$14)</f>
        <v>0.32880232076253629</v>
      </c>
      <c r="P17" s="276">
        <f t="shared" si="17"/>
        <v>0.42232195804224387</v>
      </c>
      <c r="Q17" s="276">
        <f t="shared" si="17"/>
        <v>0.50438925388382094</v>
      </c>
      <c r="R17" s="276">
        <f t="shared" si="17"/>
        <v>0.54520635538034834</v>
      </c>
      <c r="S17" s="276">
        <f t="shared" si="17"/>
        <v>0.57630846723195528</v>
      </c>
      <c r="T17" s="294"/>
      <c r="U17" s="659">
        <v>0.57399999999999995</v>
      </c>
      <c r="V17" s="659">
        <v>0.57199999999999995</v>
      </c>
      <c r="W17" s="659">
        <v>0.57150000000000001</v>
      </c>
      <c r="X17" s="659">
        <v>0.56999999999999995</v>
      </c>
      <c r="Y17" s="659">
        <v>0.56840000000000002</v>
      </c>
      <c r="Z17" s="659">
        <v>0.54890000000000005</v>
      </c>
      <c r="AA17" s="659">
        <v>0.54759999999999998</v>
      </c>
      <c r="AB17" s="659">
        <v>0.52959999999999996</v>
      </c>
      <c r="AC17" s="659">
        <v>0.52549999999999997</v>
      </c>
      <c r="AD17" s="659">
        <v>0.52100000000000002</v>
      </c>
      <c r="AH17" s="845"/>
      <c r="AI17" s="825"/>
      <c r="AJ17" s="825"/>
      <c r="AK17" s="825"/>
      <c r="AL17" s="825"/>
      <c r="AM17" s="826"/>
    </row>
    <row r="18" spans="2:39">
      <c r="B18" s="284" t="s">
        <v>194</v>
      </c>
      <c r="C18" s="285">
        <f t="shared" ref="C18:K18" si="18">C14-C16</f>
        <v>77.52</v>
      </c>
      <c r="D18" s="285">
        <f t="shared" si="18"/>
        <v>81.569029813392447</v>
      </c>
      <c r="E18" s="285">
        <f t="shared" si="18"/>
        <v>86.064684583799902</v>
      </c>
      <c r="F18" s="285">
        <f t="shared" si="18"/>
        <v>86.906469675284569</v>
      </c>
      <c r="G18" s="285">
        <f t="shared" si="18"/>
        <v>88.118784477134056</v>
      </c>
      <c r="H18" s="285">
        <f t="shared" si="18"/>
        <v>96.309809011147365</v>
      </c>
      <c r="I18" s="285">
        <f t="shared" si="18"/>
        <v>101.53674935313794</v>
      </c>
      <c r="J18" s="285">
        <f t="shared" si="18"/>
        <v>99.65225232475359</v>
      </c>
      <c r="K18" s="285">
        <f t="shared" si="18"/>
        <v>108.42490550154969</v>
      </c>
      <c r="L18" s="285">
        <f>L14-L16</f>
        <v>114.36985879065207</v>
      </c>
      <c r="M18" s="285">
        <f>M14-M16</f>
        <v>115.88711184278816</v>
      </c>
      <c r="N18" s="285"/>
      <c r="O18" s="285">
        <f>O14-O16</f>
        <v>80.97999999999999</v>
      </c>
      <c r="P18" s="285">
        <f t="shared" ref="P18:R18" si="19">P14-P16</f>
        <v>128.66107383673241</v>
      </c>
      <c r="Q18" s="285">
        <f t="shared" si="19"/>
        <v>272.37554679356668</v>
      </c>
      <c r="R18" s="285">
        <f t="shared" si="19"/>
        <v>332.45761953143864</v>
      </c>
      <c r="S18" s="285">
        <f>S14-S16</f>
        <v>385.25</v>
      </c>
      <c r="T18" s="285"/>
      <c r="U18" s="285">
        <f t="shared" ref="U18:AD18" si="20">U14-U16</f>
        <v>454.83500279999998</v>
      </c>
      <c r="V18" s="285">
        <f t="shared" si="20"/>
        <v>533.39494093600001</v>
      </c>
      <c r="W18" s="285">
        <f t="shared" si="20"/>
        <v>811.0574864468</v>
      </c>
      <c r="X18" s="285">
        <f t="shared" si="20"/>
        <v>902.57523964369898</v>
      </c>
      <c r="Y18" s="285">
        <f t="shared" si="20"/>
        <v>1011.4448634303609</v>
      </c>
      <c r="Z18" s="285">
        <f t="shared" si="20"/>
        <v>1147.6314399300072</v>
      </c>
      <c r="AA18" s="285">
        <f t="shared" si="20"/>
        <v>1264.6886682072056</v>
      </c>
      <c r="AB18" s="285">
        <f t="shared" si="20"/>
        <v>1411.319565030351</v>
      </c>
      <c r="AC18" s="285">
        <f t="shared" si="20"/>
        <v>1526.263859505686</v>
      </c>
      <c r="AD18" s="285">
        <f t="shared" si="20"/>
        <v>1600.3025294547165</v>
      </c>
      <c r="AH18" s="845"/>
      <c r="AI18" s="825"/>
      <c r="AJ18" s="825"/>
      <c r="AK18" s="825"/>
      <c r="AL18" s="825"/>
      <c r="AM18" s="826"/>
    </row>
    <row r="19" spans="2:39">
      <c r="B19" s="214" t="s">
        <v>195</v>
      </c>
      <c r="C19" s="274">
        <v>35.64</v>
      </c>
      <c r="D19" s="274">
        <v>36.6</v>
      </c>
      <c r="E19" s="274">
        <v>37.409999999999997</v>
      </c>
      <c r="F19" s="274">
        <f>140.44-(C19+D19+E19)</f>
        <v>30.789999999999992</v>
      </c>
      <c r="G19" s="274">
        <v>34.04</v>
      </c>
      <c r="H19" s="274">
        <v>33.08</v>
      </c>
      <c r="I19" s="274">
        <v>34.68</v>
      </c>
      <c r="J19" s="274">
        <f>129.42-(G19+H19+I19)</f>
        <v>27.619999999999976</v>
      </c>
      <c r="K19" s="274">
        <v>27.47</v>
      </c>
      <c r="L19" s="274">
        <v>30.52</v>
      </c>
      <c r="M19" s="274">
        <v>32.15</v>
      </c>
      <c r="N19" s="274"/>
      <c r="O19" s="274">
        <v>32.75</v>
      </c>
      <c r="P19" s="274">
        <v>55.3</v>
      </c>
      <c r="Q19" s="274">
        <v>121.15</v>
      </c>
      <c r="R19" s="274">
        <f>SUM(C19:F19)</f>
        <v>140.44</v>
      </c>
      <c r="S19" s="274">
        <f>SUM(G19:J19)</f>
        <v>129.41999999999999</v>
      </c>
      <c r="T19" s="274"/>
      <c r="U19" s="310">
        <f>U14*U20</f>
        <v>160.15316999999999</v>
      </c>
      <c r="V19" s="310">
        <f t="shared" ref="V19:AD19" si="21">V14*V20</f>
        <v>185.06810450699999</v>
      </c>
      <c r="W19" s="310">
        <f t="shared" si="21"/>
        <v>204.94296144996855</v>
      </c>
      <c r="X19" s="310">
        <f t="shared" si="21"/>
        <v>231.45655435116078</v>
      </c>
      <c r="Y19" s="310">
        <f t="shared" si="21"/>
        <v>254.6989598007963</v>
      </c>
      <c r="Z19" s="310">
        <f t="shared" si="21"/>
        <v>283.59972262513236</v>
      </c>
      <c r="AA19" s="310">
        <f t="shared" si="21"/>
        <v>313.13817575089706</v>
      </c>
      <c r="AB19" s="310">
        <f t="shared" si="21"/>
        <v>342.09752837491442</v>
      </c>
      <c r="AC19" s="310">
        <f t="shared" si="21"/>
        <v>366.44132524415579</v>
      </c>
      <c r="AD19" s="310">
        <f t="shared" si="21"/>
        <v>391.03305717274748</v>
      </c>
      <c r="AH19" s="845"/>
      <c r="AI19" s="825"/>
      <c r="AJ19" s="825"/>
      <c r="AK19" s="825"/>
      <c r="AL19" s="825"/>
      <c r="AM19" s="826"/>
    </row>
    <row r="20" spans="2:39">
      <c r="B20" s="275" t="s">
        <v>193</v>
      </c>
      <c r="C20" s="276">
        <f t="shared" ref="C20:M20" si="22">ABS(C19/C$14)</f>
        <v>0.20496894409937888</v>
      </c>
      <c r="D20" s="276">
        <f t="shared" si="22"/>
        <v>0.19913053968325764</v>
      </c>
      <c r="E20" s="276">
        <f t="shared" si="22"/>
        <v>0.19819375652841814</v>
      </c>
      <c r="F20" s="276">
        <f t="shared" si="22"/>
        <v>0.16717662171657874</v>
      </c>
      <c r="G20" s="276">
        <f t="shared" si="22"/>
        <v>0.16263830716952338</v>
      </c>
      <c r="H20" s="276">
        <f t="shared" si="22"/>
        <v>0.14356404573879164</v>
      </c>
      <c r="I20" s="276">
        <f t="shared" si="22"/>
        <v>0.1446466057517313</v>
      </c>
      <c r="J20" s="276">
        <f t="shared" si="22"/>
        <v>0.12000230151132167</v>
      </c>
      <c r="K20" s="276">
        <f t="shared" si="22"/>
        <v>0.10315243704679013</v>
      </c>
      <c r="L20" s="276">
        <f t="shared" si="22"/>
        <v>0.11007366688461646</v>
      </c>
      <c r="M20" s="276">
        <f t="shared" si="22"/>
        <v>0.11476113313651368</v>
      </c>
      <c r="N20" s="276"/>
      <c r="O20" s="276">
        <f t="shared" ref="O20:S20" si="23">ABS(O19/O$14)</f>
        <v>0.27144633236634896</v>
      </c>
      <c r="P20" s="276">
        <f t="shared" si="23"/>
        <v>0.2482926247048276</v>
      </c>
      <c r="Q20" s="276">
        <f t="shared" si="23"/>
        <v>0.22044285031755018</v>
      </c>
      <c r="R20" s="276">
        <f t="shared" si="23"/>
        <v>0.19211838050336499</v>
      </c>
      <c r="S20" s="276">
        <f t="shared" si="23"/>
        <v>0.14233396020983866</v>
      </c>
      <c r="T20" s="276"/>
      <c r="U20" s="659">
        <v>0.15</v>
      </c>
      <c r="V20" s="325">
        <v>0.14849999999999999</v>
      </c>
      <c r="W20" s="325">
        <v>0.14419999999999999</v>
      </c>
      <c r="X20" s="325">
        <v>0.14349999999999999</v>
      </c>
      <c r="Y20" s="325">
        <v>0.14000000000000001</v>
      </c>
      <c r="Z20" s="325">
        <v>0.13950000000000001</v>
      </c>
      <c r="AA20" s="325">
        <v>0.13850000000000001</v>
      </c>
      <c r="AB20" s="325">
        <v>0.13750000000000001</v>
      </c>
      <c r="AC20" s="325">
        <v>0.13500000000000001</v>
      </c>
      <c r="AD20" s="325">
        <v>0.13500000000000001</v>
      </c>
      <c r="AH20" s="845"/>
      <c r="AI20" s="825"/>
      <c r="AJ20" s="825"/>
      <c r="AK20" s="825"/>
      <c r="AL20" s="825"/>
      <c r="AM20" s="826"/>
    </row>
    <row r="21" spans="2:39">
      <c r="B21" s="286" t="s">
        <v>196</v>
      </c>
      <c r="C21" s="287">
        <v>68.644999999999996</v>
      </c>
      <c r="D21" s="287">
        <v>64.337000000000003</v>
      </c>
      <c r="E21" s="287">
        <v>60.505000000000003</v>
      </c>
      <c r="F21" s="287">
        <v>56.884</v>
      </c>
      <c r="G21" s="287">
        <v>55.287999999999997</v>
      </c>
      <c r="H21" s="287">
        <v>60.29</v>
      </c>
      <c r="I21" s="287">
        <v>60.908000000000001</v>
      </c>
      <c r="J21" s="287">
        <v>57.804000000000002</v>
      </c>
      <c r="K21" s="287">
        <v>57.07</v>
      </c>
      <c r="L21" s="287">
        <v>65.680999999999997</v>
      </c>
      <c r="M21" s="287">
        <v>54.012</v>
      </c>
      <c r="N21" s="288"/>
      <c r="O21" s="289">
        <v>61.122</v>
      </c>
      <c r="P21" s="289">
        <v>96.9</v>
      </c>
      <c r="Q21" s="289">
        <v>216.65899999999999</v>
      </c>
      <c r="R21" s="289">
        <v>250.37100000000001</v>
      </c>
      <c r="S21" s="289">
        <v>234.29</v>
      </c>
      <c r="T21" s="289"/>
      <c r="U21" s="289">
        <f>U14*U22</f>
        <v>288.91631867999996</v>
      </c>
      <c r="V21" s="289">
        <f t="shared" ref="V21:AD21" si="24">V14*V22</f>
        <v>320.90933946499996</v>
      </c>
      <c r="W21" s="289">
        <f t="shared" si="24"/>
        <v>344.65095805559901</v>
      </c>
      <c r="X21" s="289">
        <f t="shared" si="24"/>
        <v>379.36293786336597</v>
      </c>
      <c r="Y21" s="289">
        <f t="shared" si="24"/>
        <v>414.97737664686883</v>
      </c>
      <c r="Z21" s="289">
        <f t="shared" si="24"/>
        <v>449.89690764832824</v>
      </c>
      <c r="AA21" s="289">
        <f t="shared" si="24"/>
        <v>485.42069555030758</v>
      </c>
      <c r="AB21" s="289">
        <f t="shared" si="24"/>
        <v>517.99785751023398</v>
      </c>
      <c r="AC21" s="289">
        <f t="shared" si="24"/>
        <v>556.44793833371796</v>
      </c>
      <c r="AD21" s="289">
        <f t="shared" si="24"/>
        <v>579.30823284851476</v>
      </c>
      <c r="AH21" s="878" t="s">
        <v>735</v>
      </c>
      <c r="AI21" s="825"/>
      <c r="AJ21" s="825"/>
      <c r="AK21" s="825"/>
      <c r="AL21" s="825"/>
      <c r="AM21" s="826"/>
    </row>
    <row r="22" spans="2:39">
      <c r="B22" s="275" t="s">
        <v>193</v>
      </c>
      <c r="C22" s="283">
        <f t="shared" ref="C22:M22" si="25">ABS(C21/C$14)</f>
        <v>0.39478375891419371</v>
      </c>
      <c r="D22" s="283">
        <f t="shared" si="25"/>
        <v>0.35003993255742477</v>
      </c>
      <c r="E22" s="283">
        <f t="shared" si="25"/>
        <v>0.32054833570574554</v>
      </c>
      <c r="F22" s="283">
        <f t="shared" si="25"/>
        <v>0.30885595809437699</v>
      </c>
      <c r="G22" s="283">
        <f t="shared" si="25"/>
        <v>0.26415824696793794</v>
      </c>
      <c r="H22" s="283">
        <f t="shared" si="25"/>
        <v>0.2616528511968485</v>
      </c>
      <c r="I22" s="283">
        <f t="shared" si="25"/>
        <v>0.25404081496904413</v>
      </c>
      <c r="J22" s="283">
        <f t="shared" si="25"/>
        <v>0.25114457047648242</v>
      </c>
      <c r="K22" s="283">
        <f t="shared" si="25"/>
        <v>0.21430322469094695</v>
      </c>
      <c r="L22" s="283">
        <f t="shared" si="25"/>
        <v>0.23688560008677897</v>
      </c>
      <c r="M22" s="283">
        <f t="shared" si="25"/>
        <v>0.19279870366934299</v>
      </c>
      <c r="N22" s="283"/>
      <c r="O22" s="276">
        <f>ABS(O21/O$14)</f>
        <v>0.506605884790717</v>
      </c>
      <c r="P22" s="276">
        <f>ABS(P21/P$14)</f>
        <v>0.43507333334354065</v>
      </c>
      <c r="Q22" s="276">
        <f t="shared" ref="Q22" si="26">ABS(Q21/Q$14)</f>
        <v>0.39422969465084684</v>
      </c>
      <c r="R22" s="276">
        <f>ABS(R21/R$14)</f>
        <v>0.34250121792230132</v>
      </c>
      <c r="S22" s="276">
        <f t="shared" ref="S22" si="27">ABS(S21/S$14)</f>
        <v>0.25766823935684668</v>
      </c>
      <c r="T22" s="276"/>
      <c r="U22" s="325">
        <v>0.27060000000000001</v>
      </c>
      <c r="V22" s="325">
        <v>0.25750000000000001</v>
      </c>
      <c r="W22" s="325">
        <v>0.24249999999999999</v>
      </c>
      <c r="X22" s="325">
        <v>0.23519999999999999</v>
      </c>
      <c r="Y22" s="325">
        <v>0.2281</v>
      </c>
      <c r="Z22" s="325">
        <v>0.2213</v>
      </c>
      <c r="AA22" s="325">
        <v>0.2147</v>
      </c>
      <c r="AB22" s="325">
        <v>0.2082</v>
      </c>
      <c r="AC22" s="325">
        <v>0.20499999999999999</v>
      </c>
      <c r="AD22" s="325">
        <v>0.2</v>
      </c>
      <c r="AH22" s="845"/>
      <c r="AI22" s="825"/>
      <c r="AJ22" s="825"/>
      <c r="AK22" s="825"/>
      <c r="AL22" s="825"/>
      <c r="AM22" s="826"/>
    </row>
    <row r="23" spans="2:39">
      <c r="B23" s="286" t="s">
        <v>197</v>
      </c>
      <c r="C23" s="288">
        <v>30.239000000000001</v>
      </c>
      <c r="D23" s="288">
        <v>25.132000000000001</v>
      </c>
      <c r="E23" s="288">
        <v>28.428999999999998</v>
      </c>
      <c r="F23" s="288">
        <v>22.138999999999999</v>
      </c>
      <c r="G23" s="288">
        <v>24.943999999999999</v>
      </c>
      <c r="H23" s="288">
        <v>26.324000000000002</v>
      </c>
      <c r="I23" s="288">
        <v>29.934000000000001</v>
      </c>
      <c r="J23" s="288">
        <v>22.54</v>
      </c>
      <c r="K23" s="288">
        <v>31.856000000000002</v>
      </c>
      <c r="L23" s="288">
        <v>31.247</v>
      </c>
      <c r="M23" s="288">
        <v>29.459</v>
      </c>
      <c r="N23" s="290"/>
      <c r="O23" s="291">
        <v>13.79</v>
      </c>
      <c r="P23" s="291">
        <v>21.344999999999999</v>
      </c>
      <c r="Q23" s="291">
        <v>53.034999999999997</v>
      </c>
      <c r="R23" s="291">
        <v>95.253</v>
      </c>
      <c r="S23" s="291">
        <v>105.93899999999999</v>
      </c>
      <c r="T23" s="291"/>
      <c r="U23" s="337">
        <f>U14*U24</f>
        <v>135.59635059999999</v>
      </c>
      <c r="V23" s="337">
        <f t="shared" ref="V23:AD23" si="28">V14*V24</f>
        <v>158.27373247399998</v>
      </c>
      <c r="W23" s="337">
        <f t="shared" si="28"/>
        <v>180.4976151466436</v>
      </c>
      <c r="X23" s="337">
        <f t="shared" si="28"/>
        <v>193.55251931804386</v>
      </c>
      <c r="Y23" s="337">
        <f t="shared" si="28"/>
        <v>214.12905406109803</v>
      </c>
      <c r="Z23" s="337">
        <f t="shared" si="28"/>
        <v>239.28091292457401</v>
      </c>
      <c r="AA23" s="337">
        <f t="shared" si="28"/>
        <v>248.70180023536952</v>
      </c>
      <c r="AB23" s="337">
        <f t="shared" si="28"/>
        <v>273.67802269993149</v>
      </c>
      <c r="AC23" s="337">
        <f t="shared" si="28"/>
        <v>298.58182056931213</v>
      </c>
      <c r="AD23" s="337">
        <f t="shared" si="28"/>
        <v>318.61952806668313</v>
      </c>
      <c r="AH23" s="845"/>
      <c r="AI23" s="825"/>
      <c r="AJ23" s="825"/>
      <c r="AK23" s="825"/>
      <c r="AL23" s="825"/>
      <c r="AM23" s="826"/>
    </row>
    <row r="24" spans="2:39">
      <c r="B24" s="275" t="s">
        <v>193</v>
      </c>
      <c r="C24" s="283">
        <f t="shared" ref="C24:M24" si="29">ABS(C23/C$14)</f>
        <v>0.17390729238555327</v>
      </c>
      <c r="D24" s="283">
        <f t="shared" si="29"/>
        <v>0.13673630391583691</v>
      </c>
      <c r="E24" s="283">
        <f t="shared" si="29"/>
        <v>0.15061348046902964</v>
      </c>
      <c r="F24" s="283">
        <f t="shared" si="29"/>
        <v>0.12020536629371022</v>
      </c>
      <c r="G24" s="283">
        <f t="shared" si="29"/>
        <v>0.11917890523021712</v>
      </c>
      <c r="H24" s="283">
        <f t="shared" si="29"/>
        <v>0.11424364994038548</v>
      </c>
      <c r="I24" s="283">
        <f t="shared" si="29"/>
        <v>0.12485154257705665</v>
      </c>
      <c r="J24" s="283">
        <f t="shared" si="29"/>
        <v>9.7930915136321239E-2</v>
      </c>
      <c r="K24" s="283">
        <f t="shared" si="29"/>
        <v>0.11962228010784662</v>
      </c>
      <c r="L24" s="283">
        <f t="shared" si="29"/>
        <v>0.1126956706796727</v>
      </c>
      <c r="M24" s="283">
        <f t="shared" si="29"/>
        <v>0.10515546566309662</v>
      </c>
      <c r="N24" s="283"/>
      <c r="O24" s="276">
        <f>ABS(O23/O$14)</f>
        <v>0.1142975549108993</v>
      </c>
      <c r="P24" s="276">
        <f t="shared" ref="P24:S24" si="30">ABS(P23/P$14)</f>
        <v>9.5837361199358859E-2</v>
      </c>
      <c r="Q24" s="276">
        <f t="shared" si="30"/>
        <v>9.6501746319366671E-2</v>
      </c>
      <c r="R24" s="276">
        <f t="shared" si="30"/>
        <v>0.13030370334724456</v>
      </c>
      <c r="S24" s="276">
        <f t="shared" si="30"/>
        <v>0.11650994754033454</v>
      </c>
      <c r="T24" s="276"/>
      <c r="U24" s="325">
        <v>0.127</v>
      </c>
      <c r="V24" s="325">
        <v>0.127</v>
      </c>
      <c r="W24" s="325">
        <v>0.127</v>
      </c>
      <c r="X24" s="325">
        <v>0.12</v>
      </c>
      <c r="Y24" s="325">
        <v>0.1177</v>
      </c>
      <c r="Z24" s="325">
        <v>0.1177</v>
      </c>
      <c r="AA24" s="325">
        <v>0.11</v>
      </c>
      <c r="AB24" s="325">
        <v>0.11</v>
      </c>
      <c r="AC24" s="325">
        <v>0.11</v>
      </c>
      <c r="AD24" s="325">
        <v>0.11</v>
      </c>
      <c r="AH24" s="845"/>
      <c r="AI24" s="825"/>
      <c r="AJ24" s="825"/>
      <c r="AK24" s="825"/>
      <c r="AL24" s="825"/>
      <c r="AM24" s="826"/>
    </row>
    <row r="25" spans="2:39">
      <c r="B25" s="286" t="s">
        <v>198</v>
      </c>
      <c r="C25" s="292">
        <f>30.24+68.65</f>
        <v>98.89</v>
      </c>
      <c r="D25" s="292">
        <f>25.13+64.34</f>
        <v>89.47</v>
      </c>
      <c r="E25" s="292">
        <f>28.43+60.51</f>
        <v>88.94</v>
      </c>
      <c r="F25" s="292">
        <f>(105.94+250.37)-(C25+D25+E25)</f>
        <v>79.009999999999991</v>
      </c>
      <c r="G25" s="292">
        <f>24.94+55.29</f>
        <v>80.23</v>
      </c>
      <c r="H25" s="292">
        <f>26.32+60.29</f>
        <v>86.61</v>
      </c>
      <c r="I25" s="292">
        <f>29.93+60.91</f>
        <v>90.84</v>
      </c>
      <c r="J25" s="292">
        <f>(103.74+234.29)-(G25+H25+I25)</f>
        <v>80.349999999999966</v>
      </c>
      <c r="K25" s="292">
        <f>31.86+57.07</f>
        <v>88.93</v>
      </c>
      <c r="L25" s="292">
        <f>31.25+65.68</f>
        <v>96.93</v>
      </c>
      <c r="M25" s="292">
        <f>29.46+54.01</f>
        <v>83.47</v>
      </c>
      <c r="N25" s="290"/>
      <c r="O25" s="291">
        <f>O$23+O$21</f>
        <v>74.912000000000006</v>
      </c>
      <c r="P25" s="291">
        <f t="shared" ref="P25:R25" si="31">P$23+P$21</f>
        <v>118.245</v>
      </c>
      <c r="Q25" s="291">
        <f t="shared" si="31"/>
        <v>269.69399999999996</v>
      </c>
      <c r="R25" s="291">
        <f t="shared" si="31"/>
        <v>345.62400000000002</v>
      </c>
      <c r="S25" s="291">
        <f>S$23+S$21</f>
        <v>340.22899999999998</v>
      </c>
      <c r="T25" s="291"/>
      <c r="U25" s="338">
        <f t="shared" ref="U25:AD25" si="32">U$23+U$21</f>
        <v>424.51266927999995</v>
      </c>
      <c r="V25" s="338">
        <f t="shared" si="32"/>
        <v>479.18307193899994</v>
      </c>
      <c r="W25" s="338">
        <f t="shared" si="32"/>
        <v>525.14857320224257</v>
      </c>
      <c r="X25" s="338">
        <f t="shared" si="32"/>
        <v>572.91545718140981</v>
      </c>
      <c r="Y25" s="338">
        <f t="shared" si="32"/>
        <v>629.10643070796687</v>
      </c>
      <c r="Z25" s="338">
        <f t="shared" si="32"/>
        <v>689.17782057290219</v>
      </c>
      <c r="AA25" s="338">
        <f t="shared" si="32"/>
        <v>734.12249578567707</v>
      </c>
      <c r="AB25" s="338">
        <f t="shared" si="32"/>
        <v>791.67588021016547</v>
      </c>
      <c r="AC25" s="338">
        <f t="shared" si="32"/>
        <v>855.02975890303014</v>
      </c>
      <c r="AD25" s="338">
        <f t="shared" si="32"/>
        <v>897.92776091519795</v>
      </c>
      <c r="AH25" s="845"/>
      <c r="AI25" s="825"/>
      <c r="AJ25" s="825"/>
      <c r="AK25" s="825"/>
      <c r="AL25" s="825"/>
      <c r="AM25" s="826"/>
    </row>
    <row r="26" spans="2:39">
      <c r="B26" s="293" t="s">
        <v>193</v>
      </c>
      <c r="C26" s="294">
        <f t="shared" ref="C26:M26" si="33">ABS(C25/C$14)</f>
        <v>0.56872555785599266</v>
      </c>
      <c r="D26" s="294">
        <f t="shared" si="33"/>
        <v>0.48678167719838966</v>
      </c>
      <c r="E26" s="294">
        <f t="shared" si="33"/>
        <v>0.47119360346531702</v>
      </c>
      <c r="F26" s="294">
        <f t="shared" si="33"/>
        <v>0.42899073990993469</v>
      </c>
      <c r="G26" s="294">
        <f t="shared" si="33"/>
        <v>0.38332759648093012</v>
      </c>
      <c r="H26" s="294">
        <f t="shared" si="33"/>
        <v>0.37587914151864404</v>
      </c>
      <c r="I26" s="294">
        <f t="shared" si="33"/>
        <v>0.37888401575799513</v>
      </c>
      <c r="J26" s="294">
        <f t="shared" si="33"/>
        <v>0.34910155417938815</v>
      </c>
      <c r="K26" s="294">
        <f t="shared" si="33"/>
        <v>0.33394052517550227</v>
      </c>
      <c r="L26" s="294">
        <f t="shared" si="33"/>
        <v>0.34958848398184389</v>
      </c>
      <c r="M26" s="294">
        <f t="shared" si="33"/>
        <v>0.29795059977930938</v>
      </c>
      <c r="N26" s="294"/>
      <c r="O26" s="295">
        <f>ABS(O25/O$14)</f>
        <v>0.62090343970161632</v>
      </c>
      <c r="P26" s="295">
        <f t="shared" ref="P26:R26" si="34">ABS(P25/P$14)</f>
        <v>0.53091069454289952</v>
      </c>
      <c r="Q26" s="295">
        <f t="shared" si="34"/>
        <v>0.49073144097021348</v>
      </c>
      <c r="R26" s="295">
        <f t="shared" si="34"/>
        <v>0.47280492126954593</v>
      </c>
      <c r="S26" s="295">
        <f>ABS(S25/S$14)</f>
        <v>0.37417818689718124</v>
      </c>
      <c r="T26" s="295"/>
      <c r="U26" s="339">
        <f>ABS(U25/U$14)</f>
        <v>0.39760000000000001</v>
      </c>
      <c r="V26" s="339">
        <f t="shared" ref="V26:AD26" si="35">ABS(V25/V$14)</f>
        <v>0.38450000000000001</v>
      </c>
      <c r="W26" s="339">
        <f t="shared" si="35"/>
        <v>0.3695</v>
      </c>
      <c r="X26" s="339">
        <f t="shared" si="35"/>
        <v>0.35519999999999996</v>
      </c>
      <c r="Y26" s="339">
        <f t="shared" si="35"/>
        <v>0.3458</v>
      </c>
      <c r="Z26" s="339">
        <f t="shared" si="35"/>
        <v>0.33899999999999997</v>
      </c>
      <c r="AA26" s="339">
        <f t="shared" si="35"/>
        <v>0.32469999999999999</v>
      </c>
      <c r="AB26" s="339">
        <f t="shared" si="35"/>
        <v>0.31819999999999998</v>
      </c>
      <c r="AC26" s="339">
        <f t="shared" si="35"/>
        <v>0.315</v>
      </c>
      <c r="AD26" s="339">
        <f t="shared" si="35"/>
        <v>0.31</v>
      </c>
      <c r="AH26" s="845"/>
      <c r="AI26" s="825"/>
      <c r="AJ26" s="825"/>
      <c r="AK26" s="825"/>
      <c r="AL26" s="825"/>
      <c r="AM26" s="826"/>
    </row>
    <row r="27" spans="2:39">
      <c r="B27" s="286" t="s">
        <v>199</v>
      </c>
      <c r="C27" s="288">
        <v>1.21</v>
      </c>
      <c r="D27" s="288">
        <v>0.6</v>
      </c>
      <c r="E27" s="288">
        <v>1.32</v>
      </c>
      <c r="F27" s="288">
        <f>28.68-(C27+D27+E27)</f>
        <v>25.55</v>
      </c>
      <c r="G27" s="288">
        <v>0.47</v>
      </c>
      <c r="H27" s="288">
        <v>0.08</v>
      </c>
      <c r="I27" s="288">
        <v>1.23</v>
      </c>
      <c r="J27" s="288">
        <f>7.21-(G27+H27+I27)</f>
        <v>5.43</v>
      </c>
      <c r="K27" s="288">
        <v>9.5399999999999991</v>
      </c>
      <c r="L27" s="288">
        <v>0.16</v>
      </c>
      <c r="M27" s="288">
        <v>6.37</v>
      </c>
      <c r="N27" s="290"/>
      <c r="O27" s="288">
        <v>0</v>
      </c>
      <c r="P27" s="288">
        <v>1.76</v>
      </c>
      <c r="Q27" s="288">
        <v>0.80300000000000005</v>
      </c>
      <c r="R27" s="288">
        <v>28.683</v>
      </c>
      <c r="S27" s="288">
        <v>7.2060000000000004</v>
      </c>
      <c r="T27" s="288"/>
      <c r="U27" s="288">
        <v>0</v>
      </c>
      <c r="V27" s="288">
        <v>0</v>
      </c>
      <c r="W27" s="288">
        <v>0</v>
      </c>
      <c r="X27" s="288">
        <v>0</v>
      </c>
      <c r="Y27" s="288">
        <v>0</v>
      </c>
      <c r="Z27" s="288">
        <v>0</v>
      </c>
      <c r="AA27" s="288">
        <v>0</v>
      </c>
      <c r="AB27" s="288">
        <v>0</v>
      </c>
      <c r="AC27" s="288">
        <v>0</v>
      </c>
      <c r="AD27" s="288">
        <v>0</v>
      </c>
      <c r="AH27" s="857" t="s">
        <v>611</v>
      </c>
      <c r="AI27" s="858"/>
      <c r="AJ27" s="858"/>
      <c r="AK27" s="858"/>
      <c r="AL27" s="858"/>
      <c r="AM27" s="859"/>
    </row>
    <row r="28" spans="2:39">
      <c r="B28" s="275" t="s">
        <v>193</v>
      </c>
      <c r="C28" s="276">
        <f t="shared" ref="C28:M28" si="36">ABS(C27/C$14)</f>
        <v>6.9588221762134804E-3</v>
      </c>
      <c r="D28" s="276">
        <f t="shared" si="36"/>
        <v>3.2644350767747155E-3</v>
      </c>
      <c r="E28" s="276">
        <f t="shared" si="36"/>
        <v>6.9932039192064149E-3</v>
      </c>
      <c r="F28" s="276">
        <f t="shared" si="36"/>
        <v>0.13872564744587815</v>
      </c>
      <c r="G28" s="276">
        <f t="shared" si="36"/>
        <v>2.2455935478753225E-3</v>
      </c>
      <c r="H28" s="276">
        <f t="shared" si="36"/>
        <v>3.4719237179877066E-4</v>
      </c>
      <c r="I28" s="276">
        <f t="shared" si="36"/>
        <v>5.130199684966248E-3</v>
      </c>
      <c r="J28" s="276">
        <f t="shared" si="36"/>
        <v>2.3592052759104896E-2</v>
      </c>
      <c r="K28" s="276">
        <f t="shared" si="36"/>
        <v>3.5823598450177567E-2</v>
      </c>
      <c r="L28" s="276">
        <f t="shared" si="36"/>
        <v>5.7705723137413617E-4</v>
      </c>
      <c r="M28" s="276">
        <f t="shared" si="36"/>
        <v>2.2738053439489647E-2</v>
      </c>
      <c r="N28" s="283"/>
      <c r="O28" s="276">
        <f t="shared" ref="O28:S28" si="37">ABS(O27/O$14)</f>
        <v>0</v>
      </c>
      <c r="P28" s="276">
        <f t="shared" si="37"/>
        <v>7.9022607500993953E-3</v>
      </c>
      <c r="Q28" s="276">
        <f t="shared" si="37"/>
        <v>1.4611276005364654E-3</v>
      </c>
      <c r="R28" s="276">
        <f t="shared" si="37"/>
        <v>3.9237621104941743E-2</v>
      </c>
      <c r="S28" s="276">
        <f t="shared" si="37"/>
        <v>7.9250387673628301E-3</v>
      </c>
      <c r="T28" s="276"/>
      <c r="U28" s="326">
        <v>0</v>
      </c>
      <c r="V28" s="326">
        <v>0</v>
      </c>
      <c r="W28" s="326">
        <v>0</v>
      </c>
      <c r="X28" s="326">
        <v>0</v>
      </c>
      <c r="Y28" s="326">
        <v>0</v>
      </c>
      <c r="Z28" s="326">
        <v>0</v>
      </c>
      <c r="AA28" s="326">
        <v>0</v>
      </c>
      <c r="AB28" s="326">
        <v>0</v>
      </c>
      <c r="AC28" s="326">
        <v>0</v>
      </c>
      <c r="AD28" s="326">
        <v>0</v>
      </c>
      <c r="AH28" s="845" t="s">
        <v>612</v>
      </c>
      <c r="AI28" s="825"/>
      <c r="AJ28" s="825"/>
      <c r="AK28" s="825"/>
      <c r="AL28" s="825"/>
      <c r="AM28" s="826"/>
    </row>
    <row r="29" spans="2:39">
      <c r="B29" s="286" t="s">
        <v>200</v>
      </c>
      <c r="C29" s="288">
        <v>0.443</v>
      </c>
      <c r="D29" s="288">
        <v>2.9000000000000001E-2</v>
      </c>
      <c r="E29" s="288">
        <v>0.96799999999999997</v>
      </c>
      <c r="F29" s="288">
        <v>0.29699999999999999</v>
      </c>
      <c r="G29" s="288">
        <v>0.67100000000000004</v>
      </c>
      <c r="H29" s="288">
        <v>0.68899999999999995</v>
      </c>
      <c r="I29" s="288">
        <v>-0.97899999999999998</v>
      </c>
      <c r="J29" s="288">
        <v>0.501</v>
      </c>
      <c r="K29" s="288">
        <v>8.5000000000000006E-2</v>
      </c>
      <c r="L29" s="288">
        <v>-1.337</v>
      </c>
      <c r="M29" s="288">
        <v>2.5139999999999998</v>
      </c>
      <c r="N29" s="290"/>
      <c r="O29" s="288">
        <v>-0.39500000000000002</v>
      </c>
      <c r="P29" s="288">
        <v>2.0979999999999999</v>
      </c>
      <c r="Q29" s="288">
        <v>0.61099999999999999</v>
      </c>
      <c r="R29" s="288">
        <v>-0.19900000000000001</v>
      </c>
      <c r="S29" s="288">
        <v>0.88200000000000001</v>
      </c>
      <c r="T29" s="288"/>
      <c r="U29" s="288">
        <v>0</v>
      </c>
      <c r="V29" s="288">
        <f>U29*(1+V30)</f>
        <v>0</v>
      </c>
      <c r="W29" s="288">
        <f t="shared" ref="W29:AC29" si="38">V29*(1+W30)</f>
        <v>0</v>
      </c>
      <c r="X29" s="288">
        <f t="shared" si="38"/>
        <v>0</v>
      </c>
      <c r="Y29" s="288">
        <f t="shared" si="38"/>
        <v>0</v>
      </c>
      <c r="Z29" s="288">
        <f t="shared" si="38"/>
        <v>0</v>
      </c>
      <c r="AA29" s="288">
        <f t="shared" si="38"/>
        <v>0</v>
      </c>
      <c r="AB29" s="288">
        <f t="shared" si="38"/>
        <v>0</v>
      </c>
      <c r="AC29" s="288">
        <f t="shared" si="38"/>
        <v>0</v>
      </c>
      <c r="AD29" s="288">
        <f>AC29*(1+AD30)</f>
        <v>0</v>
      </c>
      <c r="AH29" s="845"/>
      <c r="AI29" s="825"/>
      <c r="AJ29" s="825"/>
      <c r="AK29" s="825"/>
      <c r="AL29" s="825"/>
      <c r="AM29" s="826"/>
    </row>
    <row r="30" spans="2:39">
      <c r="B30" s="275" t="s">
        <v>193</v>
      </c>
      <c r="C30" s="276">
        <f t="shared" ref="C30:M30" si="39">ABS(C29/C$14)</f>
        <v>2.5477340694732E-3</v>
      </c>
      <c r="D30" s="276">
        <f t="shared" si="39"/>
        <v>1.5778102871077791E-4</v>
      </c>
      <c r="E30" s="276">
        <f t="shared" si="39"/>
        <v>5.1283495407513707E-3</v>
      </c>
      <c r="F30" s="276">
        <f t="shared" si="39"/>
        <v>1.6125838470225364E-3</v>
      </c>
      <c r="G30" s="276">
        <f t="shared" si="39"/>
        <v>3.2059431289879611E-3</v>
      </c>
      <c r="H30" s="276">
        <f t="shared" si="39"/>
        <v>2.9901943021169116E-3</v>
      </c>
      <c r="I30" s="276">
        <f t="shared" si="39"/>
        <v>4.0833052777089086E-3</v>
      </c>
      <c r="J30" s="276">
        <f t="shared" si="39"/>
        <v>2.1767253098179656E-3</v>
      </c>
      <c r="K30" s="276">
        <f t="shared" si="39"/>
        <v>3.1918300505923413E-4</v>
      </c>
      <c r="L30" s="276">
        <f t="shared" si="39"/>
        <v>4.822034489670125E-3</v>
      </c>
      <c r="M30" s="276">
        <f t="shared" si="39"/>
        <v>8.9738565693684401E-3</v>
      </c>
      <c r="N30" s="283"/>
      <c r="O30" s="276">
        <f t="shared" ref="O30:S30" si="40">ABS(O29/O$14)</f>
        <v>3.2739328636552014E-3</v>
      </c>
      <c r="P30" s="276">
        <f t="shared" si="40"/>
        <v>9.419854007788938E-3</v>
      </c>
      <c r="Q30" s="276">
        <f t="shared" si="40"/>
        <v>1.1117670783658534E-3</v>
      </c>
      <c r="R30" s="276">
        <f t="shared" si="40"/>
        <v>2.7222698462097436E-4</v>
      </c>
      <c r="S30" s="276">
        <f t="shared" si="40"/>
        <v>9.7000890824507579E-4</v>
      </c>
      <c r="T30" s="276"/>
      <c r="U30" s="326">
        <v>0</v>
      </c>
      <c r="V30" s="326">
        <v>0</v>
      </c>
      <c r="W30" s="326">
        <v>0</v>
      </c>
      <c r="X30" s="326">
        <v>0</v>
      </c>
      <c r="Y30" s="326">
        <v>0</v>
      </c>
      <c r="Z30" s="326">
        <v>0</v>
      </c>
      <c r="AA30" s="326">
        <v>0</v>
      </c>
      <c r="AB30" s="326">
        <v>0</v>
      </c>
      <c r="AC30" s="326">
        <v>0</v>
      </c>
      <c r="AD30" s="326">
        <v>0</v>
      </c>
      <c r="AH30" s="845"/>
      <c r="AI30" s="825"/>
      <c r="AJ30" s="825"/>
      <c r="AK30" s="825"/>
      <c r="AL30" s="825"/>
      <c r="AM30" s="826"/>
    </row>
    <row r="31" spans="2:39">
      <c r="B31" s="286" t="s">
        <v>201</v>
      </c>
      <c r="C31" s="288">
        <v>0</v>
      </c>
      <c r="D31" s="288">
        <v>0</v>
      </c>
      <c r="E31" s="288">
        <v>0</v>
      </c>
      <c r="F31" s="288">
        <v>0</v>
      </c>
      <c r="G31" s="288">
        <v>0</v>
      </c>
      <c r="H31" s="288">
        <v>0</v>
      </c>
      <c r="I31" s="288">
        <v>0</v>
      </c>
      <c r="J31" s="288">
        <v>0</v>
      </c>
      <c r="K31" s="288">
        <v>0</v>
      </c>
      <c r="L31" s="288">
        <v>0</v>
      </c>
      <c r="M31" s="288">
        <v>0</v>
      </c>
      <c r="N31" s="290"/>
      <c r="O31" s="288">
        <v>0</v>
      </c>
      <c r="P31" s="288">
        <v>0</v>
      </c>
      <c r="Q31" s="288">
        <v>0</v>
      </c>
      <c r="R31" s="288">
        <f>SUM(C31:F31)</f>
        <v>0</v>
      </c>
      <c r="S31" s="288">
        <f>SUM(G31:J31)</f>
        <v>0</v>
      </c>
      <c r="T31" s="288"/>
      <c r="U31" s="288">
        <f t="shared" ref="U31:AD31" si="41">SUM(I31:L31)</f>
        <v>0</v>
      </c>
      <c r="V31" s="288">
        <f t="shared" si="41"/>
        <v>0</v>
      </c>
      <c r="W31" s="288">
        <f t="shared" si="41"/>
        <v>0</v>
      </c>
      <c r="X31" s="288">
        <f>SUM(L31:O31)</f>
        <v>0</v>
      </c>
      <c r="Y31" s="288">
        <f t="shared" si="41"/>
        <v>0</v>
      </c>
      <c r="Z31" s="288">
        <f t="shared" si="41"/>
        <v>0</v>
      </c>
      <c r="AA31" s="288">
        <f t="shared" si="41"/>
        <v>0</v>
      </c>
      <c r="AB31" s="288">
        <f t="shared" si="41"/>
        <v>0</v>
      </c>
      <c r="AC31" s="288">
        <f t="shared" si="41"/>
        <v>0</v>
      </c>
      <c r="AD31" s="288">
        <f t="shared" si="41"/>
        <v>0</v>
      </c>
      <c r="AH31" s="845"/>
      <c r="AI31" s="825"/>
      <c r="AJ31" s="825"/>
      <c r="AK31" s="825"/>
      <c r="AL31" s="825"/>
      <c r="AM31" s="826"/>
    </row>
    <row r="32" spans="2:39">
      <c r="B32" s="275" t="s">
        <v>193</v>
      </c>
      <c r="C32" s="276">
        <f t="shared" ref="C32:M32" si="42">ABS(C31/C$14)</f>
        <v>0</v>
      </c>
      <c r="D32" s="276">
        <f t="shared" si="42"/>
        <v>0</v>
      </c>
      <c r="E32" s="276">
        <f t="shared" si="42"/>
        <v>0</v>
      </c>
      <c r="F32" s="276">
        <f t="shared" si="42"/>
        <v>0</v>
      </c>
      <c r="G32" s="276">
        <f t="shared" si="42"/>
        <v>0</v>
      </c>
      <c r="H32" s="276">
        <f t="shared" si="42"/>
        <v>0</v>
      </c>
      <c r="I32" s="276">
        <f t="shared" si="42"/>
        <v>0</v>
      </c>
      <c r="J32" s="276">
        <f t="shared" si="42"/>
        <v>0</v>
      </c>
      <c r="K32" s="276">
        <f t="shared" si="42"/>
        <v>0</v>
      </c>
      <c r="L32" s="276">
        <f t="shared" si="42"/>
        <v>0</v>
      </c>
      <c r="M32" s="276">
        <f t="shared" si="42"/>
        <v>0</v>
      </c>
      <c r="N32" s="283"/>
      <c r="O32" s="276">
        <f>ABS(O31/O$14)</f>
        <v>0</v>
      </c>
      <c r="P32" s="276">
        <f>ABS(P31/P$14)</f>
        <v>0</v>
      </c>
      <c r="Q32" s="276">
        <f>ABS(Q31/Q$14)</f>
        <v>0</v>
      </c>
      <c r="R32" s="276">
        <f>ABS(R31/R$14)</f>
        <v>0</v>
      </c>
      <c r="S32" s="276">
        <f>ABS(S31/S$14)</f>
        <v>0</v>
      </c>
      <c r="T32" s="276"/>
      <c r="U32" s="276">
        <f t="shared" ref="U32:AD32" si="43">ABS(U31/U$14)</f>
        <v>0</v>
      </c>
      <c r="V32" s="276">
        <f t="shared" si="43"/>
        <v>0</v>
      </c>
      <c r="W32" s="276">
        <f t="shared" si="43"/>
        <v>0</v>
      </c>
      <c r="X32" s="276">
        <f t="shared" si="43"/>
        <v>0</v>
      </c>
      <c r="Y32" s="276">
        <f t="shared" si="43"/>
        <v>0</v>
      </c>
      <c r="Z32" s="276">
        <f t="shared" si="43"/>
        <v>0</v>
      </c>
      <c r="AA32" s="276">
        <f t="shared" si="43"/>
        <v>0</v>
      </c>
      <c r="AB32" s="276">
        <f t="shared" si="43"/>
        <v>0</v>
      </c>
      <c r="AC32" s="276">
        <f t="shared" si="43"/>
        <v>0</v>
      </c>
      <c r="AD32" s="276">
        <f t="shared" si="43"/>
        <v>0</v>
      </c>
      <c r="AH32" s="845"/>
      <c r="AI32" s="825"/>
      <c r="AJ32" s="825"/>
      <c r="AK32" s="825"/>
      <c r="AL32" s="825"/>
      <c r="AM32" s="826"/>
    </row>
    <row r="33" spans="1:72">
      <c r="B33" s="286" t="s">
        <v>202</v>
      </c>
      <c r="C33" s="288">
        <v>0</v>
      </c>
      <c r="D33" s="288">
        <v>0</v>
      </c>
      <c r="E33" s="288">
        <v>0</v>
      </c>
      <c r="F33" s="288">
        <v>0</v>
      </c>
      <c r="G33" s="288">
        <v>0</v>
      </c>
      <c r="H33" s="288">
        <v>0</v>
      </c>
      <c r="I33" s="288">
        <v>0</v>
      </c>
      <c r="J33" s="288">
        <v>0</v>
      </c>
      <c r="K33" s="288">
        <v>0</v>
      </c>
      <c r="L33" s="288">
        <v>0</v>
      </c>
      <c r="M33" s="288">
        <v>0</v>
      </c>
      <c r="N33" s="290"/>
      <c r="O33" s="288">
        <v>0</v>
      </c>
      <c r="P33" s="288">
        <v>0</v>
      </c>
      <c r="Q33" s="288">
        <v>0</v>
      </c>
      <c r="R33" s="288">
        <v>748.71199999999999</v>
      </c>
      <c r="S33" s="288">
        <f>SUM(G33:J33)</f>
        <v>0</v>
      </c>
      <c r="T33" s="288"/>
      <c r="U33" s="288">
        <v>0</v>
      </c>
      <c r="V33" s="288">
        <f>U33*(1+V34)</f>
        <v>0</v>
      </c>
      <c r="W33" s="288">
        <f t="shared" ref="W33:AC33" si="44">V33*(1+W34)</f>
        <v>0</v>
      </c>
      <c r="X33" s="288">
        <f t="shared" si="44"/>
        <v>0</v>
      </c>
      <c r="Y33" s="288">
        <f t="shared" si="44"/>
        <v>0</v>
      </c>
      <c r="Z33" s="288">
        <f t="shared" si="44"/>
        <v>0</v>
      </c>
      <c r="AA33" s="288">
        <f t="shared" si="44"/>
        <v>0</v>
      </c>
      <c r="AB33" s="288">
        <f t="shared" si="44"/>
        <v>0</v>
      </c>
      <c r="AC33" s="288">
        <f t="shared" si="44"/>
        <v>0</v>
      </c>
      <c r="AD33" s="288">
        <f>AC33*(1+AD34)</f>
        <v>0</v>
      </c>
      <c r="AH33" s="845"/>
      <c r="AI33" s="825"/>
      <c r="AJ33" s="825"/>
      <c r="AK33" s="825"/>
      <c r="AL33" s="825"/>
      <c r="AM33" s="826"/>
    </row>
    <row r="34" spans="1:72">
      <c r="B34" s="275" t="s">
        <v>193</v>
      </c>
      <c r="C34" s="276">
        <f t="shared" ref="C34:M34" si="45">ABS(C33/C$14)</f>
        <v>0</v>
      </c>
      <c r="D34" s="276">
        <f t="shared" si="45"/>
        <v>0</v>
      </c>
      <c r="E34" s="276">
        <f t="shared" si="45"/>
        <v>0</v>
      </c>
      <c r="F34" s="276">
        <f t="shared" si="45"/>
        <v>0</v>
      </c>
      <c r="G34" s="276">
        <f t="shared" si="45"/>
        <v>0</v>
      </c>
      <c r="H34" s="276">
        <f t="shared" si="45"/>
        <v>0</v>
      </c>
      <c r="I34" s="276">
        <f t="shared" si="45"/>
        <v>0</v>
      </c>
      <c r="J34" s="276">
        <f t="shared" si="45"/>
        <v>0</v>
      </c>
      <c r="K34" s="276">
        <f t="shared" si="45"/>
        <v>0</v>
      </c>
      <c r="L34" s="276">
        <f t="shared" si="45"/>
        <v>0</v>
      </c>
      <c r="M34" s="276">
        <f t="shared" si="45"/>
        <v>0</v>
      </c>
      <c r="N34" s="283"/>
      <c r="O34" s="276">
        <f>ABS(O33/O$14)</f>
        <v>0</v>
      </c>
      <c r="P34" s="276">
        <f>ABS(P33/P$14)</f>
        <v>0</v>
      </c>
      <c r="Q34" s="276">
        <f>ABS(Q33/Q$14)</f>
        <v>0</v>
      </c>
      <c r="R34" s="276">
        <f>ABS(R33/R$14)</f>
        <v>1.0242191462790902</v>
      </c>
      <c r="S34" s="276">
        <f>ABS(S33/S$14)</f>
        <v>0</v>
      </c>
      <c r="T34" s="276"/>
      <c r="U34" s="326">
        <v>0</v>
      </c>
      <c r="V34" s="326">
        <v>0</v>
      </c>
      <c r="W34" s="326">
        <v>0</v>
      </c>
      <c r="X34" s="326">
        <v>0</v>
      </c>
      <c r="Y34" s="326">
        <v>0</v>
      </c>
      <c r="Z34" s="326">
        <v>0</v>
      </c>
      <c r="AA34" s="326">
        <v>0</v>
      </c>
      <c r="AB34" s="326">
        <v>0</v>
      </c>
      <c r="AC34" s="326">
        <v>0</v>
      </c>
      <c r="AD34" s="326">
        <v>0</v>
      </c>
      <c r="AH34" s="857" t="s">
        <v>613</v>
      </c>
      <c r="AI34" s="858"/>
      <c r="AJ34" s="858"/>
      <c r="AK34" s="858"/>
      <c r="AL34" s="858"/>
      <c r="AM34" s="879"/>
    </row>
    <row r="35" spans="1:72">
      <c r="B35" s="286" t="s">
        <v>203</v>
      </c>
      <c r="C35" s="288">
        <v>17.103000000000002</v>
      </c>
      <c r="D35" s="288">
        <v>12.653</v>
      </c>
      <c r="E35" s="288">
        <v>6.29</v>
      </c>
      <c r="F35" s="288">
        <v>5.7460000000000004</v>
      </c>
      <c r="G35" s="288">
        <v>2.5449999999999999</v>
      </c>
      <c r="H35" s="288">
        <v>0.56000000000000005</v>
      </c>
      <c r="I35" s="288">
        <v>0</v>
      </c>
      <c r="J35" s="288">
        <v>0</v>
      </c>
      <c r="K35" s="288">
        <v>0</v>
      </c>
      <c r="L35" s="288">
        <v>5.1999999999999998E-2</v>
      </c>
      <c r="M35" s="288">
        <v>0.157</v>
      </c>
      <c r="N35" s="290"/>
      <c r="O35" s="288">
        <v>11.087</v>
      </c>
      <c r="P35" s="288">
        <v>11.807</v>
      </c>
      <c r="Q35" s="288">
        <v>50.491</v>
      </c>
      <c r="R35" s="288">
        <v>41.792000000000002</v>
      </c>
      <c r="S35" s="288">
        <v>3.105</v>
      </c>
      <c r="T35" s="288"/>
      <c r="U35" s="288">
        <v>0</v>
      </c>
      <c r="V35" s="288">
        <f>U35*(1+V36)</f>
        <v>0</v>
      </c>
      <c r="W35" s="288">
        <f t="shared" ref="W35:AC35" si="46">V35*(1+W36)</f>
        <v>0</v>
      </c>
      <c r="X35" s="288">
        <f t="shared" si="46"/>
        <v>0</v>
      </c>
      <c r="Y35" s="288">
        <f t="shared" si="46"/>
        <v>0</v>
      </c>
      <c r="Z35" s="288">
        <f t="shared" si="46"/>
        <v>0</v>
      </c>
      <c r="AA35" s="288">
        <f t="shared" si="46"/>
        <v>0</v>
      </c>
      <c r="AB35" s="288">
        <f t="shared" si="46"/>
        <v>0</v>
      </c>
      <c r="AC35" s="288">
        <f t="shared" si="46"/>
        <v>0</v>
      </c>
      <c r="AD35" s="288">
        <f>AC35*(1+AD36)</f>
        <v>0</v>
      </c>
      <c r="AH35" s="878" t="s">
        <v>614</v>
      </c>
      <c r="AI35" s="825"/>
      <c r="AJ35" s="825"/>
      <c r="AK35" s="825"/>
      <c r="AL35" s="825"/>
      <c r="AM35" s="826"/>
    </row>
    <row r="36" spans="1:72">
      <c r="B36" s="275" t="s">
        <v>193</v>
      </c>
      <c r="C36" s="276">
        <f t="shared" ref="C36:M36" si="47">ABS(C35/C$14)</f>
        <v>9.8360938578329893E-2</v>
      </c>
      <c r="D36" s="276">
        <f t="shared" si="47"/>
        <v>6.8841495044050793E-2</v>
      </c>
      <c r="E36" s="276">
        <f t="shared" si="47"/>
        <v>3.3323676251369956E-2</v>
      </c>
      <c r="F36" s="276">
        <f t="shared" si="47"/>
        <v>3.1198339343405709E-2</v>
      </c>
      <c r="G36" s="276">
        <f t="shared" si="47"/>
        <v>1.2159650168814247E-2</v>
      </c>
      <c r="H36" s="276">
        <f t="shared" si="47"/>
        <v>2.4303466025913946E-3</v>
      </c>
      <c r="I36" s="276">
        <f t="shared" si="47"/>
        <v>0</v>
      </c>
      <c r="J36" s="276">
        <f t="shared" si="47"/>
        <v>0</v>
      </c>
      <c r="K36" s="276">
        <f t="shared" si="47"/>
        <v>0</v>
      </c>
      <c r="L36" s="276">
        <f t="shared" si="47"/>
        <v>1.8754360019659425E-4</v>
      </c>
      <c r="M36" s="276">
        <f t="shared" si="47"/>
        <v>5.6041984144425037E-4</v>
      </c>
      <c r="N36" s="283"/>
      <c r="O36" s="276">
        <f>ABS(O35/O$14)</f>
        <v>9.1893907998342322E-2</v>
      </c>
      <c r="P36" s="276">
        <f>ABS(P35/P$14)</f>
        <v>5.301249583887703E-2</v>
      </c>
      <c r="Q36" s="276">
        <f>ABS(Q35/Q$14)</f>
        <v>9.1872719400606068E-2</v>
      </c>
      <c r="R36" s="276">
        <f>ABS(R35/R$14)</f>
        <v>5.7170402719998792E-2</v>
      </c>
      <c r="S36" s="276">
        <f>ABS(S35/S$14)</f>
        <v>3.4148272790260319E-3</v>
      </c>
      <c r="T36" s="276"/>
      <c r="U36" s="326">
        <v>0</v>
      </c>
      <c r="V36" s="326">
        <v>0</v>
      </c>
      <c r="W36" s="326">
        <v>0</v>
      </c>
      <c r="X36" s="326">
        <v>0</v>
      </c>
      <c r="Y36" s="326">
        <v>0</v>
      </c>
      <c r="Z36" s="326">
        <v>0</v>
      </c>
      <c r="AA36" s="326">
        <v>0</v>
      </c>
      <c r="AB36" s="326">
        <v>0</v>
      </c>
      <c r="AC36" s="326">
        <v>0</v>
      </c>
      <c r="AD36" s="326">
        <v>0</v>
      </c>
      <c r="AH36" s="845"/>
      <c r="AI36" s="825"/>
      <c r="AJ36" s="825"/>
      <c r="AK36" s="825"/>
      <c r="AL36" s="825"/>
      <c r="AM36" s="826"/>
    </row>
    <row r="37" spans="1:72">
      <c r="B37" s="296" t="s">
        <v>204</v>
      </c>
      <c r="C37" s="288">
        <f>C29+C31+C33+C35</f>
        <v>17.546000000000003</v>
      </c>
      <c r="D37" s="288">
        <f t="shared" ref="D37:M37" si="48">D29+D31+D33+D35</f>
        <v>12.682</v>
      </c>
      <c r="E37" s="288">
        <f t="shared" si="48"/>
        <v>7.258</v>
      </c>
      <c r="F37" s="288">
        <f t="shared" si="48"/>
        <v>6.0430000000000001</v>
      </c>
      <c r="G37" s="288">
        <f t="shared" si="48"/>
        <v>3.2160000000000002</v>
      </c>
      <c r="H37" s="288">
        <f t="shared" si="48"/>
        <v>1.2490000000000001</v>
      </c>
      <c r="I37" s="288">
        <f t="shared" si="48"/>
        <v>-0.97899999999999998</v>
      </c>
      <c r="J37" s="288">
        <f t="shared" si="48"/>
        <v>0.501</v>
      </c>
      <c r="K37" s="288">
        <f t="shared" si="48"/>
        <v>8.5000000000000006E-2</v>
      </c>
      <c r="L37" s="288">
        <f t="shared" si="48"/>
        <v>-1.2849999999999999</v>
      </c>
      <c r="M37" s="288">
        <f t="shared" si="48"/>
        <v>2.6709999999999998</v>
      </c>
      <c r="N37" s="290"/>
      <c r="O37" s="288">
        <f>O29+O31+O33+O35</f>
        <v>10.692</v>
      </c>
      <c r="P37" s="288">
        <f t="shared" ref="P37:R37" si="49">P29+P31+P33+P35</f>
        <v>13.905000000000001</v>
      </c>
      <c r="Q37" s="288">
        <f t="shared" si="49"/>
        <v>51.101999999999997</v>
      </c>
      <c r="R37" s="288">
        <f t="shared" si="49"/>
        <v>790.30500000000006</v>
      </c>
      <c r="S37" s="288">
        <f>S29+S31+S33+S35</f>
        <v>3.9870000000000001</v>
      </c>
      <c r="T37" s="288"/>
      <c r="U37" s="288">
        <f t="shared" ref="U37:AD37" si="50">U29+U31+U33+U35</f>
        <v>0</v>
      </c>
      <c r="V37" s="288">
        <f t="shared" si="50"/>
        <v>0</v>
      </c>
      <c r="W37" s="288">
        <f t="shared" si="50"/>
        <v>0</v>
      </c>
      <c r="X37" s="288">
        <f t="shared" si="50"/>
        <v>0</v>
      </c>
      <c r="Y37" s="288">
        <f t="shared" si="50"/>
        <v>0</v>
      </c>
      <c r="Z37" s="288">
        <f t="shared" si="50"/>
        <v>0</v>
      </c>
      <c r="AA37" s="288">
        <f t="shared" si="50"/>
        <v>0</v>
      </c>
      <c r="AB37" s="288">
        <f t="shared" si="50"/>
        <v>0</v>
      </c>
      <c r="AC37" s="288">
        <f t="shared" si="50"/>
        <v>0</v>
      </c>
      <c r="AD37" s="288">
        <f t="shared" si="50"/>
        <v>0</v>
      </c>
      <c r="AH37" s="845"/>
      <c r="AI37" s="825"/>
      <c r="AJ37" s="825"/>
      <c r="AK37" s="825"/>
      <c r="AL37" s="825"/>
      <c r="AM37" s="826"/>
    </row>
    <row r="38" spans="1:72">
      <c r="B38" s="275" t="s">
        <v>193</v>
      </c>
      <c r="C38" s="276">
        <f t="shared" ref="C38:M38" si="51">ABS(C37/C$14)</f>
        <v>0.10090867264780311</v>
      </c>
      <c r="D38" s="276">
        <f t="shared" si="51"/>
        <v>6.8999276072761573E-2</v>
      </c>
      <c r="E38" s="276">
        <f t="shared" si="51"/>
        <v>3.8452025792121328E-2</v>
      </c>
      <c r="F38" s="276">
        <f t="shared" si="51"/>
        <v>3.2810923190428248E-2</v>
      </c>
      <c r="G38" s="276">
        <f t="shared" si="51"/>
        <v>1.5365593297802209E-2</v>
      </c>
      <c r="H38" s="276">
        <f t="shared" si="51"/>
        <v>5.4205409047083071E-3</v>
      </c>
      <c r="I38" s="276">
        <f t="shared" si="51"/>
        <v>4.0833052777089086E-3</v>
      </c>
      <c r="J38" s="276">
        <f t="shared" si="51"/>
        <v>2.1767253098179656E-3</v>
      </c>
      <c r="K38" s="276">
        <f t="shared" si="51"/>
        <v>3.1918300505923413E-4</v>
      </c>
      <c r="L38" s="276">
        <f t="shared" si="51"/>
        <v>4.6344908894735311E-3</v>
      </c>
      <c r="M38" s="276">
        <f t="shared" si="51"/>
        <v>9.5342764108126907E-3</v>
      </c>
      <c r="N38" s="283"/>
      <c r="O38" s="276">
        <f>ABS(O37/O$14)</f>
        <v>8.8619975134687112E-2</v>
      </c>
      <c r="P38" s="276">
        <f>ABS(P37/P$14)</f>
        <v>6.2432349846665972E-2</v>
      </c>
      <c r="Q38" s="276">
        <f>ABS(Q37/Q$14)</f>
        <v>9.2984486478971909E-2</v>
      </c>
      <c r="R38" s="276">
        <f>ABS(R37/R$14)</f>
        <v>1.0811173220144681</v>
      </c>
      <c r="S38" s="276">
        <f>ABS(S37/S$14)</f>
        <v>4.3848361872711079E-3</v>
      </c>
      <c r="T38" s="276"/>
      <c r="U38" s="276">
        <f t="shared" ref="U38:AD38" si="52">ABS(U37/U$14)</f>
        <v>0</v>
      </c>
      <c r="V38" s="276">
        <f t="shared" si="52"/>
        <v>0</v>
      </c>
      <c r="W38" s="276">
        <f t="shared" si="52"/>
        <v>0</v>
      </c>
      <c r="X38" s="276">
        <f t="shared" si="52"/>
        <v>0</v>
      </c>
      <c r="Y38" s="276">
        <f t="shared" si="52"/>
        <v>0</v>
      </c>
      <c r="Z38" s="276">
        <f t="shared" si="52"/>
        <v>0</v>
      </c>
      <c r="AA38" s="276">
        <f t="shared" si="52"/>
        <v>0</v>
      </c>
      <c r="AB38" s="276">
        <f t="shared" si="52"/>
        <v>0</v>
      </c>
      <c r="AC38" s="276">
        <f t="shared" si="52"/>
        <v>0</v>
      </c>
      <c r="AD38" s="276">
        <f t="shared" si="52"/>
        <v>0</v>
      </c>
      <c r="AH38" s="845"/>
      <c r="AI38" s="825"/>
      <c r="AJ38" s="825"/>
      <c r="AK38" s="825"/>
      <c r="AL38" s="825"/>
      <c r="AM38" s="826"/>
    </row>
    <row r="39" spans="1:72">
      <c r="B39" s="286" t="s">
        <v>205</v>
      </c>
      <c r="C39" s="288">
        <v>1.2210000000000001</v>
      </c>
      <c r="D39" s="288">
        <v>1.1180000000000001</v>
      </c>
      <c r="E39" s="288">
        <v>1.327</v>
      </c>
      <c r="F39" s="288">
        <v>1.7350000000000001</v>
      </c>
      <c r="G39" s="288">
        <v>1.4570000000000001</v>
      </c>
      <c r="H39" s="288">
        <v>1.4930000000000001</v>
      </c>
      <c r="I39" s="288">
        <v>1.8939999999999999</v>
      </c>
      <c r="J39" s="288">
        <v>1.79</v>
      </c>
      <c r="K39" s="288">
        <v>1.9730000000000001</v>
      </c>
      <c r="L39" s="288">
        <v>1.853</v>
      </c>
      <c r="M39" s="288">
        <v>1.891</v>
      </c>
      <c r="N39" s="288"/>
      <c r="O39" s="288">
        <v>1.7490000000000001</v>
      </c>
      <c r="P39" s="288">
        <v>2.4790000000000001</v>
      </c>
      <c r="Q39" s="288">
        <v>4.9930000000000003</v>
      </c>
      <c r="R39" s="288">
        <v>5.4710000000000001</v>
      </c>
      <c r="S39" s="288">
        <v>6.6340000000000003</v>
      </c>
      <c r="T39" s="288"/>
      <c r="U39" s="337">
        <f>U$14*U40</f>
        <v>8.0076584999999998</v>
      </c>
      <c r="V39" s="337">
        <f t="shared" ref="V39:AD39" si="53">V14*V40</f>
        <v>9.0976239925999991</v>
      </c>
      <c r="W39" s="337">
        <f t="shared" si="53"/>
        <v>10.090811555442281</v>
      </c>
      <c r="X39" s="337">
        <f t="shared" si="53"/>
        <v>11.129269860787522</v>
      </c>
      <c r="Y39" s="337">
        <f t="shared" si="53"/>
        <v>11.825308847894114</v>
      </c>
      <c r="Z39" s="337">
        <f t="shared" si="53"/>
        <v>11.99454024005936</v>
      </c>
      <c r="AA39" s="337">
        <f t="shared" si="53"/>
        <v>12.208997466099959</v>
      </c>
      <c r="AB39" s="337">
        <f t="shared" si="53"/>
        <v>12.191111920269675</v>
      </c>
      <c r="AC39" s="337">
        <f t="shared" si="53"/>
        <v>12.75758687887061</v>
      </c>
      <c r="AD39" s="337">
        <f t="shared" si="53"/>
        <v>13.034435239091581</v>
      </c>
      <c r="AH39" s="845"/>
      <c r="AI39" s="825"/>
      <c r="AJ39" s="825"/>
      <c r="AK39" s="825"/>
      <c r="AL39" s="825"/>
      <c r="AM39" s="826"/>
    </row>
    <row r="40" spans="1:72">
      <c r="B40" s="275" t="s">
        <v>193</v>
      </c>
      <c r="C40" s="276">
        <f t="shared" ref="C40:M40" si="54">ABS(C39/C$14)</f>
        <v>7.0220841959972398E-3</v>
      </c>
      <c r="D40" s="276">
        <f t="shared" si="54"/>
        <v>6.0827306930568868E-3</v>
      </c>
      <c r="E40" s="276">
        <f t="shared" si="54"/>
        <v>7.030289091505236E-3</v>
      </c>
      <c r="F40" s="276">
        <f t="shared" si="54"/>
        <v>9.4203130457377136E-3</v>
      </c>
      <c r="G40" s="276">
        <f t="shared" si="54"/>
        <v>6.9613399984135007E-3</v>
      </c>
      <c r="H40" s="276">
        <f t="shared" si="54"/>
        <v>6.4794776386945573E-3</v>
      </c>
      <c r="I40" s="276">
        <f t="shared" si="54"/>
        <v>7.8996733360374577E-3</v>
      </c>
      <c r="J40" s="276">
        <f t="shared" si="54"/>
        <v>7.7771223644194781E-3</v>
      </c>
      <c r="K40" s="276">
        <f t="shared" si="54"/>
        <v>7.4088008115514E-3</v>
      </c>
      <c r="L40" s="276">
        <f t="shared" si="54"/>
        <v>6.6830440608517143E-3</v>
      </c>
      <c r="M40" s="276">
        <f t="shared" si="54"/>
        <v>6.7500249692425312E-3</v>
      </c>
      <c r="N40" s="276"/>
      <c r="O40" s="276">
        <f t="shared" ref="O40:S40" si="55">ABS(O39/O$14)</f>
        <v>1.4496477414007461E-2</v>
      </c>
      <c r="P40" s="276">
        <f t="shared" si="55"/>
        <v>1.1130513863350228E-2</v>
      </c>
      <c r="Q40" s="276">
        <f t="shared" si="55"/>
        <v>9.0851931624888818E-3</v>
      </c>
      <c r="R40" s="276">
        <f t="shared" si="55"/>
        <v>7.4841901148811583E-3</v>
      </c>
      <c r="S40" s="276">
        <f t="shared" si="55"/>
        <v>7.2959626953490167E-3</v>
      </c>
      <c r="T40" s="276"/>
      <c r="U40" s="325">
        <v>7.4999999999999997E-3</v>
      </c>
      <c r="V40" s="325">
        <v>7.3000000000000001E-3</v>
      </c>
      <c r="W40" s="325">
        <v>7.1000000000000004E-3</v>
      </c>
      <c r="X40" s="325">
        <v>6.8999999999999999E-3</v>
      </c>
      <c r="Y40" s="325">
        <v>6.4999999999999997E-3</v>
      </c>
      <c r="Z40" s="325">
        <v>5.8999999999999999E-3</v>
      </c>
      <c r="AA40" s="325">
        <v>5.4000000000000003E-3</v>
      </c>
      <c r="AB40" s="325">
        <v>4.8999999999999998E-3</v>
      </c>
      <c r="AC40" s="325">
        <v>4.7000000000000002E-3</v>
      </c>
      <c r="AD40" s="325">
        <v>4.4999999999999997E-3</v>
      </c>
      <c r="AH40" s="845"/>
      <c r="AI40" s="825"/>
      <c r="AJ40" s="825"/>
      <c r="AK40" s="825"/>
      <c r="AL40" s="825"/>
      <c r="AM40" s="826"/>
    </row>
    <row r="41" spans="1:72">
      <c r="B41" s="286" t="s">
        <v>206</v>
      </c>
      <c r="C41" s="288">
        <v>2.0470000000000002</v>
      </c>
      <c r="D41" s="288">
        <v>2.0630000000000002</v>
      </c>
      <c r="E41" s="288">
        <v>2.109</v>
      </c>
      <c r="F41" s="288">
        <v>2.0249999999999999</v>
      </c>
      <c r="G41" s="288">
        <v>2.23</v>
      </c>
      <c r="H41" s="288">
        <v>1.647</v>
      </c>
      <c r="I41" s="288">
        <v>1.651</v>
      </c>
      <c r="J41" s="288">
        <v>2.4180000000000001</v>
      </c>
      <c r="K41" s="288">
        <v>1.3939999999999999</v>
      </c>
      <c r="L41" s="288">
        <v>1.369</v>
      </c>
      <c r="M41" s="288">
        <v>1.218</v>
      </c>
      <c r="N41" s="288"/>
      <c r="O41" s="288">
        <v>2.492</v>
      </c>
      <c r="P41" s="288">
        <v>3.8759999999999999</v>
      </c>
      <c r="Q41" s="288">
        <v>7.7430000000000003</v>
      </c>
      <c r="R41" s="288">
        <v>8.2439999999999998</v>
      </c>
      <c r="S41" s="288">
        <v>7.9459999999999997</v>
      </c>
      <c r="T41" s="288"/>
      <c r="U41" s="337">
        <f t="shared" ref="U41:AD41" si="56">U$14*U42</f>
        <v>8.3279648399999981</v>
      </c>
      <c r="V41" s="337">
        <f t="shared" si="56"/>
        <v>8.723749033999999</v>
      </c>
      <c r="W41" s="337">
        <f t="shared" si="56"/>
        <v>8.9538187041248403</v>
      </c>
      <c r="X41" s="337">
        <f t="shared" si="56"/>
        <v>9.1937446676070831</v>
      </c>
      <c r="Y41" s="337">
        <f t="shared" si="56"/>
        <v>8.3686801077404489</v>
      </c>
      <c r="Z41" s="337">
        <f t="shared" si="56"/>
        <v>8.3351889803802344</v>
      </c>
      <c r="AA41" s="337">
        <f t="shared" si="56"/>
        <v>8.3654241897351564</v>
      </c>
      <c r="AB41" s="337">
        <f t="shared" si="56"/>
        <v>8.2103406809979447</v>
      </c>
      <c r="AC41" s="337">
        <f t="shared" si="56"/>
        <v>8.4145785796806134</v>
      </c>
      <c r="AD41" s="337">
        <f t="shared" si="56"/>
        <v>8.6896234927277209</v>
      </c>
      <c r="AH41" s="857" t="s">
        <v>615</v>
      </c>
      <c r="AI41" s="858"/>
      <c r="AJ41" s="858"/>
      <c r="AK41" s="858"/>
      <c r="AL41" s="858"/>
      <c r="AM41" s="859"/>
    </row>
    <row r="42" spans="1:72">
      <c r="B42" s="275" t="s">
        <v>193</v>
      </c>
      <c r="C42" s="276">
        <f t="shared" ref="C42:M42" si="57">ABS(C41/C$14)</f>
        <v>1.1772486772486773E-2</v>
      </c>
      <c r="D42" s="276">
        <f t="shared" si="57"/>
        <v>1.1224215938977064E-2</v>
      </c>
      <c r="E42" s="276">
        <f t="shared" si="57"/>
        <v>1.1173232625459339E-2</v>
      </c>
      <c r="F42" s="276">
        <f t="shared" si="57"/>
        <v>1.0994889866062748E-2</v>
      </c>
      <c r="G42" s="276">
        <f t="shared" si="57"/>
        <v>1.0654624705876531E-2</v>
      </c>
      <c r="H42" s="276">
        <f t="shared" si="57"/>
        <v>7.1478229544071903E-3</v>
      </c>
      <c r="I42" s="276">
        <f t="shared" si="57"/>
        <v>6.8861460812026636E-3</v>
      </c>
      <c r="J42" s="276">
        <f t="shared" si="57"/>
        <v>1.0505632333612458E-2</v>
      </c>
      <c r="K42" s="276">
        <f t="shared" si="57"/>
        <v>5.234601282971439E-3</v>
      </c>
      <c r="L42" s="276">
        <f t="shared" si="57"/>
        <v>4.9374459359449521E-3</v>
      </c>
      <c r="M42" s="276">
        <f t="shared" si="57"/>
        <v>4.3477157126057125E-3</v>
      </c>
      <c r="N42" s="276"/>
      <c r="O42" s="276">
        <f t="shared" ref="O42:S42" si="58">ABS(O41/O$14)</f>
        <v>2.0654786572731041E-2</v>
      </c>
      <c r="P42" s="276">
        <f t="shared" si="58"/>
        <v>1.7402933333741624E-2</v>
      </c>
      <c r="Q42" s="276">
        <f t="shared" si="58"/>
        <v>1.4089054808161708E-2</v>
      </c>
      <c r="R42" s="276">
        <f t="shared" si="58"/>
        <v>1.1277584227212624E-2</v>
      </c>
      <c r="S42" s="276">
        <f t="shared" si="58"/>
        <v>8.7388784409471332E-3</v>
      </c>
      <c r="T42" s="276"/>
      <c r="U42" s="325">
        <v>7.7999999999999996E-3</v>
      </c>
      <c r="V42" s="325">
        <v>7.0000000000000001E-3</v>
      </c>
      <c r="W42" s="325">
        <v>6.3E-3</v>
      </c>
      <c r="X42" s="325">
        <v>5.7000000000000002E-3</v>
      </c>
      <c r="Y42" s="325">
        <v>4.5999999999999999E-3</v>
      </c>
      <c r="Z42" s="325">
        <v>4.1000000000000003E-3</v>
      </c>
      <c r="AA42" s="325">
        <v>3.7000000000000002E-3</v>
      </c>
      <c r="AB42" s="325">
        <v>3.3E-3</v>
      </c>
      <c r="AC42" s="325">
        <v>3.0999999999999999E-3</v>
      </c>
      <c r="AD42" s="325">
        <v>3.0000000000000001E-3</v>
      </c>
      <c r="AH42" s="845" t="s">
        <v>616</v>
      </c>
      <c r="AI42" s="825"/>
      <c r="AJ42" s="825"/>
      <c r="AK42" s="825"/>
      <c r="AL42" s="825"/>
      <c r="AM42" s="826"/>
    </row>
    <row r="43" spans="1:72">
      <c r="B43" s="286" t="s">
        <v>207</v>
      </c>
      <c r="C43" s="288">
        <v>26.151</v>
      </c>
      <c r="D43" s="288">
        <v>25.876000000000001</v>
      </c>
      <c r="E43" s="288">
        <v>25.684000000000001</v>
      </c>
      <c r="F43" s="288">
        <v>25.366</v>
      </c>
      <c r="G43" s="288">
        <v>24.62</v>
      </c>
      <c r="H43" s="288">
        <v>24.504999999999999</v>
      </c>
      <c r="I43" s="288">
        <v>23.99</v>
      </c>
      <c r="J43" s="288">
        <v>23.670999999999999</v>
      </c>
      <c r="K43" s="288">
        <v>22.895</v>
      </c>
      <c r="L43" s="288">
        <v>22.611999999999998</v>
      </c>
      <c r="M43" s="288">
        <v>22.105</v>
      </c>
      <c r="N43" s="290"/>
      <c r="O43" s="288">
        <v>9.2260000000000009</v>
      </c>
      <c r="P43" s="288">
        <v>30.128</v>
      </c>
      <c r="Q43" s="288">
        <v>91.811999999999998</v>
      </c>
      <c r="R43" s="288">
        <v>101.54600000000001</v>
      </c>
      <c r="S43" s="288">
        <v>95.048000000000002</v>
      </c>
      <c r="T43" s="288"/>
      <c r="U43" s="337">
        <f>U$14*U44</f>
        <v>104.74017318</v>
      </c>
      <c r="V43" s="337">
        <f t="shared" ref="V43:AD43" si="59">V$14*V44</f>
        <v>112.5363625386</v>
      </c>
      <c r="W43" s="337">
        <f t="shared" si="59"/>
        <v>119.38424938833121</v>
      </c>
      <c r="X43" s="337">
        <f t="shared" si="59"/>
        <v>125.97043132282688</v>
      </c>
      <c r="Y43" s="337">
        <f t="shared" si="59"/>
        <v>132.0796034395558</v>
      </c>
      <c r="Z43" s="337">
        <f t="shared" si="59"/>
        <v>137.22567223796727</v>
      </c>
      <c r="AA43" s="337">
        <f t="shared" si="59"/>
        <v>141.76002613416063</v>
      </c>
      <c r="AB43" s="337">
        <f t="shared" si="59"/>
        <v>144.80055382850921</v>
      </c>
      <c r="AC43" s="337">
        <f t="shared" si="59"/>
        <v>146.5765300976623</v>
      </c>
      <c r="AD43" s="337">
        <f t="shared" si="59"/>
        <v>145.11671232855295</v>
      </c>
      <c r="AH43" s="845"/>
      <c r="AI43" s="825"/>
      <c r="AJ43" s="825"/>
      <c r="AK43" s="825"/>
      <c r="AL43" s="825"/>
      <c r="AM43" s="826"/>
    </row>
    <row r="44" spans="1:72">
      <c r="B44" s="275" t="s">
        <v>193</v>
      </c>
      <c r="C44" s="276">
        <f t="shared" ref="C44:M44" si="60">ABS(C43/C$14)</f>
        <v>0.15039682539682539</v>
      </c>
      <c r="D44" s="276">
        <f t="shared" si="60"/>
        <v>0.14078420341103756</v>
      </c>
      <c r="E44" s="276">
        <f t="shared" si="60"/>
        <v>0.13607079504613451</v>
      </c>
      <c r="F44" s="276">
        <f t="shared" si="60"/>
        <v>0.13772660560125813</v>
      </c>
      <c r="G44" s="276">
        <f t="shared" si="60"/>
        <v>0.11763087903976691</v>
      </c>
      <c r="H44" s="276">
        <f t="shared" si="60"/>
        <v>0.10634936338661093</v>
      </c>
      <c r="I44" s="276">
        <f t="shared" si="60"/>
        <v>0.10005974832710593</v>
      </c>
      <c r="J44" s="276">
        <f t="shared" si="60"/>
        <v>0.10284483993752706</v>
      </c>
      <c r="K44" s="276">
        <f t="shared" si="60"/>
        <v>8.5972881186249003E-2</v>
      </c>
      <c r="L44" s="276">
        <f t="shared" si="60"/>
        <v>8.1552613223949785E-2</v>
      </c>
      <c r="M44" s="276">
        <f t="shared" si="60"/>
        <v>7.8904971943472318E-2</v>
      </c>
      <c r="N44" s="283"/>
      <c r="O44" s="276">
        <f t="shared" ref="O44:S44" si="61">ABS(O43/O$14)</f>
        <v>7.6469125569830099E-2</v>
      </c>
      <c r="P44" s="276">
        <f t="shared" si="61"/>
        <v>0.13527233629488331</v>
      </c>
      <c r="Q44" s="276">
        <f t="shared" si="61"/>
        <v>0.16705983469545946</v>
      </c>
      <c r="R44" s="276">
        <f t="shared" si="61"/>
        <v>0.13891236874533397</v>
      </c>
      <c r="S44" s="276">
        <f t="shared" si="61"/>
        <v>0.10453220715519043</v>
      </c>
      <c r="T44" s="276"/>
      <c r="U44" s="325">
        <v>9.8100000000000007E-2</v>
      </c>
      <c r="V44" s="325">
        <v>9.0300000000000005E-2</v>
      </c>
      <c r="W44" s="325">
        <v>8.4000000000000005E-2</v>
      </c>
      <c r="X44" s="325">
        <v>7.8100000000000003E-2</v>
      </c>
      <c r="Y44" s="325">
        <v>7.2599999999999998E-2</v>
      </c>
      <c r="Z44" s="325">
        <v>6.7500000000000004E-2</v>
      </c>
      <c r="AA44" s="325">
        <v>6.2700000000000006E-2</v>
      </c>
      <c r="AB44" s="325">
        <v>5.8200000000000002E-2</v>
      </c>
      <c r="AC44" s="325">
        <v>5.3999999999999999E-2</v>
      </c>
      <c r="AD44" s="325">
        <v>5.0099999999999999E-2</v>
      </c>
      <c r="AH44" s="845"/>
      <c r="AI44" s="825"/>
      <c r="AJ44" s="825"/>
      <c r="AK44" s="825"/>
      <c r="AL44" s="825"/>
      <c r="AM44" s="826"/>
    </row>
    <row r="45" spans="1:72">
      <c r="B45" s="296" t="s">
        <v>208</v>
      </c>
      <c r="C45" s="288">
        <f>C$39+C$41+C$43</f>
        <v>29.419</v>
      </c>
      <c r="D45" s="288">
        <f t="shared" ref="D45:M45" si="62">D$39+D$41+D$43</f>
        <v>29.057000000000002</v>
      </c>
      <c r="E45" s="288">
        <f t="shared" si="62"/>
        <v>29.12</v>
      </c>
      <c r="F45" s="288">
        <f t="shared" si="62"/>
        <v>29.125999999999998</v>
      </c>
      <c r="G45" s="288">
        <f t="shared" si="62"/>
        <v>28.307000000000002</v>
      </c>
      <c r="H45" s="288">
        <f t="shared" si="62"/>
        <v>27.645</v>
      </c>
      <c r="I45" s="288">
        <f t="shared" si="62"/>
        <v>27.534999999999997</v>
      </c>
      <c r="J45" s="288">
        <f t="shared" si="62"/>
        <v>27.878999999999998</v>
      </c>
      <c r="K45" s="288">
        <f t="shared" si="62"/>
        <v>26.262</v>
      </c>
      <c r="L45" s="288">
        <f t="shared" si="62"/>
        <v>25.834</v>
      </c>
      <c r="M45" s="288">
        <f t="shared" si="62"/>
        <v>25.213999999999999</v>
      </c>
      <c r="N45" s="290"/>
      <c r="O45" s="288">
        <f>O$39+O$41+O$43</f>
        <v>13.467000000000001</v>
      </c>
      <c r="P45" s="288">
        <f t="shared" ref="P45:R45" si="63">P$39+P$41+P$43</f>
        <v>36.483000000000004</v>
      </c>
      <c r="Q45" s="288">
        <f t="shared" si="63"/>
        <v>104.548</v>
      </c>
      <c r="R45" s="288">
        <f t="shared" si="63"/>
        <v>115.26100000000001</v>
      </c>
      <c r="S45" s="288">
        <f>S$39+S$41+S$43</f>
        <v>109.628</v>
      </c>
      <c r="T45" s="288"/>
      <c r="U45" s="288">
        <f t="shared" ref="U45:AD45" si="64">U$39+U$41+U$43</f>
        <v>121.07579652</v>
      </c>
      <c r="V45" s="288">
        <f t="shared" si="64"/>
        <v>130.35773556520002</v>
      </c>
      <c r="W45" s="288">
        <f t="shared" si="64"/>
        <v>138.42887964789833</v>
      </c>
      <c r="X45" s="288">
        <f t="shared" si="64"/>
        <v>146.29344585122149</v>
      </c>
      <c r="Y45" s="288">
        <f t="shared" si="64"/>
        <v>152.27359239519035</v>
      </c>
      <c r="Z45" s="288">
        <f t="shared" si="64"/>
        <v>157.55540145840686</v>
      </c>
      <c r="AA45" s="288">
        <f t="shared" si="64"/>
        <v>162.33444778999575</v>
      </c>
      <c r="AB45" s="288">
        <f t="shared" si="64"/>
        <v>165.20200642977682</v>
      </c>
      <c r="AC45" s="288">
        <f t="shared" si="64"/>
        <v>167.74869555621353</v>
      </c>
      <c r="AD45" s="288">
        <f t="shared" si="64"/>
        <v>166.84077106037225</v>
      </c>
      <c r="AH45" s="845"/>
      <c r="AI45" s="825"/>
      <c r="AJ45" s="825"/>
      <c r="AK45" s="825"/>
      <c r="AL45" s="825"/>
      <c r="AM45" s="826"/>
    </row>
    <row r="46" spans="1:72">
      <c r="B46" s="275" t="s">
        <v>193</v>
      </c>
      <c r="C46" s="276">
        <f t="shared" ref="C46:M46" si="65">ABS(C45/C$14)</f>
        <v>0.16919139636530942</v>
      </c>
      <c r="D46" s="276">
        <f t="shared" si="65"/>
        <v>0.15809115004307153</v>
      </c>
      <c r="E46" s="276">
        <f t="shared" si="65"/>
        <v>0.15427431676309908</v>
      </c>
      <c r="F46" s="276">
        <f t="shared" si="65"/>
        <v>0.15814180851305856</v>
      </c>
      <c r="G46" s="276">
        <f t="shared" si="65"/>
        <v>0.13524684374405693</v>
      </c>
      <c r="H46" s="276">
        <f t="shared" si="65"/>
        <v>0.11997666397971267</v>
      </c>
      <c r="I46" s="276">
        <f t="shared" si="65"/>
        <v>0.11484556774434604</v>
      </c>
      <c r="J46" s="276">
        <f t="shared" si="65"/>
        <v>0.121127594635559</v>
      </c>
      <c r="K46" s="276">
        <f t="shared" si="65"/>
        <v>9.8616283280771849E-2</v>
      </c>
      <c r="L46" s="276">
        <f t="shared" si="65"/>
        <v>9.3173103220746456E-2</v>
      </c>
      <c r="M46" s="276">
        <f t="shared" si="65"/>
        <v>9.0002712625320558E-2</v>
      </c>
      <c r="N46" s="283"/>
      <c r="O46" s="276">
        <f t="shared" ref="O46:AD46" si="66">ABS(O45/O$14)</f>
        <v>0.1116203895565686</v>
      </c>
      <c r="P46" s="276">
        <f t="shared" si="66"/>
        <v>0.16380578349197517</v>
      </c>
      <c r="Q46" s="276">
        <f t="shared" si="66"/>
        <v>0.19023408266611005</v>
      </c>
      <c r="R46" s="276">
        <f t="shared" si="66"/>
        <v>0.15767414308742775</v>
      </c>
      <c r="S46" s="276">
        <f t="shared" si="66"/>
        <v>0.12056704829148658</v>
      </c>
      <c r="T46" s="276"/>
      <c r="U46" s="276">
        <f t="shared" si="66"/>
        <v>0.1134</v>
      </c>
      <c r="V46" s="276">
        <f t="shared" si="66"/>
        <v>0.10460000000000003</v>
      </c>
      <c r="W46" s="276">
        <f t="shared" si="66"/>
        <v>9.74E-2</v>
      </c>
      <c r="X46" s="276">
        <f t="shared" si="66"/>
        <v>9.0700000000000003E-2</v>
      </c>
      <c r="Y46" s="276">
        <f t="shared" si="66"/>
        <v>8.3699999999999997E-2</v>
      </c>
      <c r="Z46" s="276">
        <f t="shared" si="66"/>
        <v>7.7499999999999999E-2</v>
      </c>
      <c r="AA46" s="276">
        <f t="shared" si="66"/>
        <v>7.1800000000000003E-2</v>
      </c>
      <c r="AB46" s="276">
        <f t="shared" si="66"/>
        <v>6.6399999999999987E-2</v>
      </c>
      <c r="AC46" s="276">
        <f t="shared" si="66"/>
        <v>6.1800000000000001E-2</v>
      </c>
      <c r="AD46" s="276">
        <f t="shared" si="66"/>
        <v>5.7599999999999998E-2</v>
      </c>
      <c r="AH46" s="845"/>
      <c r="AI46" s="825"/>
      <c r="AJ46" s="825"/>
      <c r="AK46" s="825"/>
      <c r="AL46" s="825"/>
      <c r="AM46" s="826"/>
    </row>
    <row r="47" spans="1:72" s="298" customFormat="1">
      <c r="A47" s="163"/>
      <c r="B47" s="296" t="s">
        <v>209</v>
      </c>
      <c r="C47" s="288">
        <f>C18-C19-C25-C27-C37</f>
        <v>-75.766000000000005</v>
      </c>
      <c r="D47" s="288">
        <f t="shared" ref="D47:M47" si="67">D18-D19-D25-D27-D37</f>
        <v>-57.782970186607557</v>
      </c>
      <c r="E47" s="288">
        <f t="shared" si="67"/>
        <v>-48.863315416200095</v>
      </c>
      <c r="F47" s="288">
        <f t="shared" si="67"/>
        <v>-54.48653032471541</v>
      </c>
      <c r="G47" s="288">
        <f t="shared" si="67"/>
        <v>-29.837215522865947</v>
      </c>
      <c r="H47" s="288">
        <f t="shared" si="67"/>
        <v>-24.70919098885263</v>
      </c>
      <c r="I47" s="288">
        <f t="shared" si="67"/>
        <v>-24.234250646862076</v>
      </c>
      <c r="J47" s="288">
        <f t="shared" si="67"/>
        <v>-14.248747675246351</v>
      </c>
      <c r="K47" s="288">
        <f t="shared" si="67"/>
        <v>-17.600094498450318</v>
      </c>
      <c r="L47" s="288">
        <f t="shared" si="67"/>
        <v>-11.955141209347929</v>
      </c>
      <c r="M47" s="288">
        <f t="shared" si="67"/>
        <v>-8.7738881572118466</v>
      </c>
      <c r="N47" s="288"/>
      <c r="O47" s="288">
        <f>O18-O19-O25-O27-O37</f>
        <v>-37.374000000000017</v>
      </c>
      <c r="P47" s="288">
        <f t="shared" ref="P47:S47" si="68">P18-P19-P25-P27-P37</f>
        <v>-60.548926163267588</v>
      </c>
      <c r="Q47" s="288">
        <f t="shared" si="68"/>
        <v>-170.37345320643328</v>
      </c>
      <c r="R47" s="288">
        <f t="shared" si="68"/>
        <v>-972.59438046856144</v>
      </c>
      <c r="S47" s="288">
        <f t="shared" si="68"/>
        <v>-95.59199999999997</v>
      </c>
      <c r="T47" s="288"/>
      <c r="U47" s="288">
        <f t="shared" ref="U47:AD47" si="69">U18-U19-U25-U27-U37</f>
        <v>-129.83083647999996</v>
      </c>
      <c r="V47" s="288">
        <f t="shared" si="69"/>
        <v>-130.85623550999992</v>
      </c>
      <c r="W47" s="288">
        <f t="shared" si="69"/>
        <v>80.965951794588932</v>
      </c>
      <c r="X47" s="288">
        <f t="shared" si="69"/>
        <v>98.203228111128396</v>
      </c>
      <c r="Y47" s="288">
        <f t="shared" si="69"/>
        <v>127.63947292159776</v>
      </c>
      <c r="Z47" s="288">
        <f t="shared" si="69"/>
        <v>174.85389673197267</v>
      </c>
      <c r="AA47" s="288">
        <f t="shared" si="69"/>
        <v>217.4279966706315</v>
      </c>
      <c r="AB47" s="288">
        <f t="shared" si="69"/>
        <v>277.54615644527109</v>
      </c>
      <c r="AC47" s="288">
        <f t="shared" si="69"/>
        <v>304.79277535849997</v>
      </c>
      <c r="AD47" s="288">
        <f t="shared" si="69"/>
        <v>311.34171136677105</v>
      </c>
      <c r="AE47" s="163"/>
      <c r="AF47" s="163"/>
      <c r="AG47" s="163"/>
      <c r="AH47" s="845"/>
      <c r="AI47" s="825"/>
      <c r="AJ47" s="825"/>
      <c r="AK47" s="825"/>
      <c r="AL47" s="825"/>
      <c r="AM47" s="826"/>
      <c r="AN47" s="163"/>
      <c r="AO47" s="163"/>
      <c r="AP47" s="163"/>
      <c r="AQ47" s="163"/>
      <c r="AR47" s="163"/>
      <c r="AS47" s="163"/>
      <c r="AT47" s="163"/>
      <c r="AU47" s="163"/>
      <c r="AV47" s="163"/>
      <c r="AW47" s="163"/>
      <c r="AX47" s="163"/>
      <c r="AY47" s="163"/>
      <c r="AZ47" s="163"/>
      <c r="BA47" s="163"/>
      <c r="BB47" s="163"/>
      <c r="BC47" s="163"/>
      <c r="BD47" s="163"/>
      <c r="BE47" s="163"/>
      <c r="BF47" s="163"/>
      <c r="BG47" s="163"/>
      <c r="BH47" s="163"/>
      <c r="BI47" s="163"/>
      <c r="BJ47" s="163"/>
      <c r="BK47" s="163"/>
      <c r="BL47" s="163"/>
      <c r="BM47" s="163"/>
      <c r="BN47" s="163"/>
      <c r="BO47" s="163"/>
      <c r="BP47" s="163"/>
      <c r="BQ47" s="163"/>
      <c r="BR47" s="163"/>
      <c r="BS47" s="163"/>
      <c r="BT47" s="163"/>
    </row>
    <row r="48" spans="1:72">
      <c r="B48" s="212" t="s">
        <v>210</v>
      </c>
      <c r="C48" s="274">
        <f>C18-C25-C27</f>
        <v>-22.580000000000005</v>
      </c>
      <c r="D48" s="274">
        <f t="shared" ref="D48:M48" si="70">D18-D25-D27</f>
        <v>-8.5009701866075513</v>
      </c>
      <c r="E48" s="274">
        <f t="shared" si="70"/>
        <v>-4.1953154162000956</v>
      </c>
      <c r="F48" s="274">
        <f t="shared" si="70"/>
        <v>-17.653530324715422</v>
      </c>
      <c r="G48" s="274">
        <f t="shared" si="70"/>
        <v>7.4187844771340528</v>
      </c>
      <c r="H48" s="274">
        <f t="shared" si="70"/>
        <v>9.6198090111473658</v>
      </c>
      <c r="I48" s="274">
        <f t="shared" si="70"/>
        <v>9.4667493531379314</v>
      </c>
      <c r="J48" s="274">
        <f t="shared" si="70"/>
        <v>13.872252324753624</v>
      </c>
      <c r="K48" s="274">
        <f t="shared" si="70"/>
        <v>9.9549055015496819</v>
      </c>
      <c r="L48" s="274">
        <f t="shared" si="70"/>
        <v>17.279858790652067</v>
      </c>
      <c r="M48" s="274">
        <f t="shared" si="70"/>
        <v>26.047111842788158</v>
      </c>
      <c r="N48" s="274"/>
      <c r="O48" s="274">
        <f>O18-O25-O27</f>
        <v>6.0679999999999836</v>
      </c>
      <c r="P48" s="274">
        <f t="shared" ref="P48:S48" si="71">P18-P25-P27</f>
        <v>8.6560738367324088</v>
      </c>
      <c r="Q48" s="274">
        <f t="shared" si="71"/>
        <v>1.8785467935667244</v>
      </c>
      <c r="R48" s="274">
        <f t="shared" si="71"/>
        <v>-41.849380468561385</v>
      </c>
      <c r="S48" s="274">
        <f t="shared" si="71"/>
        <v>37.815000000000012</v>
      </c>
      <c r="T48" s="274"/>
      <c r="U48" s="274">
        <f t="shared" ref="U48:AD48" si="72">U18-U19-U25-U27</f>
        <v>-129.83083647999996</v>
      </c>
      <c r="V48" s="274">
        <f t="shared" si="72"/>
        <v>-130.85623550999992</v>
      </c>
      <c r="W48" s="274">
        <f t="shared" si="72"/>
        <v>80.965951794588932</v>
      </c>
      <c r="X48" s="274">
        <f t="shared" si="72"/>
        <v>98.203228111128396</v>
      </c>
      <c r="Y48" s="274">
        <f t="shared" si="72"/>
        <v>127.63947292159776</v>
      </c>
      <c r="Z48" s="274">
        <f t="shared" si="72"/>
        <v>174.85389673197267</v>
      </c>
      <c r="AA48" s="274">
        <f t="shared" si="72"/>
        <v>217.4279966706315</v>
      </c>
      <c r="AB48" s="274">
        <f t="shared" si="72"/>
        <v>277.54615644527109</v>
      </c>
      <c r="AC48" s="274">
        <f t="shared" si="72"/>
        <v>304.79277535849997</v>
      </c>
      <c r="AD48" s="274">
        <f t="shared" si="72"/>
        <v>311.34171136677105</v>
      </c>
      <c r="AH48" s="857" t="s">
        <v>617</v>
      </c>
      <c r="AI48" s="858"/>
      <c r="AJ48" s="858"/>
      <c r="AK48" s="858"/>
      <c r="AL48" s="858"/>
      <c r="AM48" s="859"/>
    </row>
    <row r="49" spans="1:72">
      <c r="B49" s="212" t="s">
        <v>211</v>
      </c>
      <c r="C49" s="333">
        <f>C48/C14</f>
        <v>-0.12985967333793424</v>
      </c>
      <c r="D49" s="333">
        <f t="shared" ref="D49:M49" si="73">D48/D14</f>
        <v>-4.6251442106296316E-2</v>
      </c>
      <c r="E49" s="333">
        <f t="shared" si="73"/>
        <v>-2.2226285008240605E-2</v>
      </c>
      <c r="F49" s="333">
        <f t="shared" si="73"/>
        <v>-9.5851171193800017E-2</v>
      </c>
      <c r="G49" s="333">
        <f t="shared" si="73"/>
        <v>3.5445903308361337E-2</v>
      </c>
      <c r="H49" s="333">
        <f t="shared" si="73"/>
        <v>4.1749053835393006E-2</v>
      </c>
      <c r="I49" s="333">
        <f t="shared" si="73"/>
        <v>3.9484808576522479E-2</v>
      </c>
      <c r="J49" s="333">
        <f t="shared" si="73"/>
        <v>6.02716222344757E-2</v>
      </c>
      <c r="K49" s="333">
        <f t="shared" si="73"/>
        <v>3.7381607683121529E-2</v>
      </c>
      <c r="L49" s="333">
        <f t="shared" si="73"/>
        <v>6.2321671701685691E-2</v>
      </c>
      <c r="M49" s="333">
        <f t="shared" si="73"/>
        <v>9.2976549611566844E-2</v>
      </c>
      <c r="N49" s="333"/>
      <c r="O49" s="333">
        <f t="shared" ref="O49:S49" si="74">O48/O14</f>
        <v>5.0294239535847364E-2</v>
      </c>
      <c r="P49" s="333">
        <f t="shared" si="74"/>
        <v>3.886508666475727E-2</v>
      </c>
      <c r="Q49" s="333">
        <f t="shared" si="74"/>
        <v>3.4181775454291642E-3</v>
      </c>
      <c r="R49" s="333">
        <f t="shared" si="74"/>
        <v>-5.7248897754835999E-2</v>
      </c>
      <c r="S49" s="333">
        <f t="shared" si="74"/>
        <v>4.1588307103500623E-2</v>
      </c>
      <c r="T49" s="276"/>
      <c r="U49" s="333">
        <f t="shared" ref="U49:AD49" si="75">U48/U14</f>
        <v>-0.12159999999999997</v>
      </c>
      <c r="V49" s="333">
        <f t="shared" si="75"/>
        <v>-0.10499999999999994</v>
      </c>
      <c r="W49" s="333">
        <f t="shared" si="75"/>
        <v>5.696848609084796E-2</v>
      </c>
      <c r="X49" s="333">
        <f t="shared" si="75"/>
        <v>6.0884701552096063E-2</v>
      </c>
      <c r="Y49" s="333">
        <f t="shared" si="75"/>
        <v>7.0159400034455185E-2</v>
      </c>
      <c r="Z49" s="333">
        <f t="shared" si="75"/>
        <v>8.6008964918319636E-2</v>
      </c>
      <c r="AA49" s="333">
        <f t="shared" si="75"/>
        <v>9.6167698067060714E-2</v>
      </c>
      <c r="AB49" s="333">
        <f t="shared" si="75"/>
        <v>0.1115547273682764</v>
      </c>
      <c r="AC49" s="333">
        <f t="shared" si="75"/>
        <v>0.11228816685995142</v>
      </c>
      <c r="AD49" s="333">
        <f t="shared" si="75"/>
        <v>0.10748741126494048</v>
      </c>
      <c r="AH49" s="845" t="s">
        <v>618</v>
      </c>
      <c r="AI49" s="825"/>
      <c r="AJ49" s="825"/>
      <c r="AK49" s="825"/>
      <c r="AL49" s="825"/>
      <c r="AM49" s="826"/>
    </row>
    <row r="50" spans="1:72">
      <c r="B50" s="296" t="s">
        <v>208</v>
      </c>
      <c r="C50" s="329">
        <f t="shared" ref="C50:M50" si="76">C45</f>
        <v>29.419</v>
      </c>
      <c r="D50" s="329">
        <f t="shared" si="76"/>
        <v>29.057000000000002</v>
      </c>
      <c r="E50" s="329">
        <f t="shared" si="76"/>
        <v>29.12</v>
      </c>
      <c r="F50" s="329">
        <f t="shared" si="76"/>
        <v>29.125999999999998</v>
      </c>
      <c r="G50" s="329">
        <f t="shared" si="76"/>
        <v>28.307000000000002</v>
      </c>
      <c r="H50" s="329">
        <f t="shared" si="76"/>
        <v>27.645</v>
      </c>
      <c r="I50" s="329">
        <f t="shared" si="76"/>
        <v>27.534999999999997</v>
      </c>
      <c r="J50" s="329">
        <f t="shared" si="76"/>
        <v>27.878999999999998</v>
      </c>
      <c r="K50" s="329">
        <f t="shared" si="76"/>
        <v>26.262</v>
      </c>
      <c r="L50" s="329">
        <f t="shared" si="76"/>
        <v>25.834</v>
      </c>
      <c r="M50" s="329">
        <f t="shared" si="76"/>
        <v>25.213999999999999</v>
      </c>
      <c r="N50" s="331"/>
      <c r="O50" s="329">
        <f>O45</f>
        <v>13.467000000000001</v>
      </c>
      <c r="P50" s="329">
        <f t="shared" ref="P50:S50" si="77">P45</f>
        <v>36.483000000000004</v>
      </c>
      <c r="Q50" s="329">
        <f t="shared" si="77"/>
        <v>104.548</v>
      </c>
      <c r="R50" s="329">
        <f t="shared" si="77"/>
        <v>115.26100000000001</v>
      </c>
      <c r="S50" s="329">
        <f t="shared" si="77"/>
        <v>109.628</v>
      </c>
      <c r="T50" s="288"/>
      <c r="U50" s="329">
        <f>U45</f>
        <v>121.07579652</v>
      </c>
      <c r="V50" s="329">
        <f t="shared" ref="V50:AD50" si="78">V45</f>
        <v>130.35773556520002</v>
      </c>
      <c r="W50" s="329">
        <f t="shared" si="78"/>
        <v>138.42887964789833</v>
      </c>
      <c r="X50" s="329">
        <f t="shared" si="78"/>
        <v>146.29344585122149</v>
      </c>
      <c r="Y50" s="329">
        <f t="shared" si="78"/>
        <v>152.27359239519035</v>
      </c>
      <c r="Z50" s="329">
        <f t="shared" si="78"/>
        <v>157.55540145840686</v>
      </c>
      <c r="AA50" s="329">
        <f t="shared" si="78"/>
        <v>162.33444778999575</v>
      </c>
      <c r="AB50" s="329">
        <f t="shared" si="78"/>
        <v>165.20200642977682</v>
      </c>
      <c r="AC50" s="329">
        <f t="shared" si="78"/>
        <v>167.74869555621353</v>
      </c>
      <c r="AD50" s="329">
        <f t="shared" si="78"/>
        <v>166.84077106037225</v>
      </c>
      <c r="AH50" s="845"/>
      <c r="AI50" s="825"/>
      <c r="AJ50" s="825"/>
      <c r="AK50" s="825"/>
      <c r="AL50" s="825"/>
      <c r="AM50" s="826"/>
    </row>
    <row r="51" spans="1:72">
      <c r="B51" s="275" t="s">
        <v>193</v>
      </c>
      <c r="C51" s="330">
        <f t="shared" ref="C51:M51" si="79">ABS(C50/C$14)</f>
        <v>0.16919139636530942</v>
      </c>
      <c r="D51" s="330">
        <f t="shared" si="79"/>
        <v>0.15809115004307153</v>
      </c>
      <c r="E51" s="330">
        <f t="shared" si="79"/>
        <v>0.15427431676309908</v>
      </c>
      <c r="F51" s="330">
        <f t="shared" si="79"/>
        <v>0.15814180851305856</v>
      </c>
      <c r="G51" s="330">
        <f t="shared" si="79"/>
        <v>0.13524684374405693</v>
      </c>
      <c r="H51" s="330">
        <f t="shared" si="79"/>
        <v>0.11997666397971267</v>
      </c>
      <c r="I51" s="330">
        <f t="shared" si="79"/>
        <v>0.11484556774434604</v>
      </c>
      <c r="J51" s="330">
        <f t="shared" si="79"/>
        <v>0.121127594635559</v>
      </c>
      <c r="K51" s="330">
        <f t="shared" si="79"/>
        <v>9.8616283280771849E-2</v>
      </c>
      <c r="L51" s="330">
        <f t="shared" si="79"/>
        <v>9.3173103220746456E-2</v>
      </c>
      <c r="M51" s="330">
        <f t="shared" si="79"/>
        <v>9.0002712625320558E-2</v>
      </c>
      <c r="N51" s="332"/>
      <c r="O51" s="330">
        <f t="shared" ref="O51:AD51" si="80">ABS(O50/O$14)</f>
        <v>0.1116203895565686</v>
      </c>
      <c r="P51" s="330">
        <f t="shared" si="80"/>
        <v>0.16380578349197517</v>
      </c>
      <c r="Q51" s="330">
        <f t="shared" si="80"/>
        <v>0.19023408266611005</v>
      </c>
      <c r="R51" s="330">
        <f t="shared" si="80"/>
        <v>0.15767414308742775</v>
      </c>
      <c r="S51" s="330">
        <f t="shared" si="80"/>
        <v>0.12056704829148658</v>
      </c>
      <c r="T51" s="276"/>
      <c r="U51" s="330">
        <f t="shared" si="80"/>
        <v>0.1134</v>
      </c>
      <c r="V51" s="330">
        <f t="shared" si="80"/>
        <v>0.10460000000000003</v>
      </c>
      <c r="W51" s="330">
        <f t="shared" si="80"/>
        <v>9.74E-2</v>
      </c>
      <c r="X51" s="330">
        <f t="shared" si="80"/>
        <v>9.0700000000000003E-2</v>
      </c>
      <c r="Y51" s="330">
        <f t="shared" si="80"/>
        <v>8.3699999999999997E-2</v>
      </c>
      <c r="Z51" s="330">
        <f t="shared" si="80"/>
        <v>7.7499999999999999E-2</v>
      </c>
      <c r="AA51" s="330">
        <f t="shared" si="80"/>
        <v>7.1800000000000003E-2</v>
      </c>
      <c r="AB51" s="330">
        <f t="shared" si="80"/>
        <v>6.6399999999999987E-2</v>
      </c>
      <c r="AC51" s="330">
        <f t="shared" si="80"/>
        <v>6.1800000000000001E-2</v>
      </c>
      <c r="AD51" s="330">
        <f t="shared" si="80"/>
        <v>5.7599999999999998E-2</v>
      </c>
      <c r="AH51" s="845"/>
      <c r="AI51" s="825"/>
      <c r="AJ51" s="825"/>
      <c r="AK51" s="825"/>
      <c r="AL51" s="825"/>
      <c r="AM51" s="826"/>
    </row>
    <row r="52" spans="1:72" s="298" customFormat="1">
      <c r="A52" s="163"/>
      <c r="B52" s="296" t="s">
        <v>212</v>
      </c>
      <c r="C52" s="288">
        <f>C48-C45</f>
        <v>-51.999000000000009</v>
      </c>
      <c r="D52" s="288">
        <f t="shared" ref="D52:M52" si="81">D48-D45</f>
        <v>-37.557970186607555</v>
      </c>
      <c r="E52" s="288">
        <f t="shared" si="81"/>
        <v>-33.315315416200093</v>
      </c>
      <c r="F52" s="288">
        <f t="shared" si="81"/>
        <v>-46.779530324715424</v>
      </c>
      <c r="G52" s="288">
        <f t="shared" si="81"/>
        <v>-20.888215522865949</v>
      </c>
      <c r="H52" s="288">
        <f t="shared" si="81"/>
        <v>-18.025190988852636</v>
      </c>
      <c r="I52" s="288">
        <f t="shared" si="81"/>
        <v>-18.068250646862065</v>
      </c>
      <c r="J52" s="288">
        <f t="shared" si="81"/>
        <v>-14.006747675246373</v>
      </c>
      <c r="K52" s="288">
        <f t="shared" si="81"/>
        <v>-16.307094498450319</v>
      </c>
      <c r="L52" s="288">
        <f t="shared" si="81"/>
        <v>-8.5541412093479323</v>
      </c>
      <c r="M52" s="288">
        <f t="shared" si="81"/>
        <v>0.83311184278815986</v>
      </c>
      <c r="N52" s="288"/>
      <c r="O52" s="288">
        <f>O48-O45</f>
        <v>-7.3990000000000169</v>
      </c>
      <c r="P52" s="288">
        <f t="shared" ref="P52:S52" si="82">P48-P45</f>
        <v>-27.826926163267593</v>
      </c>
      <c r="Q52" s="288">
        <f t="shared" si="82"/>
        <v>-102.66945320643327</v>
      </c>
      <c r="R52" s="288">
        <f t="shared" si="82"/>
        <v>-157.1103804685614</v>
      </c>
      <c r="S52" s="288">
        <f t="shared" si="82"/>
        <v>-71.812999999999988</v>
      </c>
      <c r="T52" s="288"/>
      <c r="U52" s="288">
        <f t="shared" ref="U52:AD52" si="83">U48-U45</f>
        <v>-250.90663299999994</v>
      </c>
      <c r="V52" s="288">
        <f t="shared" si="83"/>
        <v>-261.21397107519994</v>
      </c>
      <c r="W52" s="288">
        <f t="shared" si="83"/>
        <v>-57.462927853309395</v>
      </c>
      <c r="X52" s="288">
        <f t="shared" si="83"/>
        <v>-48.090217740093095</v>
      </c>
      <c r="Y52" s="288">
        <f t="shared" si="83"/>
        <v>-24.634119473592591</v>
      </c>
      <c r="Z52" s="288">
        <f t="shared" si="83"/>
        <v>17.298495273565806</v>
      </c>
      <c r="AA52" s="288">
        <f t="shared" si="83"/>
        <v>55.093548880635751</v>
      </c>
      <c r="AB52" s="288">
        <f t="shared" si="83"/>
        <v>112.34415001549428</v>
      </c>
      <c r="AC52" s="288">
        <f t="shared" si="83"/>
        <v>137.04407980228643</v>
      </c>
      <c r="AD52" s="288">
        <f t="shared" si="83"/>
        <v>144.5009403063988</v>
      </c>
      <c r="AE52" s="163"/>
      <c r="AF52" s="163"/>
      <c r="AG52" s="163"/>
      <c r="AH52" s="845"/>
      <c r="AI52" s="825"/>
      <c r="AJ52" s="825"/>
      <c r="AK52" s="825"/>
      <c r="AL52" s="825"/>
      <c r="AM52" s="826"/>
      <c r="AN52" s="163"/>
      <c r="AO52" s="163"/>
      <c r="AP52" s="163"/>
      <c r="AQ52" s="163"/>
      <c r="AR52" s="163"/>
      <c r="AS52" s="163"/>
      <c r="AT52" s="163"/>
      <c r="AU52" s="163"/>
      <c r="AV52" s="163"/>
      <c r="AW52" s="163"/>
      <c r="AX52" s="163"/>
      <c r="AY52" s="163"/>
      <c r="AZ52" s="163"/>
      <c r="BA52" s="163"/>
      <c r="BB52" s="163"/>
      <c r="BC52" s="163"/>
      <c r="BD52" s="163"/>
      <c r="BE52" s="163"/>
      <c r="BF52" s="163"/>
      <c r="BG52" s="163"/>
      <c r="BH52" s="163"/>
      <c r="BI52" s="163"/>
      <c r="BJ52" s="163"/>
      <c r="BK52" s="163"/>
      <c r="BL52" s="163"/>
      <c r="BM52" s="163"/>
      <c r="BN52" s="163"/>
      <c r="BO52" s="163"/>
      <c r="BP52" s="163"/>
      <c r="BQ52" s="163"/>
      <c r="BR52" s="163"/>
      <c r="BS52" s="163"/>
      <c r="BT52" s="163"/>
    </row>
    <row r="53" spans="1:72">
      <c r="B53" s="212" t="s">
        <v>213</v>
      </c>
      <c r="C53" s="333">
        <f>C52/C$14</f>
        <v>-0.29905106970324369</v>
      </c>
      <c r="D53" s="333">
        <f t="shared" ref="D53:M53" si="84">D52/D$14</f>
        <v>-0.20434259214936784</v>
      </c>
      <c r="E53" s="333">
        <f t="shared" si="84"/>
        <v>-0.17650060177133967</v>
      </c>
      <c r="F53" s="333">
        <f t="shared" si="84"/>
        <v>-0.25399297970685863</v>
      </c>
      <c r="G53" s="333">
        <f t="shared" si="84"/>
        <v>-9.9800940435695609E-2</v>
      </c>
      <c r="H53" s="333">
        <f t="shared" si="84"/>
        <v>-7.8227610144319684E-2</v>
      </c>
      <c r="I53" s="333">
        <f t="shared" si="84"/>
        <v>-7.536075916782356E-2</v>
      </c>
      <c r="J53" s="333">
        <f t="shared" si="84"/>
        <v>-6.0855972401083293E-2</v>
      </c>
      <c r="K53" s="333">
        <f t="shared" si="84"/>
        <v>-6.123467559765032E-2</v>
      </c>
      <c r="L53" s="333">
        <f t="shared" si="84"/>
        <v>-3.0851431519060765E-2</v>
      </c>
      <c r="M53" s="333">
        <f t="shared" si="84"/>
        <v>2.9738369862462913E-3</v>
      </c>
      <c r="N53" s="333"/>
      <c r="O53" s="333">
        <f t="shared" ref="O53:S53" si="85">O52/O$14</f>
        <v>-6.132615002072124E-2</v>
      </c>
      <c r="P53" s="333">
        <f t="shared" si="85"/>
        <v>-0.12494069682721788</v>
      </c>
      <c r="Q53" s="333">
        <f t="shared" si="85"/>
        <v>-0.18681590512068089</v>
      </c>
      <c r="R53" s="333">
        <f t="shared" si="85"/>
        <v>-0.21492304084226377</v>
      </c>
      <c r="S53" s="333">
        <f t="shared" si="85"/>
        <v>-7.8978741187985951E-2</v>
      </c>
      <c r="T53" s="333"/>
      <c r="U53" s="333">
        <f t="shared" ref="U53:AD53" si="86">U52/U$14</f>
        <v>-0.23499999999999996</v>
      </c>
      <c r="V53" s="333">
        <f t="shared" si="86"/>
        <v>-0.20959999999999995</v>
      </c>
      <c r="W53" s="333">
        <f t="shared" si="86"/>
        <v>-4.0431513909152041E-2</v>
      </c>
      <c r="X53" s="333">
        <f t="shared" si="86"/>
        <v>-2.9815298447903944E-2</v>
      </c>
      <c r="Y53" s="333">
        <f t="shared" si="86"/>
        <v>-1.3540599965544816E-2</v>
      </c>
      <c r="Z53" s="333">
        <f t="shared" si="86"/>
        <v>8.5089649183196329E-3</v>
      </c>
      <c r="AA53" s="333">
        <f t="shared" si="86"/>
        <v>2.4367698067060711E-2</v>
      </c>
      <c r="AB53" s="333">
        <f t="shared" si="86"/>
        <v>4.5154727368276415E-2</v>
      </c>
      <c r="AC53" s="333">
        <f t="shared" si="86"/>
        <v>5.048816685995143E-2</v>
      </c>
      <c r="AD53" s="333">
        <f t="shared" si="86"/>
        <v>4.9887411264940486E-2</v>
      </c>
      <c r="AH53" s="845"/>
      <c r="AI53" s="825"/>
      <c r="AJ53" s="825"/>
      <c r="AK53" s="825"/>
      <c r="AL53" s="825"/>
      <c r="AM53" s="826"/>
    </row>
    <row r="54" spans="1:72" s="298" customFormat="1">
      <c r="A54" s="163"/>
      <c r="B54" s="286" t="s">
        <v>630</v>
      </c>
      <c r="C54" s="299">
        <v>0</v>
      </c>
      <c r="D54" s="288">
        <v>0</v>
      </c>
      <c r="E54" s="288">
        <v>0</v>
      </c>
      <c r="F54" s="288">
        <v>0.20100000000000001</v>
      </c>
      <c r="G54" s="288">
        <v>0</v>
      </c>
      <c r="H54" s="288">
        <v>0</v>
      </c>
      <c r="I54" s="288">
        <v>0</v>
      </c>
      <c r="J54" s="288">
        <v>-5.21</v>
      </c>
      <c r="K54" s="288">
        <v>0</v>
      </c>
      <c r="L54" s="288">
        <v>0</v>
      </c>
      <c r="M54" s="288">
        <v>0</v>
      </c>
      <c r="N54" s="288"/>
      <c r="O54" s="288">
        <v>5.8999999999999997E-2</v>
      </c>
      <c r="P54" s="288">
        <v>3.7999999999999999E-2</v>
      </c>
      <c r="Q54" s="288">
        <v>1.077</v>
      </c>
      <c r="R54" s="288">
        <v>0.20100000000000001</v>
      </c>
      <c r="S54" s="288">
        <v>5.21</v>
      </c>
      <c r="T54" s="288"/>
      <c r="U54" s="337">
        <f>ABS(U52*U55)</f>
        <v>19.093994771299997</v>
      </c>
      <c r="V54" s="337">
        <f t="shared" ref="V54:AD54" si="87">ABS(V52*V55)</f>
        <v>21.915852173209274</v>
      </c>
      <c r="W54" s="337">
        <f t="shared" si="87"/>
        <v>4.9647969665259319</v>
      </c>
      <c r="X54" s="337">
        <f t="shared" si="87"/>
        <v>4.400254923218518</v>
      </c>
      <c r="Y54" s="337">
        <f t="shared" si="87"/>
        <v>2.4634119473592593</v>
      </c>
      <c r="Z54" s="337">
        <f t="shared" si="87"/>
        <v>2.1623119091957257</v>
      </c>
      <c r="AA54" s="337">
        <f t="shared" si="87"/>
        <v>7.4376290988858269</v>
      </c>
      <c r="AB54" s="337">
        <f t="shared" si="87"/>
        <v>16.289901752246671</v>
      </c>
      <c r="AC54" s="337">
        <f t="shared" si="87"/>
        <v>23.982713965400123</v>
      </c>
      <c r="AD54" s="337">
        <f t="shared" si="87"/>
        <v>28.900188061279763</v>
      </c>
      <c r="AE54" s="163"/>
      <c r="AF54" s="163"/>
      <c r="AG54" s="163"/>
      <c r="AH54" s="845"/>
      <c r="AI54" s="825"/>
      <c r="AJ54" s="825"/>
      <c r="AK54" s="825"/>
      <c r="AL54" s="825"/>
      <c r="AM54" s="826"/>
      <c r="AN54" s="163"/>
      <c r="AO54" s="163"/>
      <c r="AP54" s="163"/>
      <c r="AQ54" s="163"/>
      <c r="AR54" s="163"/>
      <c r="AS54" s="163"/>
      <c r="AT54" s="163"/>
      <c r="AU54" s="163"/>
      <c r="AV54" s="163"/>
      <c r="AW54" s="163"/>
      <c r="AX54" s="163"/>
      <c r="AY54" s="163"/>
      <c r="AZ54" s="163"/>
      <c r="BA54" s="163"/>
      <c r="BB54" s="163"/>
      <c r="BC54" s="163"/>
      <c r="BD54" s="163"/>
      <c r="BE54" s="163"/>
      <c r="BF54" s="163"/>
      <c r="BG54" s="163"/>
      <c r="BH54" s="163"/>
      <c r="BI54" s="163"/>
      <c r="BJ54" s="163"/>
      <c r="BK54" s="163"/>
      <c r="BL54" s="163"/>
      <c r="BM54" s="163"/>
      <c r="BN54" s="163"/>
      <c r="BO54" s="163"/>
      <c r="BP54" s="163"/>
      <c r="BQ54" s="163"/>
      <c r="BR54" s="163"/>
      <c r="BS54" s="163"/>
      <c r="BT54" s="163"/>
    </row>
    <row r="55" spans="1:72">
      <c r="B55" s="275" t="s">
        <v>214</v>
      </c>
      <c r="C55" s="276">
        <f>ABS(C54/C$52)</f>
        <v>0</v>
      </c>
      <c r="D55" s="276">
        <f t="shared" ref="D55:M55" si="88">ABS(D54/D$52)</f>
        <v>0</v>
      </c>
      <c r="E55" s="276">
        <f t="shared" si="88"/>
        <v>0</v>
      </c>
      <c r="F55" s="276">
        <f t="shared" si="88"/>
        <v>4.2967511346261632E-3</v>
      </c>
      <c r="G55" s="276">
        <f t="shared" si="88"/>
        <v>0</v>
      </c>
      <c r="H55" s="276">
        <f t="shared" si="88"/>
        <v>0</v>
      </c>
      <c r="I55" s="276">
        <f t="shared" si="88"/>
        <v>0</v>
      </c>
      <c r="J55" s="276">
        <f t="shared" si="88"/>
        <v>0.37196357932594498</v>
      </c>
      <c r="K55" s="276">
        <f t="shared" si="88"/>
        <v>0</v>
      </c>
      <c r="L55" s="276">
        <f t="shared" si="88"/>
        <v>0</v>
      </c>
      <c r="M55" s="276">
        <f t="shared" si="88"/>
        <v>0</v>
      </c>
      <c r="N55" s="276"/>
      <c r="O55" s="276">
        <f>ABS(O54/O$52)</f>
        <v>7.9740505473712472E-3</v>
      </c>
      <c r="P55" s="276">
        <f t="shared" ref="P55:S55" si="89">ABS(P54/P$52)</f>
        <v>1.3655838153680509E-3</v>
      </c>
      <c r="Q55" s="276">
        <f t="shared" si="89"/>
        <v>1.0489975025332219E-2</v>
      </c>
      <c r="R55" s="276">
        <f t="shared" si="89"/>
        <v>1.2793553131279008E-3</v>
      </c>
      <c r="S55" s="276">
        <f t="shared" si="89"/>
        <v>7.2549538384415094E-2</v>
      </c>
      <c r="T55" s="276"/>
      <c r="U55" s="344">
        <v>7.6100000000000001E-2</v>
      </c>
      <c r="V55" s="344">
        <v>8.3900000000000002E-2</v>
      </c>
      <c r="W55" s="344">
        <v>8.6400000000000005E-2</v>
      </c>
      <c r="X55" s="344">
        <v>9.1499999999999998E-2</v>
      </c>
      <c r="Y55" s="344">
        <v>0.1</v>
      </c>
      <c r="Z55" s="344">
        <v>0.125</v>
      </c>
      <c r="AA55" s="344">
        <v>0.13500000000000001</v>
      </c>
      <c r="AB55" s="344">
        <v>0.14499999999999999</v>
      </c>
      <c r="AC55" s="344">
        <v>0.17499999999999999</v>
      </c>
      <c r="AD55" s="344">
        <v>0.2</v>
      </c>
      <c r="AH55" s="871" t="s">
        <v>208</v>
      </c>
      <c r="AI55" s="872"/>
      <c r="AJ55" s="872"/>
      <c r="AK55" s="872"/>
      <c r="AL55" s="872"/>
      <c r="AM55" s="873"/>
    </row>
    <row r="56" spans="1:72" s="298" customFormat="1" ht="14" customHeight="1">
      <c r="A56" s="163"/>
      <c r="B56" s="296" t="s">
        <v>215</v>
      </c>
      <c r="C56" s="288">
        <f>C52-C54</f>
        <v>-51.999000000000009</v>
      </c>
      <c r="D56" s="288">
        <f t="shared" ref="D56:S56" si="90">D52-D54</f>
        <v>-37.557970186607555</v>
      </c>
      <c r="E56" s="288">
        <f t="shared" si="90"/>
        <v>-33.315315416200093</v>
      </c>
      <c r="F56" s="288">
        <f t="shared" si="90"/>
        <v>-46.980530324715424</v>
      </c>
      <c r="G56" s="288">
        <f t="shared" si="90"/>
        <v>-20.888215522865949</v>
      </c>
      <c r="H56" s="288">
        <f t="shared" si="90"/>
        <v>-18.025190988852636</v>
      </c>
      <c r="I56" s="288">
        <f t="shared" si="90"/>
        <v>-18.068250646862065</v>
      </c>
      <c r="J56" s="288">
        <f t="shared" si="90"/>
        <v>-8.7967476752463725</v>
      </c>
      <c r="K56" s="288">
        <f t="shared" si="90"/>
        <v>-16.307094498450319</v>
      </c>
      <c r="L56" s="288">
        <f t="shared" si="90"/>
        <v>-8.5541412093479323</v>
      </c>
      <c r="M56" s="288">
        <f t="shared" si="90"/>
        <v>0.83311184278815986</v>
      </c>
      <c r="N56" s="288"/>
      <c r="O56" s="288">
        <f t="shared" si="90"/>
        <v>-7.4580000000000171</v>
      </c>
      <c r="P56" s="288">
        <f t="shared" si="90"/>
        <v>-27.864926163267594</v>
      </c>
      <c r="Q56" s="288">
        <f t="shared" si="90"/>
        <v>-103.74645320643327</v>
      </c>
      <c r="R56" s="288">
        <f t="shared" si="90"/>
        <v>-157.3113804685614</v>
      </c>
      <c r="S56" s="288">
        <f t="shared" si="90"/>
        <v>-77.022999999999982</v>
      </c>
      <c r="T56" s="327"/>
      <c r="U56" s="327">
        <f t="shared" ref="U56:AD56" si="91">U52-U54</f>
        <v>-270.00062777129995</v>
      </c>
      <c r="V56" s="327">
        <f t="shared" si="91"/>
        <v>-283.1298232484092</v>
      </c>
      <c r="W56" s="327">
        <f t="shared" si="91"/>
        <v>-62.427724819835326</v>
      </c>
      <c r="X56" s="327">
        <f t="shared" si="91"/>
        <v>-52.490472663311614</v>
      </c>
      <c r="Y56" s="327">
        <f t="shared" si="91"/>
        <v>-27.097531420951849</v>
      </c>
      <c r="Z56" s="327">
        <f t="shared" si="91"/>
        <v>15.13618336437008</v>
      </c>
      <c r="AA56" s="327">
        <f t="shared" si="91"/>
        <v>47.655919781749922</v>
      </c>
      <c r="AB56" s="327">
        <f t="shared" si="91"/>
        <v>96.054248263247615</v>
      </c>
      <c r="AC56" s="327">
        <f t="shared" si="91"/>
        <v>113.06136583688631</v>
      </c>
      <c r="AD56" s="327">
        <f t="shared" si="91"/>
        <v>115.60075224511904</v>
      </c>
      <c r="AE56" s="163"/>
      <c r="AF56" s="163"/>
      <c r="AG56" s="163"/>
      <c r="AH56" s="865" t="s">
        <v>734</v>
      </c>
      <c r="AI56" s="866"/>
      <c r="AJ56" s="866"/>
      <c r="AK56" s="866"/>
      <c r="AL56" s="866"/>
      <c r="AM56" s="867"/>
      <c r="AN56" s="163"/>
      <c r="AO56" s="163"/>
      <c r="AP56" s="163"/>
      <c r="AQ56" s="163"/>
      <c r="AR56" s="163"/>
      <c r="AS56" s="163"/>
      <c r="AT56" s="163"/>
      <c r="AU56" s="163"/>
      <c r="AV56" s="163"/>
      <c r="AW56" s="163"/>
      <c r="AX56" s="163"/>
      <c r="AY56" s="163"/>
      <c r="AZ56" s="163"/>
      <c r="BA56" s="163"/>
      <c r="BB56" s="163"/>
      <c r="BC56" s="163"/>
      <c r="BD56" s="163"/>
      <c r="BE56" s="163"/>
      <c r="BF56" s="163"/>
      <c r="BG56" s="163"/>
      <c r="BH56" s="163"/>
      <c r="BI56" s="163"/>
      <c r="BJ56" s="163"/>
      <c r="BK56" s="163"/>
      <c r="BL56" s="163"/>
      <c r="BM56" s="163"/>
      <c r="BN56" s="163"/>
      <c r="BO56" s="163"/>
      <c r="BP56" s="163"/>
      <c r="BQ56" s="163"/>
      <c r="BR56" s="163"/>
      <c r="BS56" s="163"/>
      <c r="BT56" s="163"/>
    </row>
    <row r="57" spans="1:72" s="298" customFormat="1">
      <c r="A57" s="163"/>
      <c r="B57" s="286" t="s">
        <v>359</v>
      </c>
      <c r="C57" s="341">
        <f>ABS(C126)</f>
        <v>3.08</v>
      </c>
      <c r="D57" s="341">
        <f t="shared" ref="D57:M57" si="92">ABS(D126)</f>
        <v>2.13</v>
      </c>
      <c r="E57" s="341">
        <f t="shared" si="92"/>
        <v>2</v>
      </c>
      <c r="F57" s="341">
        <f t="shared" si="92"/>
        <v>2.0200000000000005</v>
      </c>
      <c r="G57" s="341">
        <f t="shared" si="92"/>
        <v>1.07</v>
      </c>
      <c r="H57" s="341">
        <f t="shared" si="92"/>
        <v>0.83999999999999986</v>
      </c>
      <c r="I57" s="341">
        <f t="shared" si="92"/>
        <v>2.2800000000000002</v>
      </c>
      <c r="J57" s="341">
        <f t="shared" si="92"/>
        <v>3.3199999999999994</v>
      </c>
      <c r="K57" s="341">
        <f t="shared" si="92"/>
        <v>0.85</v>
      </c>
      <c r="L57" s="341">
        <f t="shared" si="92"/>
        <v>1.0499999999999998</v>
      </c>
      <c r="M57" s="341">
        <f t="shared" si="92"/>
        <v>0.94</v>
      </c>
      <c r="N57" s="329"/>
      <c r="O57" s="329">
        <f>ABS(O126)</f>
        <v>3.61</v>
      </c>
      <c r="P57" s="329">
        <f t="shared" ref="P57:S57" si="93">ABS(P126)</f>
        <v>1.79</v>
      </c>
      <c r="Q57" s="329">
        <f t="shared" si="93"/>
        <v>10.65</v>
      </c>
      <c r="R57" s="329">
        <f t="shared" si="93"/>
        <v>9.23</v>
      </c>
      <c r="S57" s="329">
        <f t="shared" si="93"/>
        <v>7.51</v>
      </c>
      <c r="T57" s="297"/>
      <c r="U57" s="310">
        <f>U$14*U58</f>
        <v>9.2888838599999985</v>
      </c>
      <c r="V57" s="310">
        <f t="shared" ref="V57:AD57" si="94">V$14*V58</f>
        <v>11.3408737442</v>
      </c>
      <c r="W57" s="310">
        <f t="shared" si="94"/>
        <v>13.643914215809279</v>
      </c>
      <c r="X57" s="310">
        <f t="shared" si="94"/>
        <v>16.129376609836989</v>
      </c>
      <c r="Y57" s="310">
        <f t="shared" si="94"/>
        <v>19.102421985059724</v>
      </c>
      <c r="Z57" s="310">
        <f t="shared" si="94"/>
        <v>22.362702142483553</v>
      </c>
      <c r="AA57" s="310">
        <f t="shared" si="94"/>
        <v>26.226735297548053</v>
      </c>
      <c r="AB57" s="310">
        <f t="shared" si="94"/>
        <v>30.353380699446951</v>
      </c>
      <c r="AC57" s="310">
        <f t="shared" si="94"/>
        <v>34.744066393519958</v>
      </c>
      <c r="AD57" s="310">
        <f t="shared" si="94"/>
        <v>39.972268066547521</v>
      </c>
      <c r="AE57" s="163"/>
      <c r="AF57" s="163"/>
      <c r="AG57" s="163"/>
      <c r="AH57" s="865"/>
      <c r="AI57" s="866"/>
      <c r="AJ57" s="866"/>
      <c r="AK57" s="866"/>
      <c r="AL57" s="866"/>
      <c r="AM57" s="867"/>
      <c r="AN57" s="163"/>
      <c r="AO57" s="163"/>
      <c r="AP57" s="163"/>
      <c r="AQ57" s="163"/>
      <c r="AR57" s="163"/>
      <c r="AS57" s="163"/>
      <c r="AT57" s="163"/>
      <c r="AU57" s="163"/>
      <c r="AV57" s="163"/>
      <c r="AW57" s="163"/>
      <c r="AX57" s="163"/>
      <c r="AY57" s="163"/>
      <c r="AZ57" s="163"/>
      <c r="BA57" s="163"/>
      <c r="BB57" s="163"/>
      <c r="BC57" s="163"/>
      <c r="BD57" s="163"/>
      <c r="BE57" s="163"/>
      <c r="BF57" s="163"/>
      <c r="BG57" s="163"/>
      <c r="BH57" s="163"/>
      <c r="BI57" s="163"/>
      <c r="BJ57" s="163"/>
      <c r="BK57" s="163"/>
      <c r="BL57" s="163"/>
      <c r="BM57" s="163"/>
      <c r="BN57" s="163"/>
      <c r="BO57" s="163"/>
      <c r="BP57" s="163"/>
      <c r="BQ57" s="163"/>
      <c r="BR57" s="163"/>
      <c r="BS57" s="163"/>
      <c r="BT57" s="163"/>
    </row>
    <row r="58" spans="1:72">
      <c r="B58" s="275" t="s">
        <v>216</v>
      </c>
      <c r="C58" s="330">
        <f t="shared" ref="C58:S58" si="95">ABS(C57/C$14)</f>
        <v>1.7713365539452498E-2</v>
      </c>
      <c r="D58" s="330">
        <f t="shared" si="95"/>
        <v>1.1588744522550239E-2</v>
      </c>
      <c r="E58" s="330">
        <f t="shared" si="95"/>
        <v>1.0595763513949112E-2</v>
      </c>
      <c r="F58" s="330">
        <f t="shared" si="95"/>
        <v>1.0967741989850252E-2</v>
      </c>
      <c r="G58" s="330">
        <f t="shared" si="95"/>
        <v>5.1123087153757346E-3</v>
      </c>
      <c r="H58" s="330">
        <f t="shared" si="95"/>
        <v>3.6455199038870909E-3</v>
      </c>
      <c r="I58" s="330">
        <f t="shared" si="95"/>
        <v>9.5096384404252422E-3</v>
      </c>
      <c r="J58" s="330">
        <f t="shared" si="95"/>
        <v>1.442460684350428E-2</v>
      </c>
      <c r="K58" s="330">
        <f t="shared" si="95"/>
        <v>3.1918300505923412E-3</v>
      </c>
      <c r="L58" s="330">
        <f t="shared" si="95"/>
        <v>3.7869380808927679E-3</v>
      </c>
      <c r="M58" s="330">
        <f t="shared" si="95"/>
        <v>3.3553799424050654E-3</v>
      </c>
      <c r="N58" s="274"/>
      <c r="O58" s="330">
        <f t="shared" si="95"/>
        <v>2.9921259842519685E-2</v>
      </c>
      <c r="P58" s="330">
        <f t="shared" si="95"/>
        <v>8.0369583765215451E-3</v>
      </c>
      <c r="Q58" s="330">
        <f t="shared" si="95"/>
        <v>1.9378591464151128E-2</v>
      </c>
      <c r="R58" s="330">
        <f t="shared" si="95"/>
        <v>1.2626407377143684E-2</v>
      </c>
      <c r="S58" s="330">
        <f t="shared" si="95"/>
        <v>8.2593729035380023E-3</v>
      </c>
      <c r="T58" s="297"/>
      <c r="U58" s="659">
        <v>8.6999999999999994E-3</v>
      </c>
      <c r="V58" s="325">
        <v>9.1000000000000004E-3</v>
      </c>
      <c r="W58" s="325">
        <v>9.5999999999999992E-3</v>
      </c>
      <c r="X58" s="325">
        <v>0.01</v>
      </c>
      <c r="Y58" s="325">
        <v>1.0500000000000001E-2</v>
      </c>
      <c r="Z58" s="325">
        <v>1.0999999999999999E-2</v>
      </c>
      <c r="AA58" s="325">
        <v>1.1599999999999999E-2</v>
      </c>
      <c r="AB58" s="325">
        <v>1.2200000000000001E-2</v>
      </c>
      <c r="AC58" s="325">
        <v>1.2800000000000001E-2</v>
      </c>
      <c r="AD58" s="325">
        <v>1.38E-2</v>
      </c>
      <c r="AH58" s="865"/>
      <c r="AI58" s="866"/>
      <c r="AJ58" s="866"/>
      <c r="AK58" s="866"/>
      <c r="AL58" s="866"/>
      <c r="AM58" s="867"/>
    </row>
    <row r="59" spans="1:72">
      <c r="B59" s="286" t="s">
        <v>629</v>
      </c>
      <c r="C59" s="288"/>
      <c r="D59" s="288"/>
      <c r="E59" s="288"/>
      <c r="F59" s="288"/>
      <c r="G59" s="288"/>
      <c r="H59" s="288"/>
      <c r="I59" s="288"/>
      <c r="J59" s="288"/>
      <c r="K59" s="288"/>
      <c r="L59" s="288"/>
      <c r="M59" s="288"/>
      <c r="N59" s="288"/>
      <c r="O59" s="288"/>
      <c r="P59" s="329" cm="1">
        <f t="array" ref="P59:S59">'NWC Schedule'!C25:F25</f>
        <v>-24.684999999999995</v>
      </c>
      <c r="Q59" s="329">
        <v>-4.6510000000000105</v>
      </c>
      <c r="R59" s="329">
        <v>28.910000000000011</v>
      </c>
      <c r="S59" s="329">
        <v>8.7210000000000036</v>
      </c>
      <c r="T59" s="290"/>
      <c r="U59" s="329" cm="1">
        <f t="array" ref="U59:AD59">'NWC Schedule'!G25:P25</f>
        <v>76.991019292739722</v>
      </c>
      <c r="V59" s="329">
        <v>1.7064716719666393</v>
      </c>
      <c r="W59" s="329">
        <v>-5.3137469189564399</v>
      </c>
      <c r="X59" s="329">
        <v>1.0878006835782799</v>
      </c>
      <c r="Y59" s="329">
        <v>-8.2269063720110438</v>
      </c>
      <c r="Z59" s="329">
        <v>-2.2318505965868951</v>
      </c>
      <c r="AA59" s="329">
        <v>-3.5027892601514452</v>
      </c>
      <c r="AB59" s="329">
        <v>-4.7825021224601016</v>
      </c>
      <c r="AC59" s="329">
        <v>-1.9212314592047335</v>
      </c>
      <c r="AD59" s="329">
        <v>0.91071539981402339</v>
      </c>
      <c r="AH59" s="865"/>
      <c r="AI59" s="866"/>
      <c r="AJ59" s="866"/>
      <c r="AK59" s="866"/>
      <c r="AL59" s="866"/>
      <c r="AM59" s="867"/>
    </row>
    <row r="60" spans="1:72">
      <c r="B60" s="275" t="s">
        <v>216</v>
      </c>
      <c r="C60" s="274"/>
      <c r="D60" s="274"/>
      <c r="E60" s="274"/>
      <c r="F60" s="274"/>
      <c r="G60" s="274"/>
      <c r="H60" s="274"/>
      <c r="I60" s="274"/>
      <c r="J60" s="274"/>
      <c r="K60" s="274"/>
      <c r="L60" s="274"/>
      <c r="M60" s="274"/>
      <c r="N60" s="274"/>
      <c r="O60" s="274"/>
      <c r="P60" s="276">
        <f>P59/P14</f>
        <v>-0.11083369694102474</v>
      </c>
      <c r="Q60" s="660">
        <v>6.9199999999999998E-2</v>
      </c>
      <c r="R60" s="660">
        <v>6.9199999999999998E-2</v>
      </c>
      <c r="S60" s="660">
        <v>6.9199999999999998E-2</v>
      </c>
      <c r="T60" s="297"/>
      <c r="U60" s="333">
        <f>ABS(U59/U14)</f>
        <v>7.2110048735912993E-2</v>
      </c>
      <c r="V60" s="333">
        <f t="shared" ref="V60:AD60" si="96">ABS(V59/V14)</f>
        <v>1.3692853447767439E-3</v>
      </c>
      <c r="W60" s="333">
        <f t="shared" si="96"/>
        <v>3.7388076189216997E-3</v>
      </c>
      <c r="X60" s="333">
        <f t="shared" si="96"/>
        <v>6.744220250365111E-4</v>
      </c>
      <c r="Y60" s="333">
        <f t="shared" si="96"/>
        <v>4.522071440662182E-3</v>
      </c>
      <c r="Z60" s="333">
        <f t="shared" si="96"/>
        <v>1.097826032204592E-3</v>
      </c>
      <c r="AA60" s="333">
        <f t="shared" si="96"/>
        <v>1.5492723343860299E-3</v>
      </c>
      <c r="AB60" s="333">
        <f t="shared" si="96"/>
        <v>1.9222414291096195E-3</v>
      </c>
      <c r="AC60" s="333">
        <f t="shared" si="96"/>
        <v>7.0779748113787707E-4</v>
      </c>
      <c r="AD60" s="333">
        <f t="shared" si="96"/>
        <v>3.1441479619094916E-4</v>
      </c>
      <c r="AH60" s="865"/>
      <c r="AI60" s="866"/>
      <c r="AJ60" s="866"/>
      <c r="AK60" s="866"/>
      <c r="AL60" s="866"/>
      <c r="AM60" s="867"/>
    </row>
    <row r="61" spans="1:72">
      <c r="B61" s="342" t="s">
        <v>208</v>
      </c>
      <c r="C61" s="274">
        <f>C50</f>
        <v>29.419</v>
      </c>
      <c r="D61" s="274">
        <f t="shared" ref="D61:M62" si="97">D50</f>
        <v>29.057000000000002</v>
      </c>
      <c r="E61" s="274">
        <f t="shared" si="97"/>
        <v>29.12</v>
      </c>
      <c r="F61" s="274">
        <f t="shared" si="97"/>
        <v>29.125999999999998</v>
      </c>
      <c r="G61" s="274">
        <f t="shared" si="97"/>
        <v>28.307000000000002</v>
      </c>
      <c r="H61" s="274">
        <f t="shared" si="97"/>
        <v>27.645</v>
      </c>
      <c r="I61" s="274">
        <f t="shared" si="97"/>
        <v>27.534999999999997</v>
      </c>
      <c r="J61" s="274">
        <f t="shared" si="97"/>
        <v>27.878999999999998</v>
      </c>
      <c r="K61" s="274">
        <f t="shared" si="97"/>
        <v>26.262</v>
      </c>
      <c r="L61" s="274">
        <f t="shared" si="97"/>
        <v>25.834</v>
      </c>
      <c r="M61" s="274">
        <f t="shared" si="97"/>
        <v>25.213999999999999</v>
      </c>
      <c r="N61" s="274"/>
      <c r="O61" s="274">
        <f t="shared" ref="O61:S62" si="98">O50</f>
        <v>13.467000000000001</v>
      </c>
      <c r="P61" s="274">
        <f t="shared" si="98"/>
        <v>36.483000000000004</v>
      </c>
      <c r="Q61" s="274">
        <f t="shared" si="98"/>
        <v>104.548</v>
      </c>
      <c r="R61" s="274">
        <f t="shared" si="98"/>
        <v>115.26100000000001</v>
      </c>
      <c r="S61" s="274">
        <f t="shared" si="98"/>
        <v>109.628</v>
      </c>
      <c r="U61" s="691">
        <f t="shared" ref="U61:AD62" si="99">U50</f>
        <v>121.07579652</v>
      </c>
      <c r="V61" s="691">
        <f t="shared" si="99"/>
        <v>130.35773556520002</v>
      </c>
      <c r="W61" s="691">
        <f t="shared" si="99"/>
        <v>138.42887964789833</v>
      </c>
      <c r="X61" s="691">
        <f t="shared" si="99"/>
        <v>146.29344585122149</v>
      </c>
      <c r="Y61" s="691">
        <f t="shared" si="99"/>
        <v>152.27359239519035</v>
      </c>
      <c r="Z61" s="691">
        <f t="shared" si="99"/>
        <v>157.55540145840686</v>
      </c>
      <c r="AA61" s="691">
        <f t="shared" si="99"/>
        <v>162.33444778999575</v>
      </c>
      <c r="AB61" s="691">
        <f t="shared" si="99"/>
        <v>165.20200642977682</v>
      </c>
      <c r="AC61" s="691">
        <f t="shared" si="99"/>
        <v>167.74869555621353</v>
      </c>
      <c r="AD61" s="691">
        <f t="shared" si="99"/>
        <v>166.84077106037225</v>
      </c>
      <c r="AH61" s="865"/>
      <c r="AI61" s="866"/>
      <c r="AJ61" s="866"/>
      <c r="AK61" s="866"/>
      <c r="AL61" s="866"/>
      <c r="AM61" s="867"/>
    </row>
    <row r="62" spans="1:72">
      <c r="B62" s="343" t="s">
        <v>216</v>
      </c>
      <c r="C62" s="274">
        <f>C51</f>
        <v>0.16919139636530942</v>
      </c>
      <c r="D62" s="274">
        <f t="shared" si="97"/>
        <v>0.15809115004307153</v>
      </c>
      <c r="E62" s="274">
        <f t="shared" si="97"/>
        <v>0.15427431676309908</v>
      </c>
      <c r="F62" s="274">
        <f t="shared" si="97"/>
        <v>0.15814180851305856</v>
      </c>
      <c r="G62" s="274">
        <f t="shared" si="97"/>
        <v>0.13524684374405693</v>
      </c>
      <c r="H62" s="274">
        <f t="shared" si="97"/>
        <v>0.11997666397971267</v>
      </c>
      <c r="I62" s="274">
        <f t="shared" si="97"/>
        <v>0.11484556774434604</v>
      </c>
      <c r="J62" s="274">
        <f t="shared" si="97"/>
        <v>0.121127594635559</v>
      </c>
      <c r="K62" s="274">
        <f t="shared" si="97"/>
        <v>9.8616283280771849E-2</v>
      </c>
      <c r="L62" s="274">
        <f t="shared" si="97"/>
        <v>9.3173103220746456E-2</v>
      </c>
      <c r="M62" s="274">
        <f t="shared" si="97"/>
        <v>9.0002712625320558E-2</v>
      </c>
      <c r="N62" s="274"/>
      <c r="O62" s="274">
        <f t="shared" si="98"/>
        <v>0.1116203895565686</v>
      </c>
      <c r="P62" s="274">
        <f t="shared" si="98"/>
        <v>0.16380578349197517</v>
      </c>
      <c r="Q62" s="274">
        <f t="shared" si="98"/>
        <v>0.19023408266611005</v>
      </c>
      <c r="R62" s="274">
        <f t="shared" si="98"/>
        <v>0.15767414308742775</v>
      </c>
      <c r="S62" s="274">
        <f t="shared" si="98"/>
        <v>0.12056704829148658</v>
      </c>
      <c r="T62" s="297"/>
      <c r="U62" s="330">
        <f t="shared" si="99"/>
        <v>0.1134</v>
      </c>
      <c r="V62" s="330">
        <f t="shared" si="99"/>
        <v>0.10460000000000003</v>
      </c>
      <c r="W62" s="330">
        <f t="shared" si="99"/>
        <v>9.74E-2</v>
      </c>
      <c r="X62" s="330">
        <f t="shared" si="99"/>
        <v>9.0700000000000003E-2</v>
      </c>
      <c r="Y62" s="330">
        <f t="shared" si="99"/>
        <v>8.3699999999999997E-2</v>
      </c>
      <c r="Z62" s="330">
        <f t="shared" si="99"/>
        <v>7.7499999999999999E-2</v>
      </c>
      <c r="AA62" s="330">
        <f t="shared" si="99"/>
        <v>7.1800000000000003E-2</v>
      </c>
      <c r="AB62" s="330">
        <f t="shared" si="99"/>
        <v>6.6399999999999987E-2</v>
      </c>
      <c r="AC62" s="330">
        <f t="shared" si="99"/>
        <v>6.1800000000000001E-2</v>
      </c>
      <c r="AD62" s="330">
        <f t="shared" si="99"/>
        <v>5.7599999999999998E-2</v>
      </c>
      <c r="AH62" s="865" t="s">
        <v>636</v>
      </c>
      <c r="AI62" s="866"/>
      <c r="AJ62" s="866"/>
      <c r="AK62" s="866"/>
      <c r="AL62" s="866"/>
      <c r="AM62" s="867"/>
    </row>
    <row r="63" spans="1:72">
      <c r="B63" s="214" t="s">
        <v>217</v>
      </c>
      <c r="C63" s="301">
        <v>2.0099999999999998</v>
      </c>
      <c r="D63" s="301">
        <v>4.8499999999999996</v>
      </c>
      <c r="E63" s="301">
        <v>8.3000000000000007</v>
      </c>
      <c r="F63" s="301">
        <v>10</v>
      </c>
      <c r="G63" s="301">
        <v>10</v>
      </c>
      <c r="H63" s="301">
        <v>11</v>
      </c>
      <c r="I63" s="301">
        <v>11</v>
      </c>
      <c r="J63" s="301">
        <v>11</v>
      </c>
      <c r="K63" s="301">
        <v>10</v>
      </c>
      <c r="L63" s="301">
        <v>10</v>
      </c>
      <c r="M63" s="301">
        <v>8</v>
      </c>
      <c r="N63" s="301"/>
      <c r="O63" s="301">
        <v>0</v>
      </c>
      <c r="P63" s="301">
        <v>0</v>
      </c>
      <c r="Q63" s="301">
        <v>2.988</v>
      </c>
      <c r="R63" s="301">
        <v>24.812000000000001</v>
      </c>
      <c r="S63" s="301">
        <v>42.530999999999999</v>
      </c>
      <c r="T63" s="328"/>
      <c r="U63" s="280"/>
      <c r="V63" s="280"/>
      <c r="W63" s="280"/>
      <c r="X63" s="280"/>
      <c r="Y63" s="280"/>
      <c r="Z63" s="280"/>
      <c r="AA63" s="280"/>
      <c r="AB63" s="280"/>
      <c r="AC63" s="280"/>
      <c r="AD63" s="280"/>
      <c r="AH63" s="865"/>
      <c r="AI63" s="866"/>
      <c r="AJ63" s="866"/>
      <c r="AK63" s="866"/>
      <c r="AL63" s="866"/>
      <c r="AM63" s="867"/>
    </row>
    <row r="64" spans="1:72" s="305" customFormat="1" ht="15" thickBot="1">
      <c r="A64" s="163"/>
      <c r="B64" s="302" t="s">
        <v>218</v>
      </c>
      <c r="C64" s="303">
        <f>C56+C63</f>
        <v>-49.989000000000011</v>
      </c>
      <c r="D64" s="303">
        <f t="shared" ref="D64:M64" si="100">D56+D63</f>
        <v>-32.707970186607554</v>
      </c>
      <c r="E64" s="303">
        <f t="shared" si="100"/>
        <v>-25.015315416200092</v>
      </c>
      <c r="F64" s="303">
        <f t="shared" si="100"/>
        <v>-36.980530324715424</v>
      </c>
      <c r="G64" s="303">
        <f t="shared" si="100"/>
        <v>-10.888215522865949</v>
      </c>
      <c r="H64" s="303">
        <f t="shared" si="100"/>
        <v>-7.0251909888526356</v>
      </c>
      <c r="I64" s="303">
        <f t="shared" si="100"/>
        <v>-7.0682506468620652</v>
      </c>
      <c r="J64" s="303">
        <f t="shared" si="100"/>
        <v>2.2032523247536275</v>
      </c>
      <c r="K64" s="303">
        <f t="shared" si="100"/>
        <v>-6.3070944984503186</v>
      </c>
      <c r="L64" s="303">
        <f t="shared" si="100"/>
        <v>1.4458587906520677</v>
      </c>
      <c r="M64" s="303">
        <f t="shared" si="100"/>
        <v>8.8331118427881599</v>
      </c>
      <c r="N64" s="303"/>
      <c r="O64" s="303">
        <f t="shared" ref="O64:S64" si="101">O56+O63</f>
        <v>-7.4580000000000171</v>
      </c>
      <c r="P64" s="303">
        <f t="shared" si="101"/>
        <v>-27.864926163267594</v>
      </c>
      <c r="Q64" s="303">
        <f t="shared" si="101"/>
        <v>-100.75845320643327</v>
      </c>
      <c r="R64" s="303">
        <f t="shared" si="101"/>
        <v>-132.49938046856138</v>
      </c>
      <c r="S64" s="303">
        <f t="shared" si="101"/>
        <v>-34.491999999999983</v>
      </c>
      <c r="T64" s="282" t="s">
        <v>322</v>
      </c>
      <c r="U64" s="381">
        <f>U56-U57-U59+U61</f>
        <v>-235.2047344040397</v>
      </c>
      <c r="V64" s="381">
        <f t="shared" ref="V64:AD64" si="102">V56-V57-V59+V61</f>
        <v>-165.81943309937583</v>
      </c>
      <c r="W64" s="381">
        <f t="shared" si="102"/>
        <v>67.670987531210159</v>
      </c>
      <c r="X64" s="381">
        <f t="shared" si="102"/>
        <v>76.585795894494609</v>
      </c>
      <c r="Y64" s="381">
        <f t="shared" si="102"/>
        <v>114.30054536118982</v>
      </c>
      <c r="Z64" s="381">
        <f t="shared" si="102"/>
        <v>152.56073327688028</v>
      </c>
      <c r="AA64" s="381">
        <f t="shared" si="102"/>
        <v>187.26642153434906</v>
      </c>
      <c r="AB64" s="381">
        <f t="shared" si="102"/>
        <v>235.68537611603759</v>
      </c>
      <c r="AC64" s="381">
        <f t="shared" si="102"/>
        <v>247.98722645878462</v>
      </c>
      <c r="AD64" s="381">
        <f t="shared" si="102"/>
        <v>241.55853983912974</v>
      </c>
      <c r="AE64" s="163"/>
      <c r="AF64" s="163"/>
      <c r="AG64" s="163"/>
      <c r="AH64" s="865"/>
      <c r="AI64" s="866"/>
      <c r="AJ64" s="866"/>
      <c r="AK64" s="866"/>
      <c r="AL64" s="866"/>
      <c r="AM64" s="867"/>
      <c r="AN64" s="163"/>
      <c r="AO64" s="163"/>
      <c r="AP64" s="163"/>
      <c r="AQ64" s="163"/>
      <c r="AR64" s="163"/>
      <c r="AS64" s="163"/>
      <c r="AT64" s="163"/>
      <c r="AU64" s="163"/>
      <c r="AV64" s="163"/>
      <c r="AW64" s="163"/>
      <c r="AX64" s="163"/>
      <c r="AY64" s="163"/>
      <c r="AZ64" s="163"/>
      <c r="BA64" s="163"/>
      <c r="BB64" s="163"/>
      <c r="BC64" s="163"/>
      <c r="BD64" s="163"/>
      <c r="BE64" s="163"/>
      <c r="BF64" s="163"/>
      <c r="BG64" s="163"/>
      <c r="BH64" s="163"/>
      <c r="BI64" s="163"/>
      <c r="BJ64" s="163"/>
      <c r="BK64" s="163"/>
      <c r="BL64" s="163"/>
      <c r="BM64" s="163"/>
      <c r="BN64" s="163"/>
      <c r="BO64" s="163"/>
      <c r="BP64" s="163"/>
      <c r="BQ64" s="163"/>
      <c r="BR64" s="163"/>
      <c r="BS64" s="163"/>
      <c r="BT64" s="163"/>
    </row>
    <row r="65" spans="2:39" ht="15" thickTop="1">
      <c r="B65" s="214" t="s">
        <v>219</v>
      </c>
      <c r="C65" s="297">
        <v>149</v>
      </c>
      <c r="D65" s="297">
        <v>149.69999999999999</v>
      </c>
      <c r="E65" s="297">
        <v>151.19999999999999</v>
      </c>
      <c r="F65" s="297">
        <v>151.80000000000001</v>
      </c>
      <c r="G65" s="297">
        <v>152.5</v>
      </c>
      <c r="H65" s="297">
        <v>153.5</v>
      </c>
      <c r="I65" s="297">
        <v>154.19999999999999</v>
      </c>
      <c r="J65" s="297">
        <v>154.9</v>
      </c>
      <c r="K65" s="297">
        <v>154.69999999999999</v>
      </c>
      <c r="L65" s="297">
        <v>153.6</v>
      </c>
      <c r="M65" s="297">
        <v>152.97</v>
      </c>
      <c r="N65" s="297"/>
      <c r="O65" s="274">
        <v>85.9</v>
      </c>
      <c r="P65" s="274">
        <v>105.2</v>
      </c>
      <c r="Q65" s="274">
        <v>141.6</v>
      </c>
      <c r="R65" s="274">
        <v>150.4</v>
      </c>
      <c r="S65" s="274">
        <v>153.80000000000001</v>
      </c>
      <c r="T65" s="693" t="s">
        <v>638</v>
      </c>
      <c r="U65" s="692">
        <f>U64/(1+$U$67)^1</f>
        <v>-213.63345963181771</v>
      </c>
      <c r="V65" s="692">
        <f>V64/(1+$U$67)^2</f>
        <v>-136.79866355404687</v>
      </c>
      <c r="W65" s="692">
        <f>W64/(1+$U$67)^3</f>
        <v>50.707495063980936</v>
      </c>
      <c r="X65" s="381">
        <f>X64/(1+$U$67)^4</f>
        <v>52.124402182941253</v>
      </c>
      <c r="Y65" s="692">
        <f>Y64/(1+$U$67)^5</f>
        <v>70.658493537226448</v>
      </c>
      <c r="Z65" s="381">
        <f>Z64/(1+$U$67)^6</f>
        <v>85.660785611919863</v>
      </c>
      <c r="AA65" s="381">
        <f>AA64/(1+$U$67)^7</f>
        <v>95.504186918795739</v>
      </c>
      <c r="AB65" s="381">
        <f>AB64/(1+$U$67)^8</f>
        <v>109.17378070949835</v>
      </c>
      <c r="AC65" s="381">
        <f>AC64/(1+$U$67)^9</f>
        <v>104.33697465599414</v>
      </c>
      <c r="AD65" s="381">
        <f>AD64/(1+$U$67)^10</f>
        <v>92.311230144695287</v>
      </c>
      <c r="AH65" s="865"/>
      <c r="AI65" s="866"/>
      <c r="AJ65" s="866"/>
      <c r="AK65" s="866"/>
      <c r="AL65" s="866"/>
      <c r="AM65" s="867"/>
    </row>
    <row r="66" spans="2:39">
      <c r="B66" s="214" t="s">
        <v>220</v>
      </c>
      <c r="C66" s="306">
        <f>C64/C65</f>
        <v>-0.33549664429530207</v>
      </c>
      <c r="D66" s="306">
        <f t="shared" ref="D66:M66" si="103">D64/D65</f>
        <v>-0.2184901148069977</v>
      </c>
      <c r="E66" s="306">
        <f t="shared" si="103"/>
        <v>-0.16544520777910116</v>
      </c>
      <c r="F66" s="306">
        <f t="shared" si="103"/>
        <v>-0.24361350675043097</v>
      </c>
      <c r="G66" s="306">
        <f t="shared" si="103"/>
        <v>-7.1398134576170155E-2</v>
      </c>
      <c r="H66" s="306">
        <f t="shared" si="103"/>
        <v>-4.5766716539756586E-2</v>
      </c>
      <c r="I66" s="306">
        <f t="shared" si="103"/>
        <v>-4.5838201341517934E-2</v>
      </c>
      <c r="J66" s="306">
        <f t="shared" si="103"/>
        <v>1.4223707713064089E-2</v>
      </c>
      <c r="K66" s="306">
        <f t="shared" si="103"/>
        <v>-4.0769841618941947E-2</v>
      </c>
      <c r="L66" s="306">
        <f t="shared" si="103"/>
        <v>9.4131431683077329E-3</v>
      </c>
      <c r="M66" s="306">
        <f t="shared" si="103"/>
        <v>5.774407951093783E-2</v>
      </c>
      <c r="N66" s="306"/>
      <c r="O66" s="306">
        <f t="shared" ref="O66:S66" si="104">O64/O65</f>
        <v>-8.6821885913853508E-2</v>
      </c>
      <c r="P66" s="306">
        <f t="shared" si="104"/>
        <v>-0.26487572398543341</v>
      </c>
      <c r="Q66" s="306">
        <f t="shared" si="104"/>
        <v>-0.71157099722057404</v>
      </c>
      <c r="R66" s="306">
        <f t="shared" si="104"/>
        <v>-0.88097992332820063</v>
      </c>
      <c r="S66" s="306">
        <f t="shared" si="104"/>
        <v>-0.22426527958387504</v>
      </c>
      <c r="T66" s="307"/>
      <c r="X66" s="694"/>
      <c r="Y66" s="694"/>
      <c r="Z66" s="694"/>
      <c r="AA66" s="694"/>
      <c r="AB66" s="694"/>
      <c r="AC66" s="694"/>
      <c r="AD66" s="694"/>
      <c r="AH66" s="865"/>
      <c r="AI66" s="866"/>
      <c r="AJ66" s="866"/>
      <c r="AK66" s="866"/>
      <c r="AL66" s="866"/>
      <c r="AM66" s="867"/>
    </row>
    <row r="67" spans="2:39">
      <c r="B67" s="214" t="s">
        <v>221</v>
      </c>
      <c r="C67" s="308">
        <f t="shared" ref="C67:M67" si="105">C18/C14</f>
        <v>0.44582470669427188</v>
      </c>
      <c r="D67" s="308">
        <f t="shared" si="105"/>
        <v>0.44379467016886803</v>
      </c>
      <c r="E67" s="308">
        <f t="shared" si="105"/>
        <v>0.45596052237628282</v>
      </c>
      <c r="F67" s="308">
        <f t="shared" si="105"/>
        <v>0.47186521616201282</v>
      </c>
      <c r="G67" s="308">
        <f t="shared" si="105"/>
        <v>0.42101909333716675</v>
      </c>
      <c r="H67" s="308">
        <f t="shared" si="105"/>
        <v>0.41797538772583581</v>
      </c>
      <c r="I67" s="308">
        <f t="shared" si="105"/>
        <v>0.42349902401948386</v>
      </c>
      <c r="J67" s="308">
        <f t="shared" si="105"/>
        <v>0.43296522917296876</v>
      </c>
      <c r="K67" s="308">
        <f t="shared" si="105"/>
        <v>0.40714573130880138</v>
      </c>
      <c r="L67" s="308">
        <f t="shared" si="105"/>
        <v>0.4124872129149037</v>
      </c>
      <c r="M67" s="308">
        <f t="shared" si="105"/>
        <v>0.4136652028303659</v>
      </c>
      <c r="N67" s="308"/>
      <c r="O67" s="308">
        <f>O18/O14</f>
        <v>0.67119767923746365</v>
      </c>
      <c r="P67" s="308">
        <f>P18/P14</f>
        <v>0.57767804195775618</v>
      </c>
      <c r="Q67" s="308">
        <f>Q18/Q14</f>
        <v>0.49561074611617911</v>
      </c>
      <c r="R67" s="308">
        <f>R18/R14</f>
        <v>0.45479364461965166</v>
      </c>
      <c r="S67" s="308">
        <f>S18/S14</f>
        <v>0.42369153276804472</v>
      </c>
      <c r="T67" s="383" t="s">
        <v>290</v>
      </c>
      <c r="U67" s="384">
        <f>'LSPD WACC'!F44</f>
        <v>0.10097329701723003</v>
      </c>
      <c r="AH67" s="865"/>
      <c r="AI67" s="866"/>
      <c r="AJ67" s="866"/>
      <c r="AK67" s="866"/>
      <c r="AL67" s="866"/>
      <c r="AM67" s="867"/>
    </row>
    <row r="68" spans="2:39">
      <c r="B68" s="214" t="s">
        <v>222</v>
      </c>
      <c r="C68" s="308">
        <f t="shared" ref="C68:M68" si="106">C48/C14</f>
        <v>-0.12985967333793424</v>
      </c>
      <c r="D68" s="308">
        <f t="shared" si="106"/>
        <v>-4.6251442106296316E-2</v>
      </c>
      <c r="E68" s="308">
        <f t="shared" si="106"/>
        <v>-2.2226285008240605E-2</v>
      </c>
      <c r="F68" s="308">
        <f t="shared" si="106"/>
        <v>-9.5851171193800017E-2</v>
      </c>
      <c r="G68" s="308">
        <f t="shared" si="106"/>
        <v>3.5445903308361337E-2</v>
      </c>
      <c r="H68" s="308">
        <f t="shared" si="106"/>
        <v>4.1749053835393006E-2</v>
      </c>
      <c r="I68" s="308">
        <f t="shared" si="106"/>
        <v>3.9484808576522479E-2</v>
      </c>
      <c r="J68" s="308">
        <f t="shared" si="106"/>
        <v>6.02716222344757E-2</v>
      </c>
      <c r="K68" s="308">
        <f t="shared" si="106"/>
        <v>3.7381607683121529E-2</v>
      </c>
      <c r="L68" s="308">
        <f t="shared" si="106"/>
        <v>6.2321671701685691E-2</v>
      </c>
      <c r="M68" s="308">
        <f t="shared" si="106"/>
        <v>9.2976549611566844E-2</v>
      </c>
      <c r="N68" s="308"/>
      <c r="O68" s="308">
        <f>O48/O14</f>
        <v>5.0294239535847364E-2</v>
      </c>
      <c r="P68" s="308">
        <f>P48/P14</f>
        <v>3.886508666475727E-2</v>
      </c>
      <c r="Q68" s="308">
        <f>Q48/Q14</f>
        <v>3.4181775454291642E-3</v>
      </c>
      <c r="R68" s="308">
        <f>R48/R14</f>
        <v>-5.7248897754835999E-2</v>
      </c>
      <c r="S68" s="308">
        <f>S48/S14</f>
        <v>4.1588307103500623E-2</v>
      </c>
      <c r="T68" s="383" t="s">
        <v>639</v>
      </c>
      <c r="U68" s="617">
        <f>SUM(U65:AD65)</f>
        <v>310.04522563918738</v>
      </c>
      <c r="AH68" s="865" t="s">
        <v>635</v>
      </c>
      <c r="AI68" s="866"/>
      <c r="AJ68" s="866"/>
      <c r="AK68" s="866"/>
      <c r="AL68" s="866"/>
      <c r="AM68" s="867"/>
    </row>
    <row r="69" spans="2:39">
      <c r="B69" s="214" t="s">
        <v>223</v>
      </c>
      <c r="C69" s="308">
        <f t="shared" ref="C69:M69" si="107">C63/C14</f>
        <v>1.1559696342305036E-2</v>
      </c>
      <c r="D69" s="308">
        <f t="shared" si="107"/>
        <v>2.6387516870595616E-2</v>
      </c>
      <c r="E69" s="308">
        <f t="shared" si="107"/>
        <v>4.397241858288882E-2</v>
      </c>
      <c r="F69" s="308">
        <f t="shared" si="107"/>
        <v>5.4295752425001231E-2</v>
      </c>
      <c r="G69" s="308">
        <f t="shared" si="107"/>
        <v>4.7778586125006864E-2</v>
      </c>
      <c r="H69" s="308">
        <f t="shared" si="107"/>
        <v>4.773895112233096E-2</v>
      </c>
      <c r="I69" s="308">
        <f t="shared" si="107"/>
        <v>4.5879834580998972E-2</v>
      </c>
      <c r="J69" s="308">
        <f t="shared" si="107"/>
        <v>4.7792372071851538E-2</v>
      </c>
      <c r="K69" s="308">
        <f t="shared" si="107"/>
        <v>3.7550941771674604E-2</v>
      </c>
      <c r="L69" s="308">
        <f t="shared" si="107"/>
        <v>3.6066076960883507E-2</v>
      </c>
      <c r="M69" s="308">
        <f t="shared" si="107"/>
        <v>2.8556425041745239E-2</v>
      </c>
      <c r="N69" s="308"/>
      <c r="O69" s="308">
        <f>O63/O14</f>
        <v>0</v>
      </c>
      <c r="P69" s="308">
        <f>P63/P14</f>
        <v>0</v>
      </c>
      <c r="Q69" s="308">
        <f>Q63/Q14</f>
        <v>5.4369231262801476E-3</v>
      </c>
      <c r="R69" s="308">
        <f>R63/R14</f>
        <v>3.3942190665405103E-2</v>
      </c>
      <c r="S69" s="308">
        <f>S63/S14</f>
        <v>4.6774885347586524E-2</v>
      </c>
      <c r="T69" s="854" t="s">
        <v>640</v>
      </c>
      <c r="U69" s="855"/>
      <c r="V69" s="856"/>
      <c r="AH69" s="865"/>
      <c r="AI69" s="866"/>
      <c r="AJ69" s="866"/>
      <c r="AK69" s="866"/>
      <c r="AL69" s="866"/>
      <c r="AM69" s="867"/>
    </row>
    <row r="70" spans="2:39">
      <c r="B70" s="214" t="s">
        <v>224</v>
      </c>
      <c r="C70" s="308">
        <f t="shared" ref="C70:M70" si="108">C55</f>
        <v>0</v>
      </c>
      <c r="D70" s="308">
        <f t="shared" si="108"/>
        <v>0</v>
      </c>
      <c r="E70" s="308">
        <f t="shared" si="108"/>
        <v>0</v>
      </c>
      <c r="F70" s="308">
        <f t="shared" si="108"/>
        <v>4.2967511346261632E-3</v>
      </c>
      <c r="G70" s="308">
        <f t="shared" si="108"/>
        <v>0</v>
      </c>
      <c r="H70" s="308">
        <f t="shared" si="108"/>
        <v>0</v>
      </c>
      <c r="I70" s="308">
        <f t="shared" si="108"/>
        <v>0</v>
      </c>
      <c r="J70" s="308">
        <f t="shared" si="108"/>
        <v>0.37196357932594498</v>
      </c>
      <c r="K70" s="308">
        <f t="shared" si="108"/>
        <v>0</v>
      </c>
      <c r="L70" s="308">
        <f t="shared" si="108"/>
        <v>0</v>
      </c>
      <c r="M70" s="308">
        <f t="shared" si="108"/>
        <v>0</v>
      </c>
      <c r="N70" s="308"/>
      <c r="O70" s="308">
        <f>O55</f>
        <v>7.9740505473712472E-3</v>
      </c>
      <c r="P70" s="308">
        <f>P55</f>
        <v>1.3655838153680509E-3</v>
      </c>
      <c r="Q70" s="308">
        <f>Q55</f>
        <v>1.0489975025332219E-2</v>
      </c>
      <c r="R70" s="308">
        <f>R55</f>
        <v>1.2793553131279008E-3</v>
      </c>
      <c r="S70" s="308">
        <f>S55</f>
        <v>7.2549538384415094E-2</v>
      </c>
      <c r="T70" s="532" t="s">
        <v>641</v>
      </c>
      <c r="V70" s="540">
        <v>0.03</v>
      </c>
      <c r="AH70" s="865"/>
      <c r="AI70" s="866"/>
      <c r="AJ70" s="866"/>
      <c r="AK70" s="866"/>
      <c r="AL70" s="866"/>
      <c r="AM70" s="867"/>
    </row>
    <row r="71" spans="2:39">
      <c r="B71" s="214" t="s">
        <v>209</v>
      </c>
      <c r="C71" s="274">
        <f t="shared" ref="C71:M71" si="109">C48+C110+C111</f>
        <v>6.5699999999999932</v>
      </c>
      <c r="D71" s="274">
        <f t="shared" si="109"/>
        <v>20.429029813392454</v>
      </c>
      <c r="E71" s="274">
        <f t="shared" si="109"/>
        <v>24.61468458379991</v>
      </c>
      <c r="F71" s="274">
        <f t="shared" si="109"/>
        <v>10.726469675284568</v>
      </c>
      <c r="G71" s="274">
        <f t="shared" si="109"/>
        <v>35.618784477134056</v>
      </c>
      <c r="H71" s="274">
        <f t="shared" si="109"/>
        <v>36.749809011147363</v>
      </c>
      <c r="I71" s="274">
        <f t="shared" si="109"/>
        <v>36.676749353137929</v>
      </c>
      <c r="J71" s="274">
        <f t="shared" si="109"/>
        <v>40.972252324753619</v>
      </c>
      <c r="K71" s="274">
        <f t="shared" si="109"/>
        <v>36.224905501549678</v>
      </c>
      <c r="L71" s="274">
        <f t="shared" si="109"/>
        <v>43.109858790652069</v>
      </c>
      <c r="M71" s="274">
        <f t="shared" si="109"/>
        <v>51.257111842788163</v>
      </c>
      <c r="N71" s="274"/>
      <c r="O71" s="274">
        <f>O48+O110+O111</f>
        <v>19.537999999999982</v>
      </c>
      <c r="P71" s="274">
        <f>P48+P110+P111</f>
        <v>45.146073836732405</v>
      </c>
      <c r="Q71" s="274">
        <f>Q48+Q110+Q111</f>
        <v>106.42854679356672</v>
      </c>
      <c r="R71" s="274">
        <f>R48+R110+R111</f>
        <v>73.420619531438618</v>
      </c>
      <c r="S71" s="274">
        <f>S48+S110+S111</f>
        <v>147.45500000000001</v>
      </c>
      <c r="T71" s="533" t="s">
        <v>294</v>
      </c>
      <c r="V71" s="541">
        <f>'LSPD WACC'!F72</f>
        <v>9.4935770112407197E-2</v>
      </c>
      <c r="W71" s="304"/>
      <c r="X71" s="304"/>
      <c r="Y71" s="304"/>
      <c r="Z71" s="304"/>
      <c r="AA71" s="304"/>
      <c r="AH71" s="865"/>
      <c r="AI71" s="866"/>
      <c r="AJ71" s="866"/>
      <c r="AK71" s="866"/>
      <c r="AL71" s="866"/>
      <c r="AM71" s="867"/>
    </row>
    <row r="72" spans="2:39">
      <c r="B72" s="214" t="s">
        <v>225</v>
      </c>
      <c r="C72" s="309">
        <f>ABS(C52/C63)</f>
        <v>25.870149253731352</v>
      </c>
      <c r="D72" s="309">
        <f t="shared" ref="D72:M72" si="110">ABS(D52/D63)</f>
        <v>7.7439113786819709</v>
      </c>
      <c r="E72" s="309">
        <f t="shared" si="110"/>
        <v>4.0138934236385655</v>
      </c>
      <c r="F72" s="309">
        <f t="shared" si="110"/>
        <v>4.6779530324715424</v>
      </c>
      <c r="G72" s="309">
        <f t="shared" si="110"/>
        <v>2.0888215522865949</v>
      </c>
      <c r="H72" s="309">
        <f t="shared" si="110"/>
        <v>1.6386537262593306</v>
      </c>
      <c r="I72" s="309">
        <f t="shared" si="110"/>
        <v>1.642568240623824</v>
      </c>
      <c r="J72" s="309">
        <f t="shared" si="110"/>
        <v>1.2733406977496704</v>
      </c>
      <c r="K72" s="309">
        <f t="shared" si="110"/>
        <v>1.6307094498450319</v>
      </c>
      <c r="L72" s="309">
        <f t="shared" si="110"/>
        <v>0.85541412093479319</v>
      </c>
      <c r="M72" s="309">
        <f t="shared" si="110"/>
        <v>0.10413898034851998</v>
      </c>
      <c r="N72" s="309"/>
      <c r="O72" s="309" t="e">
        <f t="shared" ref="O72:S72" si="111">ABS(O52/O63)</f>
        <v>#DIV/0!</v>
      </c>
      <c r="P72" s="309" t="e">
        <f t="shared" si="111"/>
        <v>#DIV/0!</v>
      </c>
      <c r="Q72" s="309">
        <f t="shared" si="111"/>
        <v>34.360593442581418</v>
      </c>
      <c r="R72" s="309">
        <f t="shared" si="111"/>
        <v>6.3320321001354749</v>
      </c>
      <c r="S72" s="309">
        <f t="shared" si="111"/>
        <v>1.6884860454727137</v>
      </c>
      <c r="T72" s="849" t="s">
        <v>642</v>
      </c>
      <c r="U72" s="850"/>
      <c r="V72" s="542">
        <f>AD64*(1+V70)</f>
        <v>248.80529603430364</v>
      </c>
      <c r="AH72" s="865"/>
      <c r="AI72" s="866"/>
      <c r="AJ72" s="866"/>
      <c r="AK72" s="866"/>
      <c r="AL72" s="866"/>
      <c r="AM72" s="867"/>
    </row>
    <row r="73" spans="2:39">
      <c r="B73" s="214"/>
      <c r="C73" s="297"/>
      <c r="D73" s="297"/>
      <c r="E73" s="297"/>
      <c r="F73" s="297"/>
      <c r="G73" s="297"/>
      <c r="H73" s="297"/>
      <c r="I73" s="297"/>
      <c r="J73" s="297"/>
      <c r="K73" s="297"/>
      <c r="L73" s="297"/>
      <c r="M73" s="297"/>
      <c r="N73" s="297"/>
      <c r="O73" s="297"/>
      <c r="P73" s="297"/>
      <c r="Q73" s="297"/>
      <c r="R73" s="304"/>
      <c r="S73" s="304"/>
      <c r="T73" s="534" t="s">
        <v>643</v>
      </c>
      <c r="V73" s="543">
        <f>V72/(V71-V70)</f>
        <v>3831.5599492176457</v>
      </c>
      <c r="AH73" s="868"/>
      <c r="AI73" s="869"/>
      <c r="AJ73" s="869"/>
      <c r="AK73" s="869"/>
      <c r="AL73" s="869"/>
      <c r="AM73" s="870"/>
    </row>
    <row r="74" spans="2:39">
      <c r="B74" s="214"/>
      <c r="D74" s="300"/>
      <c r="E74" s="300"/>
      <c r="F74" s="300"/>
      <c r="G74" s="300"/>
      <c r="H74" s="300"/>
      <c r="I74" s="300"/>
      <c r="J74" s="300"/>
      <c r="K74" s="300"/>
      <c r="L74" s="310"/>
      <c r="M74" s="300"/>
      <c r="N74" s="300"/>
      <c r="O74" s="300"/>
      <c r="P74" s="300"/>
      <c r="Q74" s="300"/>
      <c r="T74" s="535" t="s">
        <v>311</v>
      </c>
      <c r="V74" s="734">
        <v>1464.23</v>
      </c>
      <c r="AH74" s="857" t="s">
        <v>634</v>
      </c>
      <c r="AI74" s="858"/>
      <c r="AJ74" s="858"/>
      <c r="AK74" s="858"/>
      <c r="AL74" s="858"/>
      <c r="AM74" s="859"/>
    </row>
    <row r="75" spans="2:39">
      <c r="B75" s="214" t="s">
        <v>226</v>
      </c>
      <c r="C75" s="310">
        <v>914.79</v>
      </c>
      <c r="D75" s="310">
        <v>862.58</v>
      </c>
      <c r="E75" s="310">
        <v>838.12</v>
      </c>
      <c r="F75" s="310">
        <v>800.15</v>
      </c>
      <c r="G75" s="310">
        <v>780.28</v>
      </c>
      <c r="H75" s="310">
        <v>761.49</v>
      </c>
      <c r="I75" s="310">
        <v>749.41</v>
      </c>
      <c r="J75" s="310">
        <v>722.1</v>
      </c>
      <c r="K75" s="310">
        <v>673.95</v>
      </c>
      <c r="L75" s="310">
        <v>659.02</v>
      </c>
      <c r="M75" s="310">
        <v>661.57</v>
      </c>
      <c r="N75" s="310"/>
      <c r="O75" s="310">
        <v>210.97</v>
      </c>
      <c r="P75" s="310">
        <v>807.15</v>
      </c>
      <c r="Q75" s="310">
        <v>953.65</v>
      </c>
      <c r="R75" s="310">
        <v>800.15</v>
      </c>
      <c r="S75" s="310">
        <f>J75</f>
        <v>722.1</v>
      </c>
      <c r="T75" s="536" t="s">
        <v>644</v>
      </c>
      <c r="V75" s="735">
        <v>0.82530000000000003</v>
      </c>
      <c r="AH75" s="845" t="s">
        <v>637</v>
      </c>
      <c r="AI75" s="825"/>
      <c r="AJ75" s="825"/>
      <c r="AK75" s="825"/>
      <c r="AL75" s="825"/>
      <c r="AM75" s="826"/>
    </row>
    <row r="76" spans="2:39">
      <c r="B76" s="214" t="s">
        <v>227</v>
      </c>
      <c r="C76" s="310">
        <v>51.09</v>
      </c>
      <c r="D76" s="310">
        <v>57.12</v>
      </c>
      <c r="E76" s="310">
        <v>68.58</v>
      </c>
      <c r="F76" s="310">
        <v>84.33</v>
      </c>
      <c r="G76" s="310">
        <v>81.97</v>
      </c>
      <c r="H76" s="310">
        <v>100.48</v>
      </c>
      <c r="I76" s="310">
        <v>113.45</v>
      </c>
      <c r="J76" s="310">
        <v>62.28</v>
      </c>
      <c r="K76" s="310">
        <v>46.38</v>
      </c>
      <c r="L76" s="310">
        <v>49.19</v>
      </c>
      <c r="M76" s="310">
        <v>43.66</v>
      </c>
      <c r="N76" s="310"/>
      <c r="O76" s="310">
        <v>10.88</v>
      </c>
      <c r="P76" s="310">
        <v>24.77</v>
      </c>
      <c r="Q76" s="310">
        <v>45.77</v>
      </c>
      <c r="R76" s="310">
        <v>84.33</v>
      </c>
      <c r="S76" s="310">
        <f t="shared" ref="S76:S79" si="112">J76</f>
        <v>62.28</v>
      </c>
      <c r="T76" s="535" t="s">
        <v>638</v>
      </c>
      <c r="V76" s="734">
        <v>310.04000000000002</v>
      </c>
      <c r="AH76" s="845"/>
      <c r="AI76" s="825"/>
      <c r="AJ76" s="825"/>
      <c r="AK76" s="825"/>
      <c r="AL76" s="825"/>
      <c r="AM76" s="826"/>
    </row>
    <row r="77" spans="2:39">
      <c r="B77" s="214" t="s">
        <v>228</v>
      </c>
      <c r="C77" s="310">
        <v>0</v>
      </c>
      <c r="D77" s="310">
        <v>0</v>
      </c>
      <c r="E77" s="310">
        <v>0</v>
      </c>
      <c r="F77" s="310">
        <v>0</v>
      </c>
      <c r="G77" s="310">
        <v>0</v>
      </c>
      <c r="H77" s="310">
        <v>0</v>
      </c>
      <c r="I77" s="310">
        <v>0</v>
      </c>
      <c r="J77" s="310">
        <v>74.239999999999995</v>
      </c>
      <c r="K77" s="310">
        <v>87.54</v>
      </c>
      <c r="L77" s="310">
        <v>105.44</v>
      </c>
      <c r="M77" s="310">
        <v>101.32</v>
      </c>
      <c r="N77" s="310"/>
      <c r="O77" s="310">
        <v>0</v>
      </c>
      <c r="P77" s="310">
        <v>0</v>
      </c>
      <c r="Q77" s="310">
        <v>0</v>
      </c>
      <c r="R77" s="310">
        <v>0</v>
      </c>
      <c r="S77" s="310">
        <f t="shared" si="112"/>
        <v>74.239999999999995</v>
      </c>
      <c r="T77" s="537" t="s">
        <v>644</v>
      </c>
      <c r="U77" s="382"/>
      <c r="V77" s="736">
        <v>0.17469999999999999</v>
      </c>
      <c r="AH77" s="845"/>
      <c r="AI77" s="825"/>
      <c r="AJ77" s="825"/>
      <c r="AK77" s="825"/>
      <c r="AL77" s="825"/>
      <c r="AM77" s="826"/>
    </row>
    <row r="78" spans="2:39">
      <c r="B78" s="214" t="s">
        <v>229</v>
      </c>
      <c r="C78" s="310">
        <v>8.58</v>
      </c>
      <c r="D78" s="310">
        <v>10.01</v>
      </c>
      <c r="E78" s="310">
        <v>10.14</v>
      </c>
      <c r="F78" s="310">
        <v>12.84</v>
      </c>
      <c r="G78" s="310">
        <v>14.65</v>
      </c>
      <c r="H78" s="310">
        <v>18.059999999999999</v>
      </c>
      <c r="I78" s="310">
        <v>18.59</v>
      </c>
      <c r="J78" s="310">
        <v>16.489999999999998</v>
      </c>
      <c r="K78" s="310">
        <v>18.260000000000002</v>
      </c>
      <c r="L78" s="310">
        <v>19.25</v>
      </c>
      <c r="M78" s="310">
        <v>15.87</v>
      </c>
      <c r="N78" s="310"/>
      <c r="O78" s="310">
        <v>0.93</v>
      </c>
      <c r="P78" s="310">
        <v>1.57</v>
      </c>
      <c r="Q78" s="310">
        <v>7.54</v>
      </c>
      <c r="R78" s="310">
        <v>12.84</v>
      </c>
      <c r="S78" s="310">
        <f t="shared" si="112"/>
        <v>16.489999999999998</v>
      </c>
      <c r="T78" s="860" t="s">
        <v>312</v>
      </c>
      <c r="U78" s="861"/>
      <c r="V78" s="543">
        <f>V74+V76</f>
        <v>1774.27</v>
      </c>
      <c r="AH78" s="845"/>
      <c r="AI78" s="825"/>
      <c r="AJ78" s="825"/>
      <c r="AK78" s="825"/>
      <c r="AL78" s="825"/>
      <c r="AM78" s="826"/>
    </row>
    <row r="79" spans="2:39">
      <c r="B79" s="311" t="s">
        <v>230</v>
      </c>
      <c r="C79" s="312">
        <v>30.06</v>
      </c>
      <c r="D79" s="312">
        <v>31.53</v>
      </c>
      <c r="E79" s="312">
        <v>33.93</v>
      </c>
      <c r="F79" s="312">
        <v>37.01</v>
      </c>
      <c r="G79" s="312">
        <v>39.31</v>
      </c>
      <c r="H79" s="312">
        <v>38.54</v>
      </c>
      <c r="I79" s="312">
        <v>44.15</v>
      </c>
      <c r="J79" s="312">
        <v>42.79</v>
      </c>
      <c r="K79" s="312">
        <v>47.39</v>
      </c>
      <c r="L79" s="312">
        <v>47.69</v>
      </c>
      <c r="M79" s="312">
        <v>55.9</v>
      </c>
      <c r="N79" s="312"/>
      <c r="O79" s="312">
        <v>10.43</v>
      </c>
      <c r="P79" s="312">
        <v>24.17</v>
      </c>
      <c r="Q79" s="312">
        <v>35.54</v>
      </c>
      <c r="R79" s="312">
        <v>37.01</v>
      </c>
      <c r="S79" s="312">
        <f t="shared" si="112"/>
        <v>42.79</v>
      </c>
      <c r="T79" s="538"/>
      <c r="V79" s="545"/>
      <c r="AH79" s="845"/>
      <c r="AI79" s="825"/>
      <c r="AJ79" s="825"/>
      <c r="AK79" s="825"/>
      <c r="AL79" s="825"/>
      <c r="AM79" s="826"/>
    </row>
    <row r="80" spans="2:39">
      <c r="B80" s="214" t="s">
        <v>231</v>
      </c>
      <c r="C80" s="266">
        <f t="shared" ref="C80:J80" si="113">SUM(C75:C79)</f>
        <v>1004.52</v>
      </c>
      <c r="D80" s="266">
        <f t="shared" si="113"/>
        <v>961.24</v>
      </c>
      <c r="E80" s="266">
        <f t="shared" si="113"/>
        <v>950.77</v>
      </c>
      <c r="F80" s="266">
        <f t="shared" si="113"/>
        <v>934.33</v>
      </c>
      <c r="G80" s="266">
        <f t="shared" si="113"/>
        <v>916.21</v>
      </c>
      <c r="H80" s="266">
        <f t="shared" si="113"/>
        <v>918.56999999999994</v>
      </c>
      <c r="I80" s="266">
        <f t="shared" si="113"/>
        <v>925.6</v>
      </c>
      <c r="J80" s="266">
        <f t="shared" si="113"/>
        <v>917.9</v>
      </c>
      <c r="K80" s="266">
        <f>SUM(K75:K79)</f>
        <v>873.52</v>
      </c>
      <c r="L80" s="266">
        <f>SUM(L75:L79)</f>
        <v>880.59000000000015</v>
      </c>
      <c r="M80" s="266">
        <f t="shared" ref="M80:S80" si="114">SUM(M75:M79)</f>
        <v>878.31999999999994</v>
      </c>
      <c r="N80" s="266"/>
      <c r="O80" s="266">
        <f t="shared" si="114"/>
        <v>233.21</v>
      </c>
      <c r="P80" s="266">
        <f t="shared" si="114"/>
        <v>857.66</v>
      </c>
      <c r="Q80" s="266">
        <f t="shared" si="114"/>
        <v>1042.5</v>
      </c>
      <c r="R80" s="266">
        <f t="shared" si="114"/>
        <v>934.33</v>
      </c>
      <c r="S80" s="266">
        <f t="shared" si="114"/>
        <v>917.9</v>
      </c>
      <c r="T80" s="862" t="s">
        <v>5</v>
      </c>
      <c r="U80" s="863"/>
      <c r="V80" s="864"/>
      <c r="AH80" s="845"/>
      <c r="AI80" s="825"/>
      <c r="AJ80" s="825"/>
      <c r="AK80" s="825"/>
      <c r="AL80" s="825"/>
      <c r="AM80" s="826"/>
    </row>
    <row r="81" spans="2:43">
      <c r="B81" s="214"/>
      <c r="C81" s="266"/>
      <c r="D81" s="266"/>
      <c r="E81" s="266"/>
      <c r="F81" s="266"/>
      <c r="G81" s="266"/>
      <c r="H81" s="266"/>
      <c r="I81" s="266"/>
      <c r="J81" s="266"/>
      <c r="K81" s="266"/>
      <c r="L81" s="266"/>
      <c r="M81" s="266"/>
      <c r="N81" s="266"/>
      <c r="O81" s="266"/>
      <c r="P81" s="266"/>
      <c r="Q81" s="266"/>
      <c r="R81" s="266"/>
      <c r="S81" s="266"/>
      <c r="T81" s="839" t="s">
        <v>640</v>
      </c>
      <c r="U81" s="840"/>
      <c r="V81" s="841"/>
      <c r="AH81" s="842" t="s">
        <v>633</v>
      </c>
      <c r="AI81" s="843"/>
      <c r="AJ81" s="843"/>
      <c r="AK81" s="843"/>
      <c r="AL81" s="843"/>
      <c r="AM81" s="844"/>
    </row>
    <row r="82" spans="2:43">
      <c r="B82" s="214" t="s">
        <v>232</v>
      </c>
      <c r="C82" s="310">
        <v>23.88</v>
      </c>
      <c r="D82" s="310">
        <v>22.94</v>
      </c>
      <c r="E82" s="310">
        <v>22.31</v>
      </c>
      <c r="F82" s="310">
        <v>20.97</v>
      </c>
      <c r="G82" s="310">
        <v>18.989999999999998</v>
      </c>
      <c r="H82" s="310">
        <v>18.79</v>
      </c>
      <c r="I82" s="310">
        <v>17.88</v>
      </c>
      <c r="J82" s="310">
        <v>17.079999999999998</v>
      </c>
      <c r="K82" s="310">
        <v>17.57</v>
      </c>
      <c r="L82" s="310">
        <v>15.69</v>
      </c>
      <c r="M82" s="310">
        <v>14.5</v>
      </c>
      <c r="N82" s="310"/>
      <c r="O82" s="310">
        <v>15.96</v>
      </c>
      <c r="P82" s="310">
        <v>21.21</v>
      </c>
      <c r="Q82" s="310">
        <v>25.54</v>
      </c>
      <c r="R82" s="310">
        <v>20.97</v>
      </c>
      <c r="S82" s="310">
        <f>J82</f>
        <v>17.079999999999998</v>
      </c>
      <c r="T82" s="532"/>
      <c r="V82" s="540"/>
      <c r="AH82" s="845" t="s">
        <v>795</v>
      </c>
      <c r="AI82" s="825"/>
      <c r="AJ82" s="825"/>
      <c r="AK82" s="825"/>
      <c r="AL82" s="825"/>
      <c r="AM82" s="826"/>
    </row>
    <row r="83" spans="2:43">
      <c r="B83" s="214" t="s">
        <v>233</v>
      </c>
      <c r="C83" s="310">
        <v>17.690000000000001</v>
      </c>
      <c r="D83" s="310">
        <v>18.77</v>
      </c>
      <c r="E83" s="310">
        <v>19.59</v>
      </c>
      <c r="F83" s="310">
        <v>19.489999999999998</v>
      </c>
      <c r="G83" s="310">
        <v>19.09</v>
      </c>
      <c r="H83" s="310">
        <v>18.52</v>
      </c>
      <c r="I83" s="310">
        <v>19.28</v>
      </c>
      <c r="J83" s="310">
        <v>20.5</v>
      </c>
      <c r="K83" s="310">
        <v>19.3</v>
      </c>
      <c r="L83" s="310">
        <v>18.53</v>
      </c>
      <c r="M83" s="310">
        <v>17.54</v>
      </c>
      <c r="N83" s="310"/>
      <c r="O83" s="310">
        <v>7.99</v>
      </c>
      <c r="P83" s="310">
        <v>8.34</v>
      </c>
      <c r="Q83" s="310">
        <v>16.46</v>
      </c>
      <c r="R83" s="310">
        <v>19.489999999999998</v>
      </c>
      <c r="S83" s="310">
        <f t="shared" ref="S83:S86" si="115">J83</f>
        <v>20.5</v>
      </c>
      <c r="T83" s="533" t="s">
        <v>312</v>
      </c>
      <c r="V83" s="546">
        <f>V78</f>
        <v>1774.27</v>
      </c>
      <c r="AH83" s="845"/>
      <c r="AI83" s="825"/>
      <c r="AJ83" s="825"/>
      <c r="AK83" s="825"/>
      <c r="AL83" s="825"/>
      <c r="AM83" s="826"/>
    </row>
    <row r="84" spans="2:43">
      <c r="B84" s="214" t="s">
        <v>234</v>
      </c>
      <c r="C84" s="310">
        <v>382.84</v>
      </c>
      <c r="D84" s="310">
        <v>357.18</v>
      </c>
      <c r="E84" s="310">
        <v>334.6</v>
      </c>
      <c r="F84" s="310">
        <v>311.45</v>
      </c>
      <c r="G84" s="310">
        <v>289.19</v>
      </c>
      <c r="H84" s="310">
        <v>267.87</v>
      </c>
      <c r="I84" s="310">
        <v>247.11</v>
      </c>
      <c r="J84" s="310">
        <v>227.03</v>
      </c>
      <c r="K84" s="310">
        <v>207.42</v>
      </c>
      <c r="L84" s="310">
        <v>191.24</v>
      </c>
      <c r="M84" s="310">
        <v>174.3</v>
      </c>
      <c r="N84" s="310"/>
      <c r="O84" s="310">
        <v>62.82</v>
      </c>
      <c r="P84" s="310">
        <v>234.49</v>
      </c>
      <c r="Q84" s="310">
        <v>409.57</v>
      </c>
      <c r="R84" s="310">
        <v>311.45</v>
      </c>
      <c r="S84" s="310">
        <f t="shared" si="115"/>
        <v>227.03</v>
      </c>
      <c r="T84" s="849" t="s">
        <v>621</v>
      </c>
      <c r="U84" s="850"/>
      <c r="V84" s="547">
        <f>'LSPD WACC'!C32</f>
        <v>-648.6</v>
      </c>
      <c r="AH84" s="845"/>
      <c r="AI84" s="825"/>
      <c r="AJ84" s="825"/>
      <c r="AK84" s="825"/>
      <c r="AL84" s="825"/>
      <c r="AM84" s="826"/>
    </row>
    <row r="85" spans="2:43">
      <c r="B85" s="214" t="s">
        <v>235</v>
      </c>
      <c r="C85" s="310">
        <v>26.47</v>
      </c>
      <c r="D85" s="310">
        <v>26.45</v>
      </c>
      <c r="E85" s="310">
        <v>29.23</v>
      </c>
      <c r="F85" s="310">
        <v>31.54</v>
      </c>
      <c r="G85" s="310">
        <v>34.82</v>
      </c>
      <c r="H85" s="310">
        <v>39.56</v>
      </c>
      <c r="I85" s="310">
        <v>42</v>
      </c>
      <c r="J85" s="310">
        <v>42.87</v>
      </c>
      <c r="K85" s="310">
        <v>41.14</v>
      </c>
      <c r="L85" s="310">
        <v>39.76</v>
      </c>
      <c r="M85" s="310">
        <v>41.22</v>
      </c>
      <c r="N85" s="310"/>
      <c r="O85" s="310">
        <v>11.75</v>
      </c>
      <c r="P85" s="310">
        <v>11.5</v>
      </c>
      <c r="Q85" s="310">
        <v>21.4</v>
      </c>
      <c r="R85" s="310">
        <v>31.54</v>
      </c>
      <c r="S85" s="310">
        <f t="shared" si="115"/>
        <v>42.87</v>
      </c>
      <c r="T85" s="539" t="s">
        <v>316</v>
      </c>
      <c r="V85" s="543">
        <f>V83-V84</f>
        <v>2422.87</v>
      </c>
      <c r="AH85" s="845"/>
      <c r="AI85" s="825"/>
      <c r="AJ85" s="825"/>
      <c r="AK85" s="825"/>
      <c r="AL85" s="825"/>
      <c r="AM85" s="826"/>
    </row>
    <row r="86" spans="2:43">
      <c r="B86" s="311" t="s">
        <v>236</v>
      </c>
      <c r="C86" s="312">
        <v>0.15</v>
      </c>
      <c r="D86" s="312">
        <v>0.14000000000000001</v>
      </c>
      <c r="E86" s="312">
        <v>0.14000000000000001</v>
      </c>
      <c r="F86" s="312">
        <v>0.3</v>
      </c>
      <c r="G86" s="312">
        <v>0.37</v>
      </c>
      <c r="H86" s="312">
        <v>0.18</v>
      </c>
      <c r="I86" s="312">
        <v>0.71</v>
      </c>
      <c r="J86" s="312">
        <v>0.6</v>
      </c>
      <c r="K86" s="312">
        <v>0.32</v>
      </c>
      <c r="L86" s="312">
        <v>0.56000000000000005</v>
      </c>
      <c r="M86" s="312">
        <v>0.51</v>
      </c>
      <c r="N86" s="312"/>
      <c r="O86" s="312">
        <v>0.11</v>
      </c>
      <c r="P86" s="312">
        <v>0.17</v>
      </c>
      <c r="Q86" s="312">
        <v>0.15</v>
      </c>
      <c r="R86" s="312">
        <v>0.3</v>
      </c>
      <c r="S86" s="312">
        <f t="shared" si="115"/>
        <v>0.6</v>
      </c>
      <c r="T86" s="535"/>
      <c r="V86" s="545"/>
      <c r="AH86" s="845"/>
      <c r="AI86" s="825"/>
      <c r="AJ86" s="825"/>
      <c r="AK86" s="825"/>
      <c r="AL86" s="825"/>
      <c r="AM86" s="826"/>
    </row>
    <row r="87" spans="2:43" ht="15" thickBot="1">
      <c r="B87" s="214" t="s">
        <v>237</v>
      </c>
      <c r="C87" s="310">
        <f t="shared" ref="C87:J87" si="116">SUM(C82:C86)</f>
        <v>451.03</v>
      </c>
      <c r="D87" s="310">
        <f t="shared" si="116"/>
        <v>425.47999999999996</v>
      </c>
      <c r="E87" s="310">
        <f t="shared" si="116"/>
        <v>405.87</v>
      </c>
      <c r="F87" s="310">
        <f t="shared" si="116"/>
        <v>383.75</v>
      </c>
      <c r="G87" s="310">
        <f t="shared" si="116"/>
        <v>362.46</v>
      </c>
      <c r="H87" s="310">
        <f t="shared" si="116"/>
        <v>344.92</v>
      </c>
      <c r="I87" s="310">
        <f t="shared" si="116"/>
        <v>326.97999999999996</v>
      </c>
      <c r="J87" s="310">
        <f t="shared" si="116"/>
        <v>308.08000000000004</v>
      </c>
      <c r="K87" s="310">
        <f>SUM(K82:K86)</f>
        <v>285.75</v>
      </c>
      <c r="L87" s="310">
        <f>SUM(L82:L86)</f>
        <v>265.78000000000003</v>
      </c>
      <c r="M87" s="310">
        <f t="shared" ref="M87:S87" si="117">SUM(M82:M86)</f>
        <v>248.07</v>
      </c>
      <c r="N87" s="310"/>
      <c r="O87" s="310">
        <f t="shared" si="117"/>
        <v>98.63000000000001</v>
      </c>
      <c r="P87" s="310">
        <f t="shared" si="117"/>
        <v>275.71000000000004</v>
      </c>
      <c r="Q87" s="310">
        <f t="shared" si="117"/>
        <v>473.11999999999995</v>
      </c>
      <c r="R87" s="310">
        <f t="shared" si="117"/>
        <v>383.75</v>
      </c>
      <c r="S87" s="310">
        <f t="shared" si="117"/>
        <v>308.08000000000004</v>
      </c>
      <c r="T87" s="536" t="s">
        <v>318</v>
      </c>
      <c r="V87" s="543">
        <f>'Company Summary'!C15</f>
        <v>152.97</v>
      </c>
      <c r="AH87" s="846"/>
      <c r="AI87" s="847"/>
      <c r="AJ87" s="847"/>
      <c r="AK87" s="847"/>
      <c r="AL87" s="847"/>
      <c r="AM87" s="848"/>
    </row>
    <row r="88" spans="2:43">
      <c r="B88" s="212" t="s">
        <v>238</v>
      </c>
      <c r="C88" s="313">
        <f t="shared" ref="C88:K88" si="118">+C80+C87</f>
        <v>1455.55</v>
      </c>
      <c r="D88" s="313">
        <f t="shared" si="118"/>
        <v>1386.72</v>
      </c>
      <c r="E88" s="313">
        <f t="shared" si="118"/>
        <v>1356.6399999999999</v>
      </c>
      <c r="F88" s="313">
        <f t="shared" si="118"/>
        <v>1318.08</v>
      </c>
      <c r="G88" s="313">
        <f t="shared" si="118"/>
        <v>1278.67</v>
      </c>
      <c r="H88" s="313">
        <f t="shared" si="118"/>
        <v>1263.49</v>
      </c>
      <c r="I88" s="313">
        <f t="shared" si="118"/>
        <v>1252.58</v>
      </c>
      <c r="J88" s="313">
        <f t="shared" si="118"/>
        <v>1225.98</v>
      </c>
      <c r="K88" s="313">
        <f t="shared" si="118"/>
        <v>1159.27</v>
      </c>
      <c r="L88" s="313">
        <f>+L80+L87</f>
        <v>1146.3700000000001</v>
      </c>
      <c r="M88" s="313">
        <f t="shared" ref="M88" si="119">+M80+M87</f>
        <v>1126.3899999999999</v>
      </c>
      <c r="N88" s="313"/>
      <c r="O88" s="313">
        <f t="shared" ref="O88:S88" si="120">+O80+O87</f>
        <v>331.84000000000003</v>
      </c>
      <c r="P88" s="313">
        <f t="shared" si="120"/>
        <v>1133.3699999999999</v>
      </c>
      <c r="Q88" s="313">
        <f t="shared" si="120"/>
        <v>1515.62</v>
      </c>
      <c r="R88" s="313">
        <f t="shared" si="120"/>
        <v>1318.08</v>
      </c>
      <c r="S88" s="313">
        <f t="shared" si="120"/>
        <v>1225.98</v>
      </c>
      <c r="T88" s="535" t="s">
        <v>5</v>
      </c>
      <c r="V88" s="548">
        <f>V85/V87</f>
        <v>15.838857292279531</v>
      </c>
    </row>
    <row r="89" spans="2:43">
      <c r="B89" s="214"/>
      <c r="C89" s="310"/>
      <c r="D89" s="310"/>
      <c r="E89" s="310"/>
      <c r="F89" s="310"/>
      <c r="G89" s="310"/>
      <c r="H89" s="310"/>
      <c r="I89" s="310"/>
      <c r="J89" s="310"/>
      <c r="K89" s="310"/>
      <c r="L89" s="310"/>
      <c r="M89" s="310"/>
      <c r="N89" s="310"/>
      <c r="O89" s="310"/>
      <c r="P89" s="310"/>
      <c r="Q89" s="310"/>
      <c r="R89" s="310"/>
      <c r="S89" s="310"/>
      <c r="T89" s="537" t="s">
        <v>3</v>
      </c>
      <c r="U89" s="382"/>
      <c r="V89" s="549">
        <f>'Company Summary'!C20</f>
        <v>13.15</v>
      </c>
    </row>
    <row r="90" spans="2:43">
      <c r="B90" s="214" t="s">
        <v>239</v>
      </c>
      <c r="C90" s="310">
        <v>71.569999999999993</v>
      </c>
      <c r="D90" s="310">
        <v>73.459999999999994</v>
      </c>
      <c r="E90" s="310">
        <v>69.75</v>
      </c>
      <c r="F90" s="310">
        <v>68.83</v>
      </c>
      <c r="G90" s="310">
        <v>60.74</v>
      </c>
      <c r="H90" s="310">
        <v>71.05</v>
      </c>
      <c r="I90" s="310">
        <v>77.67</v>
      </c>
      <c r="J90" s="310">
        <v>68.680000000000007</v>
      </c>
      <c r="K90" s="310">
        <v>65.489999999999995</v>
      </c>
      <c r="L90" s="310">
        <v>73</v>
      </c>
      <c r="M90" s="310">
        <v>77.2</v>
      </c>
      <c r="N90" s="310"/>
      <c r="O90" s="310">
        <v>30.81</v>
      </c>
      <c r="P90" s="310">
        <v>65.05</v>
      </c>
      <c r="Q90" s="310">
        <v>78.31</v>
      </c>
      <c r="R90" s="310">
        <v>68.83</v>
      </c>
      <c r="S90" s="310">
        <f>J90</f>
        <v>68.680000000000007</v>
      </c>
      <c r="T90" s="851" t="s">
        <v>645</v>
      </c>
      <c r="U90" s="852"/>
      <c r="V90" s="550">
        <f>(V88-V89)/V89</f>
        <v>0.20447583971707459</v>
      </c>
    </row>
    <row r="91" spans="2:43">
      <c r="B91" s="214" t="s">
        <v>132</v>
      </c>
      <c r="C91" s="310">
        <v>7.33</v>
      </c>
      <c r="D91" s="310">
        <v>6.81</v>
      </c>
      <c r="E91" s="310">
        <v>6.92</v>
      </c>
      <c r="F91" s="310">
        <v>6.62</v>
      </c>
      <c r="G91" s="310">
        <v>6.77</v>
      </c>
      <c r="H91" s="310">
        <v>6.7</v>
      </c>
      <c r="I91" s="310">
        <v>6.86</v>
      </c>
      <c r="J91" s="310">
        <v>6.94</v>
      </c>
      <c r="K91" s="310">
        <v>7.07</v>
      </c>
      <c r="L91" s="310">
        <v>6.88</v>
      </c>
      <c r="M91" s="310">
        <v>6.19</v>
      </c>
      <c r="N91" s="310"/>
      <c r="O91" s="310">
        <v>3.3</v>
      </c>
      <c r="P91" s="310">
        <v>5.12</v>
      </c>
      <c r="Q91" s="310">
        <v>7.63</v>
      </c>
      <c r="R91" s="310">
        <v>6.62</v>
      </c>
      <c r="S91" s="310">
        <f t="shared" ref="S91:S93" si="121">J91</f>
        <v>6.94</v>
      </c>
    </row>
    <row r="92" spans="2:43">
      <c r="B92" s="214" t="s">
        <v>240</v>
      </c>
      <c r="C92" s="310">
        <v>6.64</v>
      </c>
      <c r="D92" s="310">
        <v>6.67</v>
      </c>
      <c r="E92" s="310">
        <v>6.63</v>
      </c>
      <c r="F92" s="310">
        <v>6.92</v>
      </c>
      <c r="G92" s="310">
        <v>3.1</v>
      </c>
      <c r="H92" s="310">
        <v>2.46</v>
      </c>
      <c r="I92" s="310">
        <v>1.25</v>
      </c>
      <c r="J92" s="310">
        <v>1.71</v>
      </c>
      <c r="K92" s="310">
        <v>1.24</v>
      </c>
      <c r="L92" s="310">
        <v>1.8</v>
      </c>
      <c r="M92" s="310">
        <v>0.75</v>
      </c>
      <c r="N92" s="310"/>
      <c r="O92" s="310">
        <v>0.08</v>
      </c>
      <c r="P92" s="310">
        <v>0.11</v>
      </c>
      <c r="Q92" s="310">
        <v>6.72</v>
      </c>
      <c r="R92" s="310">
        <v>6.92</v>
      </c>
      <c r="S92" s="310">
        <f t="shared" si="121"/>
        <v>1.71</v>
      </c>
    </row>
    <row r="93" spans="2:43">
      <c r="B93" s="311" t="s">
        <v>241</v>
      </c>
      <c r="C93" s="312">
        <v>65.650000000000006</v>
      </c>
      <c r="D93" s="312">
        <v>62.93</v>
      </c>
      <c r="E93" s="312">
        <v>61.64</v>
      </c>
      <c r="F93" s="312">
        <v>68.09</v>
      </c>
      <c r="G93" s="312">
        <v>67.47</v>
      </c>
      <c r="H93" s="312">
        <v>63.03</v>
      </c>
      <c r="I93" s="312">
        <v>63.12</v>
      </c>
      <c r="J93" s="312">
        <v>67.34</v>
      </c>
      <c r="K93" s="312">
        <v>67.23</v>
      </c>
      <c r="L93" s="312">
        <v>63.25</v>
      </c>
      <c r="M93" s="312">
        <v>59.91</v>
      </c>
      <c r="N93" s="312"/>
      <c r="O93" s="312">
        <v>36.619999999999997</v>
      </c>
      <c r="P93" s="312">
        <v>43.12</v>
      </c>
      <c r="Q93" s="312">
        <v>65.19</v>
      </c>
      <c r="R93" s="312">
        <v>68.09</v>
      </c>
      <c r="S93" s="312">
        <f t="shared" si="121"/>
        <v>67.34</v>
      </c>
      <c r="AD93" s="853" t="s">
        <v>739</v>
      </c>
      <c r="AE93" s="853"/>
      <c r="AF93" s="853"/>
      <c r="AG93" s="853"/>
      <c r="AH93" s="853"/>
      <c r="AI93" s="853"/>
      <c r="AJ93" s="853"/>
      <c r="AK93" s="853"/>
      <c r="AL93" s="853"/>
      <c r="AM93" s="853"/>
      <c r="AN93" s="853"/>
      <c r="AO93" s="853"/>
      <c r="AP93" s="853"/>
      <c r="AQ93" s="853"/>
    </row>
    <row r="94" spans="2:43">
      <c r="B94" s="214" t="s">
        <v>242</v>
      </c>
      <c r="C94" s="310">
        <f t="shared" ref="C94:K94" si="122">SUM(C90:C93)</f>
        <v>151.19</v>
      </c>
      <c r="D94" s="310">
        <f t="shared" si="122"/>
        <v>149.87</v>
      </c>
      <c r="E94" s="310">
        <f t="shared" si="122"/>
        <v>144.94</v>
      </c>
      <c r="F94" s="310">
        <f t="shared" si="122"/>
        <v>150.46</v>
      </c>
      <c r="G94" s="310">
        <f t="shared" si="122"/>
        <v>138.07999999999998</v>
      </c>
      <c r="H94" s="310">
        <f t="shared" si="122"/>
        <v>143.24</v>
      </c>
      <c r="I94" s="310">
        <f t="shared" si="122"/>
        <v>148.9</v>
      </c>
      <c r="J94" s="310">
        <f t="shared" si="122"/>
        <v>144.67000000000002</v>
      </c>
      <c r="K94" s="310">
        <f t="shared" si="122"/>
        <v>141.03</v>
      </c>
      <c r="L94" s="310">
        <f t="shared" ref="L94:M94" si="123">SUM(L90:L93)</f>
        <v>144.93</v>
      </c>
      <c r="M94" s="310">
        <f t="shared" si="123"/>
        <v>144.05000000000001</v>
      </c>
      <c r="N94" s="310"/>
      <c r="O94" s="310">
        <f t="shared" ref="O94:S94" si="124">SUM(O90:O93)</f>
        <v>70.81</v>
      </c>
      <c r="P94" s="310">
        <f t="shared" si="124"/>
        <v>113.4</v>
      </c>
      <c r="Q94" s="310">
        <f t="shared" si="124"/>
        <v>157.85</v>
      </c>
      <c r="R94" s="310">
        <f t="shared" si="124"/>
        <v>150.46</v>
      </c>
      <c r="S94" s="310">
        <f t="shared" si="124"/>
        <v>144.67000000000002</v>
      </c>
    </row>
    <row r="95" spans="2:43">
      <c r="B95" s="214"/>
      <c r="C95" s="266"/>
      <c r="D95" s="266"/>
      <c r="E95" s="266"/>
      <c r="F95" s="266"/>
      <c r="G95" s="266"/>
      <c r="H95" s="266"/>
      <c r="I95" s="266"/>
      <c r="J95" s="266"/>
      <c r="K95" s="266"/>
      <c r="L95" s="266"/>
      <c r="M95" s="266"/>
      <c r="N95" s="266"/>
      <c r="O95" s="266"/>
      <c r="P95" s="266"/>
      <c r="Q95" s="266"/>
      <c r="R95" s="266"/>
      <c r="S95" s="266"/>
      <c r="AE95" s="838" t="s">
        <v>290</v>
      </c>
      <c r="AF95" s="838"/>
      <c r="AG95" s="838"/>
      <c r="AH95" s="838"/>
      <c r="AI95" s="838"/>
      <c r="AJ95" s="838"/>
      <c r="AK95" s="838"/>
      <c r="AL95" s="838"/>
      <c r="AM95" s="838"/>
      <c r="AN95" s="838"/>
      <c r="AO95" s="838"/>
      <c r="AP95" s="838"/>
      <c r="AQ95" s="838"/>
    </row>
    <row r="96" spans="2:43" ht="16" customHeight="1" thickBot="1">
      <c r="B96" s="214" t="s">
        <v>243</v>
      </c>
      <c r="C96" s="310">
        <v>1.89</v>
      </c>
      <c r="D96" s="310">
        <v>1.6</v>
      </c>
      <c r="E96" s="310">
        <v>1.64</v>
      </c>
      <c r="F96" s="310">
        <v>1.23</v>
      </c>
      <c r="G96" s="310">
        <v>1.28</v>
      </c>
      <c r="H96" s="310">
        <v>1.29</v>
      </c>
      <c r="I96" s="310">
        <v>0.89</v>
      </c>
      <c r="J96" s="310">
        <v>0.85</v>
      </c>
      <c r="K96" s="310">
        <v>0.77</v>
      </c>
      <c r="L96" s="310">
        <v>0.64</v>
      </c>
      <c r="M96" s="310">
        <v>0.79</v>
      </c>
      <c r="N96" s="310"/>
      <c r="O96" s="310">
        <v>5.47</v>
      </c>
      <c r="P96" s="310">
        <v>2.8</v>
      </c>
      <c r="Q96" s="310">
        <v>2.12</v>
      </c>
      <c r="R96" s="310">
        <v>1.23</v>
      </c>
      <c r="S96" s="310">
        <f>J96</f>
        <v>0.85</v>
      </c>
      <c r="AE96" s="300"/>
      <c r="AF96" s="300"/>
      <c r="AG96" s="300"/>
      <c r="AH96" s="300"/>
      <c r="AI96" s="300"/>
      <c r="AJ96" s="300"/>
      <c r="AK96" s="300"/>
      <c r="AL96" s="300"/>
      <c r="AM96" s="300"/>
      <c r="AN96" s="300"/>
      <c r="AO96" s="300"/>
      <c r="AP96" s="300"/>
      <c r="AQ96" s="300"/>
    </row>
    <row r="97" spans="2:43" ht="15" thickBot="1">
      <c r="B97" s="214" t="s">
        <v>136</v>
      </c>
      <c r="C97" s="310">
        <v>20.85</v>
      </c>
      <c r="D97" s="310">
        <v>19.350000000000001</v>
      </c>
      <c r="E97" s="310">
        <v>19.48</v>
      </c>
      <c r="F97" s="310">
        <v>18.57</v>
      </c>
      <c r="G97" s="310">
        <v>17.690000000000001</v>
      </c>
      <c r="H97" s="310">
        <v>16.95</v>
      </c>
      <c r="I97" s="310">
        <v>16.59</v>
      </c>
      <c r="J97" s="310">
        <v>16.27</v>
      </c>
      <c r="K97" s="310">
        <v>16.2</v>
      </c>
      <c r="L97" s="310">
        <v>15.08</v>
      </c>
      <c r="M97" s="310">
        <v>12.97</v>
      </c>
      <c r="N97" s="310"/>
      <c r="O97" s="310">
        <v>13.55</v>
      </c>
      <c r="P97" s="310">
        <v>20.56</v>
      </c>
      <c r="Q97" s="310">
        <v>23.04</v>
      </c>
      <c r="R97" s="310">
        <v>18.57</v>
      </c>
      <c r="S97" s="310">
        <f t="shared" ref="S97:S99" si="125">J97</f>
        <v>16.27</v>
      </c>
      <c r="AD97" s="579">
        <f>V88</f>
        <v>15.838857292279531</v>
      </c>
      <c r="AE97" s="580">
        <f t="shared" ref="AE97:AI97" si="126">AF97-0.0025</f>
        <v>8.6929999999999993E-2</v>
      </c>
      <c r="AF97" s="580">
        <f t="shared" si="126"/>
        <v>8.9429999999999996E-2</v>
      </c>
      <c r="AG97" s="580">
        <f t="shared" si="126"/>
        <v>9.1929999999999998E-2</v>
      </c>
      <c r="AH97" s="580">
        <f t="shared" si="126"/>
        <v>9.443E-2</v>
      </c>
      <c r="AI97" s="580">
        <f t="shared" si="126"/>
        <v>9.6930000000000002E-2</v>
      </c>
      <c r="AJ97" s="580">
        <f>AK97-0.0025</f>
        <v>9.9430000000000004E-2</v>
      </c>
      <c r="AK97" s="577">
        <v>0.10193000000000001</v>
      </c>
      <c r="AL97" s="580">
        <f>AK97+0.0025</f>
        <v>0.10443000000000001</v>
      </c>
      <c r="AM97" s="580">
        <f t="shared" ref="AM97:AQ97" si="127">AL97+0.0025</f>
        <v>0.10693000000000001</v>
      </c>
      <c r="AN97" s="580">
        <f t="shared" si="127"/>
        <v>0.10943000000000001</v>
      </c>
      <c r="AO97" s="580">
        <f t="shared" si="127"/>
        <v>0.11193000000000002</v>
      </c>
      <c r="AP97" s="580">
        <f t="shared" si="127"/>
        <v>0.11443000000000002</v>
      </c>
      <c r="AQ97" s="580">
        <f t="shared" si="127"/>
        <v>0.11693000000000002</v>
      </c>
    </row>
    <row r="98" spans="2:43">
      <c r="B98" s="214" t="s">
        <v>244</v>
      </c>
      <c r="C98" s="310">
        <v>0</v>
      </c>
      <c r="D98" s="310">
        <v>0</v>
      </c>
      <c r="E98" s="310">
        <v>0</v>
      </c>
      <c r="F98" s="310">
        <v>1.03</v>
      </c>
      <c r="G98" s="310">
        <v>1.17</v>
      </c>
      <c r="H98" s="310">
        <v>1.1200000000000001</v>
      </c>
      <c r="I98" s="310">
        <v>1.97</v>
      </c>
      <c r="J98" s="310">
        <v>0.97</v>
      </c>
      <c r="K98" s="310">
        <v>0.79</v>
      </c>
      <c r="L98" s="310">
        <v>1.25</v>
      </c>
      <c r="M98" s="310">
        <v>1.1399999999999999</v>
      </c>
      <c r="N98" s="310"/>
      <c r="O98" s="310">
        <v>8.1999999999999993</v>
      </c>
      <c r="P98" s="310">
        <v>0</v>
      </c>
      <c r="Q98" s="310">
        <v>1</v>
      </c>
      <c r="R98" s="310">
        <v>1.03</v>
      </c>
      <c r="S98" s="310">
        <f t="shared" si="125"/>
        <v>0.97</v>
      </c>
      <c r="AD98" s="581">
        <f>AD99+0.0025</f>
        <v>2.9999999999999995E-2</v>
      </c>
      <c r="AE98" s="582">
        <f t="dataTable" ref="AE98:AQ106" dt2D="1" dtr="1" r1="U67" r2="V70"/>
        <v>15.838857292279531</v>
      </c>
      <c r="AF98" s="582">
        <v>15.838857292279531</v>
      </c>
      <c r="AG98" s="582">
        <v>15.838857292279531</v>
      </c>
      <c r="AH98" s="582">
        <v>15.838857292279531</v>
      </c>
      <c r="AI98" s="582">
        <v>15.838857292279531</v>
      </c>
      <c r="AJ98" s="582">
        <v>15.838857292279531</v>
      </c>
      <c r="AK98" s="582">
        <v>15.838857292279531</v>
      </c>
      <c r="AL98" s="582">
        <v>15.838857292279531</v>
      </c>
      <c r="AM98" s="582">
        <v>15.838857292279531</v>
      </c>
      <c r="AN98" s="582">
        <v>15.838857292279531</v>
      </c>
      <c r="AO98" s="582">
        <v>15.838857292279531</v>
      </c>
      <c r="AP98" s="582">
        <v>15.838857292279531</v>
      </c>
      <c r="AQ98" s="582">
        <v>15.838857292279531</v>
      </c>
    </row>
    <row r="99" spans="2:43">
      <c r="B99" s="311" t="s">
        <v>245</v>
      </c>
      <c r="C99" s="312">
        <v>4.46</v>
      </c>
      <c r="D99" s="312">
        <v>1.61</v>
      </c>
      <c r="E99" s="312">
        <v>0.22</v>
      </c>
      <c r="F99" s="312">
        <v>0</v>
      </c>
      <c r="G99" s="312">
        <v>0</v>
      </c>
      <c r="H99" s="312">
        <v>0</v>
      </c>
      <c r="I99" s="312">
        <v>0</v>
      </c>
      <c r="J99" s="312">
        <v>0</v>
      </c>
      <c r="K99" s="312">
        <v>0</v>
      </c>
      <c r="L99" s="312">
        <v>0.38</v>
      </c>
      <c r="M99" s="312">
        <v>0.33</v>
      </c>
      <c r="N99" s="312"/>
      <c r="O99" s="312">
        <v>6.58</v>
      </c>
      <c r="P99" s="312">
        <v>1.36</v>
      </c>
      <c r="Q99" s="312">
        <v>6.83</v>
      </c>
      <c r="R99" s="312">
        <v>0</v>
      </c>
      <c r="S99" s="312">
        <f t="shared" si="125"/>
        <v>0</v>
      </c>
      <c r="AD99" s="581">
        <f t="shared" ref="AD99:AD100" si="128">AD100+0.0025</f>
        <v>2.7499999999999997E-2</v>
      </c>
      <c r="AE99" s="582">
        <v>15.838857292279531</v>
      </c>
      <c r="AF99" s="583">
        <v>15.838857292279531</v>
      </c>
      <c r="AG99" s="583">
        <v>15.838857292279531</v>
      </c>
      <c r="AH99" s="583">
        <v>15.838857292279531</v>
      </c>
      <c r="AI99" s="583">
        <v>15.838857292279531</v>
      </c>
      <c r="AJ99" s="583">
        <v>15.838857292279531</v>
      </c>
      <c r="AK99" s="583">
        <v>15.838857292279531</v>
      </c>
      <c r="AL99" s="583">
        <v>15.838857292279531</v>
      </c>
      <c r="AM99" s="583">
        <v>15.838857292279531</v>
      </c>
      <c r="AN99" s="583">
        <v>15.838857292279531</v>
      </c>
      <c r="AO99" s="583">
        <v>15.838857292279531</v>
      </c>
      <c r="AP99" s="583">
        <v>15.838857292279531</v>
      </c>
      <c r="AQ99" s="582">
        <v>15.838857292279531</v>
      </c>
    </row>
    <row r="100" spans="2:43">
      <c r="B100" s="214" t="s">
        <v>246</v>
      </c>
      <c r="C100" s="310">
        <f t="shared" ref="C100:K100" si="129">SUM(C96:C99)</f>
        <v>27.200000000000003</v>
      </c>
      <c r="D100" s="310">
        <f t="shared" si="129"/>
        <v>22.560000000000002</v>
      </c>
      <c r="E100" s="310">
        <f t="shared" si="129"/>
        <v>21.34</v>
      </c>
      <c r="F100" s="310">
        <f t="shared" si="129"/>
        <v>20.830000000000002</v>
      </c>
      <c r="G100" s="310">
        <f t="shared" si="129"/>
        <v>20.14</v>
      </c>
      <c r="H100" s="310">
        <f t="shared" si="129"/>
        <v>19.36</v>
      </c>
      <c r="I100" s="310">
        <f t="shared" si="129"/>
        <v>19.45</v>
      </c>
      <c r="J100" s="310">
        <f t="shared" si="129"/>
        <v>18.09</v>
      </c>
      <c r="K100" s="310">
        <f t="shared" si="129"/>
        <v>17.759999999999998</v>
      </c>
      <c r="L100" s="310">
        <f>SUM(L96:L99)</f>
        <v>17.349999999999998</v>
      </c>
      <c r="M100" s="310">
        <f t="shared" ref="M100" si="130">SUM(M96:M99)</f>
        <v>15.230000000000002</v>
      </c>
      <c r="N100" s="310"/>
      <c r="O100" s="310">
        <f t="shared" ref="O100:S100" si="131">SUM(O96:O99)</f>
        <v>33.799999999999997</v>
      </c>
      <c r="P100" s="310">
        <f t="shared" si="131"/>
        <v>24.72</v>
      </c>
      <c r="Q100" s="310">
        <f t="shared" si="131"/>
        <v>32.99</v>
      </c>
      <c r="R100" s="310">
        <f t="shared" si="131"/>
        <v>20.830000000000002</v>
      </c>
      <c r="S100" s="310">
        <f t="shared" si="131"/>
        <v>18.09</v>
      </c>
      <c r="AD100" s="581">
        <f t="shared" si="128"/>
        <v>2.4999999999999998E-2</v>
      </c>
      <c r="AE100" s="582">
        <v>15.838857292279531</v>
      </c>
      <c r="AF100" s="583">
        <v>15.838857292279531</v>
      </c>
      <c r="AG100" s="584">
        <v>15.838857292279531</v>
      </c>
      <c r="AH100" s="584">
        <v>15.838857292279531</v>
      </c>
      <c r="AI100" s="584">
        <v>15.838857292279531</v>
      </c>
      <c r="AJ100" s="584">
        <v>15.838857292279531</v>
      </c>
      <c r="AK100" s="584">
        <v>15.838857292279531</v>
      </c>
      <c r="AL100" s="584">
        <v>15.838857292279531</v>
      </c>
      <c r="AM100" s="584">
        <v>15.838857292279531</v>
      </c>
      <c r="AN100" s="584">
        <v>15.838857292279531</v>
      </c>
      <c r="AO100" s="585">
        <v>15.838857292279531</v>
      </c>
      <c r="AP100" s="583">
        <v>15.838857292279531</v>
      </c>
      <c r="AQ100" s="582">
        <v>15.838857292279531</v>
      </c>
    </row>
    <row r="101" spans="2:43" ht="15" thickBot="1">
      <c r="B101" s="212" t="s">
        <v>247</v>
      </c>
      <c r="C101" s="313">
        <f t="shared" ref="C101:K101" si="132">C94+C100</f>
        <v>178.39</v>
      </c>
      <c r="D101" s="313">
        <f t="shared" si="132"/>
        <v>172.43</v>
      </c>
      <c r="E101" s="313">
        <f t="shared" si="132"/>
        <v>166.28</v>
      </c>
      <c r="F101" s="313">
        <f t="shared" si="132"/>
        <v>171.29000000000002</v>
      </c>
      <c r="G101" s="313">
        <f t="shared" si="132"/>
        <v>158.21999999999997</v>
      </c>
      <c r="H101" s="313">
        <f t="shared" si="132"/>
        <v>162.60000000000002</v>
      </c>
      <c r="I101" s="313">
        <f t="shared" si="132"/>
        <v>168.35</v>
      </c>
      <c r="J101" s="313">
        <f t="shared" si="132"/>
        <v>162.76000000000002</v>
      </c>
      <c r="K101" s="313">
        <f t="shared" si="132"/>
        <v>158.79</v>
      </c>
      <c r="L101" s="313">
        <f>L94+L100</f>
        <v>162.28</v>
      </c>
      <c r="M101" s="313">
        <f t="shared" ref="M101" si="133">M94+M100</f>
        <v>159.28</v>
      </c>
      <c r="N101" s="313"/>
      <c r="O101" s="313">
        <f t="shared" ref="O101:S101" si="134">O94+O100</f>
        <v>104.61</v>
      </c>
      <c r="P101" s="313">
        <f t="shared" si="134"/>
        <v>138.12</v>
      </c>
      <c r="Q101" s="313">
        <f t="shared" si="134"/>
        <v>190.84</v>
      </c>
      <c r="R101" s="313">
        <f t="shared" si="134"/>
        <v>171.29000000000002</v>
      </c>
      <c r="S101" s="313">
        <f t="shared" si="134"/>
        <v>162.76000000000002</v>
      </c>
      <c r="T101" s="282"/>
      <c r="AD101" s="581">
        <f>AD102+0.0025</f>
        <v>2.2499999999999999E-2</v>
      </c>
      <c r="AE101" s="582">
        <v>15.838857292279531</v>
      </c>
      <c r="AF101" s="583">
        <v>15.838857292279531</v>
      </c>
      <c r="AG101" s="584">
        <v>15.838857292279531</v>
      </c>
      <c r="AH101" s="586">
        <v>15.838857292279531</v>
      </c>
      <c r="AI101" s="586">
        <v>15.838857292279531</v>
      </c>
      <c r="AJ101" s="586">
        <v>15.838857292279531</v>
      </c>
      <c r="AK101" s="586">
        <v>15.838857292279531</v>
      </c>
      <c r="AL101" s="586">
        <v>15.838857292279531</v>
      </c>
      <c r="AM101" s="586">
        <v>15.838857292279531</v>
      </c>
      <c r="AN101" s="586">
        <v>15.838857292279531</v>
      </c>
      <c r="AO101" s="585">
        <v>15.838857292279531</v>
      </c>
      <c r="AP101" s="583">
        <v>15.838857292279531</v>
      </c>
      <c r="AQ101" s="582">
        <v>15.838857292279531</v>
      </c>
    </row>
    <row r="102" spans="2:43" ht="15" thickBot="1">
      <c r="B102" s="300"/>
      <c r="C102" s="266"/>
      <c r="D102" s="266"/>
      <c r="E102" s="266"/>
      <c r="F102" s="266"/>
      <c r="G102" s="266"/>
      <c r="H102" s="266"/>
      <c r="I102" s="266"/>
      <c r="J102" s="266"/>
      <c r="K102" s="266"/>
      <c r="L102" s="266"/>
      <c r="M102" s="266"/>
      <c r="N102" s="266"/>
      <c r="O102" s="266">
        <f>(O75)+(O91+O97)</f>
        <v>227.82</v>
      </c>
      <c r="P102" s="266">
        <f>(P75)+(P91+P97)</f>
        <v>832.82999999999993</v>
      </c>
      <c r="Q102" s="266"/>
      <c r="R102" s="266"/>
      <c r="S102" s="266"/>
      <c r="AC102" s="591" t="s">
        <v>738</v>
      </c>
      <c r="AD102" s="578">
        <v>0.02</v>
      </c>
      <c r="AE102" s="582">
        <v>15.838857292279531</v>
      </c>
      <c r="AF102" s="583">
        <v>15.838857292279531</v>
      </c>
      <c r="AG102" s="584">
        <v>15.838857292279531</v>
      </c>
      <c r="AH102" s="586">
        <v>15.838857292279531</v>
      </c>
      <c r="AI102" s="587">
        <v>15.838857292279531</v>
      </c>
      <c r="AJ102" s="587">
        <v>15.838857292279531</v>
      </c>
      <c r="AK102" s="588">
        <v>15.838857292279531</v>
      </c>
      <c r="AL102" s="587">
        <v>15.838857292279531</v>
      </c>
      <c r="AM102" s="587">
        <v>15.838857292279531</v>
      </c>
      <c r="AN102" s="586">
        <v>15.838857292279531</v>
      </c>
      <c r="AO102" s="585">
        <v>15.838857292279531</v>
      </c>
      <c r="AP102" s="583">
        <v>15.838857292279531</v>
      </c>
      <c r="AQ102" s="582">
        <v>15.838857292279531</v>
      </c>
    </row>
    <row r="103" spans="2:43">
      <c r="B103" s="214" t="s">
        <v>248</v>
      </c>
      <c r="C103" s="310">
        <v>147.53</v>
      </c>
      <c r="D103" s="310">
        <v>171.44</v>
      </c>
      <c r="E103" s="310">
        <v>192.26</v>
      </c>
      <c r="F103" s="310">
        <v>198.02</v>
      </c>
      <c r="G103" s="310">
        <v>197.11</v>
      </c>
      <c r="H103" s="310">
        <v>205.68</v>
      </c>
      <c r="I103" s="310">
        <v>209.17</v>
      </c>
      <c r="J103" s="310">
        <v>213.92</v>
      </c>
      <c r="K103" s="310">
        <v>211.99</v>
      </c>
      <c r="L103" s="310">
        <v>220.06</v>
      </c>
      <c r="M103" s="310">
        <v>195.5</v>
      </c>
      <c r="N103" s="310"/>
      <c r="O103" s="310">
        <v>11.77</v>
      </c>
      <c r="P103" s="310">
        <v>35.880000000000003</v>
      </c>
      <c r="Q103" s="310">
        <v>123.78</v>
      </c>
      <c r="R103" s="310">
        <v>198.02</v>
      </c>
      <c r="S103" s="310">
        <f>J103</f>
        <v>213.92</v>
      </c>
      <c r="AD103" s="581">
        <f>AD102-0.0025</f>
        <v>1.7500000000000002E-2</v>
      </c>
      <c r="AE103" s="582">
        <v>15.838857292279531</v>
      </c>
      <c r="AF103" s="583">
        <v>15.838857292279531</v>
      </c>
      <c r="AG103" s="584">
        <v>15.838857292279531</v>
      </c>
      <c r="AH103" s="586">
        <v>15.838857292279531</v>
      </c>
      <c r="AI103" s="586">
        <v>15.838857292279531</v>
      </c>
      <c r="AJ103" s="586">
        <v>15.838857292279531</v>
      </c>
      <c r="AK103" s="586">
        <v>15.838857292279531</v>
      </c>
      <c r="AL103" s="586">
        <v>15.838857292279531</v>
      </c>
      <c r="AM103" s="586">
        <v>15.838857292279531</v>
      </c>
      <c r="AN103" s="586">
        <v>15.838857292279531</v>
      </c>
      <c r="AO103" s="585">
        <v>15.838857292279531</v>
      </c>
      <c r="AP103" s="583">
        <v>15.838857292279531</v>
      </c>
      <c r="AQ103" s="582">
        <v>15.838857292279531</v>
      </c>
    </row>
    <row r="104" spans="2:43">
      <c r="B104" s="214" t="s">
        <v>249</v>
      </c>
      <c r="C104" s="310">
        <v>-1026.99</v>
      </c>
      <c r="D104" s="310">
        <v>-1106.93</v>
      </c>
      <c r="E104" s="310">
        <v>-1921.73</v>
      </c>
      <c r="F104" s="310">
        <v>-1996.2</v>
      </c>
      <c r="G104" s="310">
        <v>-2044.9</v>
      </c>
      <c r="H104" s="310">
        <v>-2087.39</v>
      </c>
      <c r="I104" s="310">
        <v>-2127.6</v>
      </c>
      <c r="J104" s="310">
        <v>-2160.16</v>
      </c>
      <c r="K104" s="310">
        <v>-2159.15</v>
      </c>
      <c r="L104" s="310">
        <v>-2189</v>
      </c>
      <c r="M104" s="310">
        <v>-2215.39</v>
      </c>
      <c r="N104" s="310"/>
      <c r="O104" s="310">
        <v>-513.48</v>
      </c>
      <c r="P104" s="310">
        <v>-637.76</v>
      </c>
      <c r="Q104" s="310">
        <v>-926.2</v>
      </c>
      <c r="R104" s="310">
        <v>-1996.2</v>
      </c>
      <c r="S104" s="310">
        <f>J104</f>
        <v>-2160.16</v>
      </c>
      <c r="AD104" s="581">
        <f t="shared" ref="AD104:AD106" si="135">AD103-0.0025</f>
        <v>1.5000000000000001E-2</v>
      </c>
      <c r="AE104" s="582">
        <v>15.838857292279531</v>
      </c>
      <c r="AF104" s="583">
        <v>15.838857292279531</v>
      </c>
      <c r="AG104" s="584">
        <v>15.838857292279531</v>
      </c>
      <c r="AH104" s="584">
        <v>15.838857292279531</v>
      </c>
      <c r="AI104" s="584">
        <v>15.838857292279531</v>
      </c>
      <c r="AJ104" s="584">
        <v>15.838857292279531</v>
      </c>
      <c r="AK104" s="584">
        <v>15.838857292279531</v>
      </c>
      <c r="AL104" s="584">
        <v>15.838857292279531</v>
      </c>
      <c r="AM104" s="584">
        <v>15.838857292279531</v>
      </c>
      <c r="AN104" s="584">
        <v>15.838857292279531</v>
      </c>
      <c r="AO104" s="584">
        <v>15.838857292279531</v>
      </c>
      <c r="AP104" s="583">
        <v>15.838857292279531</v>
      </c>
      <c r="AQ104" s="582">
        <v>15.838857292279531</v>
      </c>
    </row>
    <row r="105" spans="2:43">
      <c r="B105" s="214" t="s">
        <v>250</v>
      </c>
      <c r="C105" s="310">
        <f t="shared" ref="C105:S105" si="136">C88-C101</f>
        <v>1277.1599999999999</v>
      </c>
      <c r="D105" s="310">
        <f t="shared" si="136"/>
        <v>1214.29</v>
      </c>
      <c r="E105" s="310">
        <f t="shared" si="136"/>
        <v>1190.3599999999999</v>
      </c>
      <c r="F105" s="310">
        <f t="shared" si="136"/>
        <v>1146.79</v>
      </c>
      <c r="G105" s="310">
        <f t="shared" si="136"/>
        <v>1120.45</v>
      </c>
      <c r="H105" s="310">
        <f t="shared" si="136"/>
        <v>1100.8899999999999</v>
      </c>
      <c r="I105" s="310">
        <f t="shared" si="136"/>
        <v>1084.23</v>
      </c>
      <c r="J105" s="310">
        <f t="shared" si="136"/>
        <v>1063.22</v>
      </c>
      <c r="K105" s="310">
        <f t="shared" si="136"/>
        <v>1000.48</v>
      </c>
      <c r="L105" s="310">
        <f>L88-L101</f>
        <v>984.09000000000015</v>
      </c>
      <c r="M105" s="310">
        <f t="shared" si="136"/>
        <v>967.1099999999999</v>
      </c>
      <c r="N105" s="310"/>
      <c r="O105" s="310">
        <f t="shared" si="136"/>
        <v>227.23000000000002</v>
      </c>
      <c r="P105" s="310">
        <f t="shared" si="136"/>
        <v>995.24999999999989</v>
      </c>
      <c r="Q105" s="310">
        <f t="shared" si="136"/>
        <v>1324.78</v>
      </c>
      <c r="R105" s="310">
        <f t="shared" si="136"/>
        <v>1146.79</v>
      </c>
      <c r="S105" s="310">
        <f t="shared" si="136"/>
        <v>1063.22</v>
      </c>
      <c r="AD105" s="581">
        <f t="shared" si="135"/>
        <v>1.2500000000000001E-2</v>
      </c>
      <c r="AE105" s="582">
        <v>15.838857292279531</v>
      </c>
      <c r="AF105" s="583">
        <v>15.838857292279531</v>
      </c>
      <c r="AG105" s="583">
        <v>15.838857292279531</v>
      </c>
      <c r="AH105" s="583">
        <v>15.838857292279531</v>
      </c>
      <c r="AI105" s="583">
        <v>15.838857292279531</v>
      </c>
      <c r="AJ105" s="583">
        <v>15.838857292279531</v>
      </c>
      <c r="AK105" s="583">
        <v>15.838857292279531</v>
      </c>
      <c r="AL105" s="583">
        <v>15.838857292279531</v>
      </c>
      <c r="AM105" s="583">
        <v>15.838857292279531</v>
      </c>
      <c r="AN105" s="583">
        <v>15.838857292279531</v>
      </c>
      <c r="AO105" s="583">
        <v>15.838857292279531</v>
      </c>
      <c r="AP105" s="583">
        <v>15.838857292279531</v>
      </c>
      <c r="AQ105" s="582">
        <v>15.838857292279531</v>
      </c>
    </row>
    <row r="106" spans="2:43">
      <c r="B106" s="214"/>
      <c r="C106" s="266"/>
      <c r="D106" s="266"/>
      <c r="E106" s="266"/>
      <c r="F106" s="266"/>
      <c r="G106" s="266"/>
      <c r="H106" s="266"/>
      <c r="I106" s="266"/>
      <c r="J106" s="266"/>
      <c r="K106" s="266"/>
      <c r="L106" s="266"/>
      <c r="M106" s="266"/>
      <c r="N106" s="266"/>
      <c r="O106" s="266"/>
      <c r="P106" s="266"/>
      <c r="Q106" s="266"/>
      <c r="R106" s="266"/>
      <c r="S106" s="266"/>
      <c r="AD106" s="581">
        <f t="shared" si="135"/>
        <v>0.01</v>
      </c>
      <c r="AE106" s="582">
        <v>15.838857292279531</v>
      </c>
      <c r="AF106" s="582">
        <v>15.838857292279531</v>
      </c>
      <c r="AG106" s="582">
        <v>15.838857292279531</v>
      </c>
      <c r="AH106" s="582">
        <v>15.838857292279531</v>
      </c>
      <c r="AI106" s="582">
        <v>15.838857292279531</v>
      </c>
      <c r="AJ106" s="582">
        <v>15.838857292279531</v>
      </c>
      <c r="AK106" s="582">
        <v>15.838857292279531</v>
      </c>
      <c r="AL106" s="582">
        <v>15.838857292279531</v>
      </c>
      <c r="AM106" s="582">
        <v>15.838857292279531</v>
      </c>
      <c r="AN106" s="582">
        <v>15.838857292279531</v>
      </c>
      <c r="AO106" s="582">
        <v>15.838857292279531</v>
      </c>
      <c r="AP106" s="582">
        <v>15.838857292279531</v>
      </c>
      <c r="AQ106" s="582">
        <v>15.838857292279531</v>
      </c>
    </row>
    <row r="107" spans="2:43">
      <c r="B107" s="214" t="s">
        <v>251</v>
      </c>
      <c r="C107" s="310">
        <f>C64</f>
        <v>-49.989000000000011</v>
      </c>
      <c r="D107" s="310">
        <f t="shared" ref="D107:M107" si="137">D64</f>
        <v>-32.707970186607554</v>
      </c>
      <c r="E107" s="310">
        <f t="shared" si="137"/>
        <v>-25.015315416200092</v>
      </c>
      <c r="F107" s="310">
        <f t="shared" si="137"/>
        <v>-36.980530324715424</v>
      </c>
      <c r="G107" s="310">
        <f t="shared" si="137"/>
        <v>-10.888215522865949</v>
      </c>
      <c r="H107" s="310">
        <f t="shared" si="137"/>
        <v>-7.0251909888526356</v>
      </c>
      <c r="I107" s="310">
        <f t="shared" si="137"/>
        <v>-7.0682506468620652</v>
      </c>
      <c r="J107" s="310">
        <f t="shared" si="137"/>
        <v>2.2032523247536275</v>
      </c>
      <c r="K107" s="310">
        <f t="shared" si="137"/>
        <v>-6.3070944984503186</v>
      </c>
      <c r="L107" s="310">
        <f t="shared" si="137"/>
        <v>1.4458587906520677</v>
      </c>
      <c r="M107" s="310">
        <f t="shared" si="137"/>
        <v>8.8331118427881599</v>
      </c>
      <c r="N107" s="310"/>
      <c r="O107" s="310">
        <f t="shared" ref="O107:S107" si="138">O64</f>
        <v>-7.4580000000000171</v>
      </c>
      <c r="P107" s="310">
        <f t="shared" si="138"/>
        <v>-27.864926163267594</v>
      </c>
      <c r="Q107" s="310">
        <f t="shared" si="138"/>
        <v>-100.75845320643327</v>
      </c>
      <c r="R107" s="310">
        <f t="shared" si="138"/>
        <v>-132.49938046856138</v>
      </c>
      <c r="S107" s="310">
        <f t="shared" si="138"/>
        <v>-34.491999999999983</v>
      </c>
    </row>
    <row r="108" spans="2:43">
      <c r="B108" s="214" t="s">
        <v>252</v>
      </c>
      <c r="C108" s="310">
        <v>-100.8</v>
      </c>
      <c r="D108" s="310">
        <f>-180.74-C108</f>
        <v>-79.940000000000012</v>
      </c>
      <c r="E108" s="310">
        <f>-995.54-(D108+C108)</f>
        <v>-814.8</v>
      </c>
      <c r="F108" s="310">
        <f>-1070.01-(C108+D108+E108)</f>
        <v>-74.470000000000027</v>
      </c>
      <c r="G108" s="310">
        <v>-48.7</v>
      </c>
      <c r="H108" s="310">
        <f>-91.2-G108</f>
        <v>-42.5</v>
      </c>
      <c r="I108" s="310">
        <f>-131.42-(G108+H108)</f>
        <v>-40.219999999999985</v>
      </c>
      <c r="J108" s="310">
        <f>-163.96-(G108+H108+I108)</f>
        <v>-32.54000000000002</v>
      </c>
      <c r="K108" s="310">
        <v>-35.01</v>
      </c>
      <c r="L108" s="310">
        <f>-64.67-K108</f>
        <v>-29.660000000000004</v>
      </c>
      <c r="M108" s="310">
        <f>-91.25-(K108+L108)</f>
        <v>-26.58</v>
      </c>
      <c r="N108" s="310"/>
      <c r="O108" s="310">
        <v>-53.53</v>
      </c>
      <c r="P108" s="310">
        <v>-124.28</v>
      </c>
      <c r="Q108" s="310">
        <v>-288.43</v>
      </c>
      <c r="R108" s="310">
        <f>SUM(C108:F108)</f>
        <v>-1070.01</v>
      </c>
      <c r="S108" s="310">
        <f>SUM(G108:J108)</f>
        <v>-163.96</v>
      </c>
    </row>
    <row r="109" spans="2:43">
      <c r="B109" s="214" t="s">
        <v>253</v>
      </c>
      <c r="C109" s="310">
        <v>15.6</v>
      </c>
      <c r="D109" s="310">
        <f>26.74-C109</f>
        <v>11.139999999999999</v>
      </c>
      <c r="E109" s="310">
        <f>31.52-(C109+D109)</f>
        <v>4.7800000000000011</v>
      </c>
      <c r="F109" s="310">
        <f>40.22-(C109+D109+E109)</f>
        <v>8.6999999999999993</v>
      </c>
      <c r="G109" s="310">
        <v>2.4700000000000002</v>
      </c>
      <c r="H109" s="310">
        <f>2.95-G109</f>
        <v>0.48</v>
      </c>
      <c r="I109" s="310">
        <f>2.95-(G109+H109)</f>
        <v>0</v>
      </c>
      <c r="J109" s="310">
        <f>2.95-(G109+H109+I109)</f>
        <v>0</v>
      </c>
      <c r="K109" s="310">
        <v>0</v>
      </c>
      <c r="L109" s="310">
        <v>0</v>
      </c>
      <c r="M109" s="310">
        <v>0</v>
      </c>
      <c r="N109" s="310"/>
      <c r="O109" s="310">
        <v>11.09</v>
      </c>
      <c r="P109" s="310">
        <v>4.5199999999999996</v>
      </c>
      <c r="Q109" s="310">
        <v>45.04</v>
      </c>
      <c r="R109" s="310">
        <f>SUM(C109:F109)</f>
        <v>40.22</v>
      </c>
      <c r="S109" s="310">
        <f>SUM(G109:J109)</f>
        <v>2.95</v>
      </c>
      <c r="AK109" s="336" t="s">
        <v>294</v>
      </c>
    </row>
    <row r="110" spans="2:43" ht="15" thickBot="1">
      <c r="B110" s="214" t="s">
        <v>254</v>
      </c>
      <c r="C110" s="310">
        <v>25.88</v>
      </c>
      <c r="D110" s="310">
        <f>51.56-C110</f>
        <v>25.680000000000003</v>
      </c>
      <c r="E110" s="310">
        <f>76.93-(C110+D110)</f>
        <v>25.370000000000005</v>
      </c>
      <c r="F110" s="310">
        <f>101.55-(C110+D110+E110)</f>
        <v>24.61999999999999</v>
      </c>
      <c r="G110" s="310">
        <v>24.51</v>
      </c>
      <c r="H110" s="310">
        <f>48.5-G110</f>
        <v>23.99</v>
      </c>
      <c r="I110" s="310">
        <f>72.17-(G110+H110)</f>
        <v>23.67</v>
      </c>
      <c r="J110" s="310">
        <f>95.05-(G110+H110+I110)</f>
        <v>22.879999999999995</v>
      </c>
      <c r="K110" s="310">
        <v>22.9</v>
      </c>
      <c r="L110" s="310">
        <f>45.51-K110</f>
        <v>22.61</v>
      </c>
      <c r="M110" s="310">
        <f>67.61-(K110+L110)</f>
        <v>22.1</v>
      </c>
      <c r="N110" s="310"/>
      <c r="O110" s="310">
        <v>9.23</v>
      </c>
      <c r="P110" s="310">
        <v>30.13</v>
      </c>
      <c r="Q110" s="310">
        <v>91.81</v>
      </c>
      <c r="R110" s="310">
        <f t="shared" ref="R110:R123" si="139">SUM(C110:F110)</f>
        <v>101.55</v>
      </c>
      <c r="S110" s="310">
        <f t="shared" ref="S110:S123" si="140">SUM(G110:J110)</f>
        <v>95.05</v>
      </c>
    </row>
    <row r="111" spans="2:43" ht="16" customHeight="1" thickBot="1">
      <c r="B111" s="214" t="s">
        <v>255</v>
      </c>
      <c r="C111" s="310">
        <v>3.27</v>
      </c>
      <c r="D111" s="310">
        <f>6.52-C111</f>
        <v>3.2499999999999996</v>
      </c>
      <c r="E111" s="310">
        <f>9.96-(C111+D111)</f>
        <v>3.4400000000000013</v>
      </c>
      <c r="F111" s="310">
        <f>13.72-(C111+D111+E111)</f>
        <v>3.76</v>
      </c>
      <c r="G111" s="310">
        <v>3.69</v>
      </c>
      <c r="H111" s="310">
        <f>6.83-G111</f>
        <v>3.14</v>
      </c>
      <c r="I111" s="310">
        <f>10.37-(G111+H111)</f>
        <v>3.5399999999999991</v>
      </c>
      <c r="J111" s="310">
        <f>14.59-(G111+H111+I111)</f>
        <v>4.2200000000000006</v>
      </c>
      <c r="K111" s="310">
        <v>3.37</v>
      </c>
      <c r="L111" s="310">
        <f>6.59-K111</f>
        <v>3.2199999999999998</v>
      </c>
      <c r="M111" s="310">
        <f>9.7-(K111+L111)</f>
        <v>3.1099999999999994</v>
      </c>
      <c r="N111" s="310"/>
      <c r="O111" s="310">
        <v>4.24</v>
      </c>
      <c r="P111" s="310">
        <v>6.36</v>
      </c>
      <c r="Q111" s="310">
        <v>12.74</v>
      </c>
      <c r="R111" s="310">
        <f t="shared" si="139"/>
        <v>13.72</v>
      </c>
      <c r="S111" s="310">
        <f t="shared" si="140"/>
        <v>14.59</v>
      </c>
      <c r="AD111" s="579">
        <f>V88</f>
        <v>15.838857292279531</v>
      </c>
      <c r="AE111" s="580">
        <f t="shared" ref="AE111:AJ111" si="141">AF111-0.0025</f>
        <v>7.9939999999999983E-2</v>
      </c>
      <c r="AF111" s="580">
        <f t="shared" si="141"/>
        <v>8.2439999999999986E-2</v>
      </c>
      <c r="AG111" s="580">
        <f t="shared" si="141"/>
        <v>8.4939999999999988E-2</v>
      </c>
      <c r="AH111" s="580">
        <f t="shared" si="141"/>
        <v>8.743999999999999E-2</v>
      </c>
      <c r="AI111" s="580">
        <f t="shared" si="141"/>
        <v>8.9939999999999992E-2</v>
      </c>
      <c r="AJ111" s="580">
        <f t="shared" si="141"/>
        <v>9.2439999999999994E-2</v>
      </c>
      <c r="AK111" s="577">
        <f>9.494%</f>
        <v>9.4939999999999997E-2</v>
      </c>
      <c r="AL111" s="580">
        <f t="shared" ref="AL111:AQ111" si="142">AK111+0.0025</f>
        <v>9.7439999999999999E-2</v>
      </c>
      <c r="AM111" s="580">
        <f t="shared" si="142"/>
        <v>9.9940000000000001E-2</v>
      </c>
      <c r="AN111" s="580">
        <f t="shared" si="142"/>
        <v>0.10244</v>
      </c>
      <c r="AO111" s="580">
        <f t="shared" si="142"/>
        <v>0.10494000000000001</v>
      </c>
      <c r="AP111" s="580">
        <f t="shared" si="142"/>
        <v>0.10744000000000001</v>
      </c>
      <c r="AQ111" s="580">
        <f t="shared" si="142"/>
        <v>0.10994000000000001</v>
      </c>
    </row>
    <row r="112" spans="2:43">
      <c r="B112" s="214" t="s">
        <v>256</v>
      </c>
      <c r="C112" s="310">
        <v>-2.35</v>
      </c>
      <c r="D112" s="310">
        <f>-4.89-C112</f>
        <v>-2.5399999999999996</v>
      </c>
      <c r="E112" s="310">
        <f>-6.32-(C112+D112)</f>
        <v>-1.4300000000000006</v>
      </c>
      <c r="F112" s="310">
        <f>-6.69-(C112+D112+E112)</f>
        <v>-0.37000000000000011</v>
      </c>
      <c r="G112" s="310">
        <v>-0.39</v>
      </c>
      <c r="H112" s="310">
        <f>0.11-G112</f>
        <v>0.5</v>
      </c>
      <c r="I112" s="310">
        <f>-0.43-(G112+H112)</f>
        <v>-0.54</v>
      </c>
      <c r="J112" s="310">
        <f>-0.32-(G112+H112+I112)</f>
        <v>0.11000000000000004</v>
      </c>
      <c r="K112" s="310">
        <v>0.3</v>
      </c>
      <c r="L112" s="310">
        <f>-0.07-K112</f>
        <v>-0.37</v>
      </c>
      <c r="M112" s="310">
        <f>0.04-(K112+L112)</f>
        <v>0.11000000000000001</v>
      </c>
      <c r="N112" s="310"/>
      <c r="O112" s="310">
        <v>-3.16</v>
      </c>
      <c r="P112" s="310">
        <v>-5.96</v>
      </c>
      <c r="Q112" s="310">
        <v>-28.02</v>
      </c>
      <c r="R112" s="310">
        <f t="shared" si="139"/>
        <v>-6.69</v>
      </c>
      <c r="S112" s="310">
        <f t="shared" si="140"/>
        <v>-0.32</v>
      </c>
      <c r="AD112" s="581">
        <f>AD113+0.0025</f>
        <v>2.9999999999999995E-2</v>
      </c>
      <c r="AE112" s="582">
        <f t="dataTable" ref="AE112:AQ120" dt2D="1" dtr="1" r1="V71" r2="V70"/>
        <v>15.838857292279531</v>
      </c>
      <c r="AF112" s="582">
        <v>15.838857292279531</v>
      </c>
      <c r="AG112" s="582">
        <v>15.838857292279531</v>
      </c>
      <c r="AH112" s="582">
        <v>15.838857292279531</v>
      </c>
      <c r="AI112" s="582">
        <v>15.838857292279531</v>
      </c>
      <c r="AJ112" s="582">
        <v>15.838857292279531</v>
      </c>
      <c r="AK112" s="582">
        <v>15.838857292279531</v>
      </c>
      <c r="AL112" s="582">
        <v>15.838857292279531</v>
      </c>
      <c r="AM112" s="582">
        <v>15.838857292279531</v>
      </c>
      <c r="AN112" s="582">
        <v>15.838857292279531</v>
      </c>
      <c r="AO112" s="582">
        <v>15.838857292279531</v>
      </c>
      <c r="AP112" s="582">
        <v>15.838857292279531</v>
      </c>
      <c r="AQ112" s="582">
        <v>15.838857292279531</v>
      </c>
    </row>
    <row r="113" spans="2:43">
      <c r="B113" s="214" t="s">
        <v>257</v>
      </c>
      <c r="C113" s="310">
        <v>38.53</v>
      </c>
      <c r="D113" s="310">
        <f>73.59-C113</f>
        <v>35.06</v>
      </c>
      <c r="E113" s="310">
        <f>107.85-(C113+D113)</f>
        <v>34.259999999999991</v>
      </c>
      <c r="F113" s="310">
        <f>129.17-(C113+D113+E113)</f>
        <v>21.319999999999993</v>
      </c>
      <c r="G113" s="310">
        <v>17.82</v>
      </c>
      <c r="H113" s="310">
        <f>41.1-G113</f>
        <v>23.28</v>
      </c>
      <c r="I113" s="310">
        <f>62.5-(G113+H113)</f>
        <v>21.4</v>
      </c>
      <c r="J113" s="310">
        <f>74.91-(G113+H113+I113)</f>
        <v>12.409999999999997</v>
      </c>
      <c r="K113" s="310">
        <v>11.33</v>
      </c>
      <c r="L113" s="310">
        <f>29.66-K113</f>
        <v>18.329999999999998</v>
      </c>
      <c r="M113" s="310">
        <f>42.98-(K113+L113)</f>
        <v>13.32</v>
      </c>
      <c r="N113" s="310"/>
      <c r="O113" s="310">
        <v>8.8699999999999992</v>
      </c>
      <c r="P113" s="310">
        <f>32.74+1.12</f>
        <v>33.86</v>
      </c>
      <c r="Q113" s="310">
        <v>108.92</v>
      </c>
      <c r="R113" s="310">
        <f t="shared" si="139"/>
        <v>129.16999999999999</v>
      </c>
      <c r="S113" s="310">
        <f t="shared" si="140"/>
        <v>74.91</v>
      </c>
      <c r="AD113" s="581">
        <f>AD114+0.0025</f>
        <v>2.7499999999999997E-2</v>
      </c>
      <c r="AE113" s="582">
        <v>15.838857292279531</v>
      </c>
      <c r="AF113" s="583">
        <v>15.838857292279531</v>
      </c>
      <c r="AG113" s="583">
        <v>15.838857292279531</v>
      </c>
      <c r="AH113" s="583">
        <v>15.838857292279531</v>
      </c>
      <c r="AI113" s="583">
        <v>15.838857292279531</v>
      </c>
      <c r="AJ113" s="583">
        <v>15.838857292279531</v>
      </c>
      <c r="AK113" s="583">
        <v>15.838857292279531</v>
      </c>
      <c r="AL113" s="583">
        <v>15.838857292279531</v>
      </c>
      <c r="AM113" s="583">
        <v>15.838857292279531</v>
      </c>
      <c r="AN113" s="583">
        <v>15.838857292279531</v>
      </c>
      <c r="AO113" s="583">
        <v>15.838857292279531</v>
      </c>
      <c r="AP113" s="583">
        <v>15.838857292279531</v>
      </c>
      <c r="AQ113" s="582">
        <v>15.838857292279531</v>
      </c>
    </row>
    <row r="114" spans="2:43">
      <c r="B114" s="214" t="s">
        <v>258</v>
      </c>
      <c r="C114" s="310">
        <v>0.25</v>
      </c>
      <c r="D114" s="310">
        <f>0.29-C114</f>
        <v>3.999999999999998E-2</v>
      </c>
      <c r="E114" s="310">
        <f>0.05-(C114+D114)</f>
        <v>-0.24</v>
      </c>
      <c r="F114" s="310">
        <f>0.1-(C114+D114+E114)</f>
        <v>5.0000000000000017E-2</v>
      </c>
      <c r="G114" s="310">
        <v>0.32</v>
      </c>
      <c r="H114" s="310">
        <f>0.08-G114</f>
        <v>-0.24</v>
      </c>
      <c r="I114" s="310">
        <v>0</v>
      </c>
      <c r="J114" s="310">
        <f>-0.12-(G114+H114+I114)</f>
        <v>-0.2</v>
      </c>
      <c r="K114" s="310">
        <v>3.0000000000000001E-3</v>
      </c>
      <c r="L114" s="310">
        <f>0.008-K114</f>
        <v>5.0000000000000001E-3</v>
      </c>
      <c r="M114" s="310">
        <f>0.1-(K114+L114)</f>
        <v>9.1999999999999998E-2</v>
      </c>
      <c r="N114" s="310"/>
      <c r="O114" s="310">
        <v>0.48</v>
      </c>
      <c r="P114" s="310">
        <v>0.32</v>
      </c>
      <c r="Q114" s="310">
        <v>0.01</v>
      </c>
      <c r="R114" s="310">
        <f t="shared" si="139"/>
        <v>0.1</v>
      </c>
      <c r="S114" s="310">
        <f t="shared" si="140"/>
        <v>-0.12</v>
      </c>
      <c r="AD114" s="581">
        <f>AD115+0.0025</f>
        <v>2.4999999999999998E-2</v>
      </c>
      <c r="AE114" s="582">
        <v>15.838857292279531</v>
      </c>
      <c r="AF114" s="583">
        <v>15.838857292279531</v>
      </c>
      <c r="AG114" s="584">
        <v>15.838857292279531</v>
      </c>
      <c r="AH114" s="584">
        <v>15.838857292279531</v>
      </c>
      <c r="AI114" s="584">
        <v>15.838857292279531</v>
      </c>
      <c r="AJ114" s="584">
        <v>15.838857292279531</v>
      </c>
      <c r="AK114" s="584">
        <v>15.838857292279531</v>
      </c>
      <c r="AL114" s="584">
        <v>15.838857292279531</v>
      </c>
      <c r="AM114" s="584">
        <v>15.838857292279531</v>
      </c>
      <c r="AN114" s="584">
        <v>15.838857292279531</v>
      </c>
      <c r="AO114" s="585">
        <v>15.838857292279531</v>
      </c>
      <c r="AP114" s="583">
        <v>15.838857292279531</v>
      </c>
      <c r="AQ114" s="582">
        <v>15.838857292279531</v>
      </c>
    </row>
    <row r="115" spans="2:43" ht="15" thickBot="1">
      <c r="B115" s="214" t="s">
        <v>259</v>
      </c>
      <c r="C115" s="310">
        <v>-4.92</v>
      </c>
      <c r="D115" s="310">
        <f>-10.43-C115</f>
        <v>-5.51</v>
      </c>
      <c r="E115" s="310">
        <f>-19.69-(C115+D115)</f>
        <v>-9.2600000000000016</v>
      </c>
      <c r="F115" s="310">
        <f>-35.16-(C115+D115+E115)</f>
        <v>-15.469999999999995</v>
      </c>
      <c r="G115" s="310">
        <v>2.63</v>
      </c>
      <c r="H115" s="310">
        <f>-16.29-G115</f>
        <v>-18.919999999999998</v>
      </c>
      <c r="I115" s="310">
        <f>-29.56-(G115+H115)</f>
        <v>-13.27</v>
      </c>
      <c r="J115" s="310">
        <f>-7.57-(G115+H115+I115)</f>
        <v>21.99</v>
      </c>
      <c r="K115" s="310">
        <v>15.58</v>
      </c>
      <c r="L115" s="310">
        <f>13.64-K115</f>
        <v>-1.9399999999999995</v>
      </c>
      <c r="M115" s="310">
        <f>18.92-(K115+L115)</f>
        <v>5.2800000000000011</v>
      </c>
      <c r="N115" s="310"/>
      <c r="O115" s="310">
        <v>2.0699999999999998</v>
      </c>
      <c r="P115" s="310">
        <v>-9.18</v>
      </c>
      <c r="Q115" s="310">
        <v>-5.38</v>
      </c>
      <c r="R115" s="310">
        <f t="shared" si="139"/>
        <v>-35.159999999999997</v>
      </c>
      <c r="S115" s="310">
        <f t="shared" si="140"/>
        <v>-7.57</v>
      </c>
      <c r="AD115" s="581">
        <f>AD116+0.0025</f>
        <v>2.2499999999999999E-2</v>
      </c>
      <c r="AE115" s="582">
        <v>15.838857292279531</v>
      </c>
      <c r="AF115" s="583">
        <v>15.838857292279531</v>
      </c>
      <c r="AG115" s="584">
        <v>15.838857292279531</v>
      </c>
      <c r="AH115" s="586">
        <v>15.838857292279531</v>
      </c>
      <c r="AI115" s="586">
        <v>15.838857292279531</v>
      </c>
      <c r="AJ115" s="586">
        <v>15.838857292279531</v>
      </c>
      <c r="AK115" s="586">
        <v>15.838857292279531</v>
      </c>
      <c r="AL115" s="586">
        <v>15.838857292279531</v>
      </c>
      <c r="AM115" s="586">
        <v>15.838857292279531</v>
      </c>
      <c r="AN115" s="586">
        <v>15.838857292279531</v>
      </c>
      <c r="AO115" s="585">
        <v>15.838857292279531</v>
      </c>
      <c r="AP115" s="583">
        <v>15.838857292279531</v>
      </c>
      <c r="AQ115" s="582">
        <v>15.838857292279531</v>
      </c>
    </row>
    <row r="116" spans="2:43" ht="15" thickBot="1">
      <c r="B116" s="214" t="s">
        <v>260</v>
      </c>
      <c r="C116" s="310">
        <v>0</v>
      </c>
      <c r="D116" s="310">
        <v>0</v>
      </c>
      <c r="E116" s="310">
        <v>0</v>
      </c>
      <c r="F116" s="310">
        <v>0</v>
      </c>
      <c r="G116" s="310">
        <v>0</v>
      </c>
      <c r="H116" s="310">
        <v>0</v>
      </c>
      <c r="I116" s="310">
        <v>0</v>
      </c>
      <c r="J116" s="310">
        <f>-44.74-(G116+H116+I116)</f>
        <v>-44.74</v>
      </c>
      <c r="K116" s="310">
        <v>-13.3</v>
      </c>
      <c r="L116" s="310">
        <f>-31.21-K116</f>
        <v>-17.91</v>
      </c>
      <c r="M116" s="310">
        <f>-27.08-(K116+L116)</f>
        <v>4.1300000000000026</v>
      </c>
      <c r="N116" s="310"/>
      <c r="O116" s="310">
        <v>0</v>
      </c>
      <c r="P116" s="310">
        <v>0</v>
      </c>
      <c r="Q116" s="310">
        <v>0</v>
      </c>
      <c r="R116" s="310">
        <f t="shared" si="139"/>
        <v>0</v>
      </c>
      <c r="S116" s="310">
        <f t="shared" si="140"/>
        <v>-44.74</v>
      </c>
      <c r="AC116" s="336" t="s">
        <v>738</v>
      </c>
      <c r="AD116" s="578">
        <v>0.02</v>
      </c>
      <c r="AE116" s="582">
        <v>15.838857292279531</v>
      </c>
      <c r="AF116" s="583">
        <v>15.838857292279531</v>
      </c>
      <c r="AG116" s="584">
        <v>15.838857292279531</v>
      </c>
      <c r="AH116" s="586">
        <v>15.838857292279531</v>
      </c>
      <c r="AI116" s="587">
        <v>15.838857292279531</v>
      </c>
      <c r="AJ116" s="587">
        <v>15.838857292279531</v>
      </c>
      <c r="AK116" s="588">
        <v>15.838857292279531</v>
      </c>
      <c r="AL116" s="587">
        <v>15.838857292279531</v>
      </c>
      <c r="AM116" s="587">
        <v>15.838857292279531</v>
      </c>
      <c r="AN116" s="586">
        <v>15.838857292279531</v>
      </c>
      <c r="AO116" s="585">
        <v>15.838857292279531</v>
      </c>
      <c r="AP116" s="583">
        <v>15.838857292279531</v>
      </c>
      <c r="AQ116" s="582">
        <v>15.838857292279531</v>
      </c>
    </row>
    <row r="117" spans="2:43">
      <c r="B117" s="214" t="s">
        <v>261</v>
      </c>
      <c r="C117" s="310">
        <v>-1.04</v>
      </c>
      <c r="D117" s="310">
        <f>-2.47-C117</f>
        <v>-1.4300000000000002</v>
      </c>
      <c r="E117" s="310">
        <f>-2.6-(C117+D117)</f>
        <v>-0.12999999999999989</v>
      </c>
      <c r="F117" s="310">
        <f>-5.3-(C117+D117+E117)</f>
        <v>-2.6999999999999997</v>
      </c>
      <c r="G117" s="310">
        <v>-1.81</v>
      </c>
      <c r="H117" s="310">
        <f>-5.22-G117</f>
        <v>-3.4099999999999997</v>
      </c>
      <c r="I117" s="310">
        <f>-5.76-(G117+H117)</f>
        <v>-0.54</v>
      </c>
      <c r="J117" s="310">
        <f>-3.65-(G117+H117+I117)</f>
        <v>2.11</v>
      </c>
      <c r="K117" s="310">
        <v>-1.76</v>
      </c>
      <c r="L117" s="310">
        <f>-2.76-K117</f>
        <v>-0.99999999999999978</v>
      </c>
      <c r="M117" s="310">
        <f>0.62-(K117+L117)</f>
        <v>3.38</v>
      </c>
      <c r="N117" s="310"/>
      <c r="O117" s="310">
        <v>-0.4</v>
      </c>
      <c r="P117" s="310">
        <v>-0.26</v>
      </c>
      <c r="Q117" s="310">
        <v>-5.97</v>
      </c>
      <c r="R117" s="310">
        <f t="shared" si="139"/>
        <v>-5.3</v>
      </c>
      <c r="S117" s="310">
        <f t="shared" si="140"/>
        <v>-3.65</v>
      </c>
      <c r="AC117" s="209"/>
      <c r="AD117" s="581">
        <f>AD116-0.0025</f>
        <v>1.7500000000000002E-2</v>
      </c>
      <c r="AE117" s="582">
        <v>15.838857292279531</v>
      </c>
      <c r="AF117" s="583">
        <v>15.838857292279531</v>
      </c>
      <c r="AG117" s="584">
        <v>15.838857292279531</v>
      </c>
      <c r="AH117" s="586">
        <v>15.838857292279531</v>
      </c>
      <c r="AI117" s="586">
        <v>15.838857292279531</v>
      </c>
      <c r="AJ117" s="586">
        <v>15.838857292279531</v>
      </c>
      <c r="AK117" s="586">
        <v>15.838857292279531</v>
      </c>
      <c r="AL117" s="586">
        <v>15.838857292279531</v>
      </c>
      <c r="AM117" s="586">
        <v>15.838857292279531</v>
      </c>
      <c r="AN117" s="586">
        <v>15.838857292279531</v>
      </c>
      <c r="AO117" s="585">
        <v>15.838857292279531</v>
      </c>
      <c r="AP117" s="583">
        <v>15.838857292279531</v>
      </c>
      <c r="AQ117" s="582">
        <v>15.838857292279531</v>
      </c>
    </row>
    <row r="118" spans="2:43">
      <c r="B118" s="214" t="s">
        <v>262</v>
      </c>
      <c r="C118" s="310">
        <v>1.93</v>
      </c>
      <c r="D118" s="310">
        <f>0.37-C118</f>
        <v>-1.56</v>
      </c>
      <c r="E118" s="310">
        <f>-4.75-(C118+D118)</f>
        <v>-5.12</v>
      </c>
      <c r="F118" s="310">
        <f>-9.99-(C118+D118+E118)</f>
        <v>-5.24</v>
      </c>
      <c r="G118" s="310">
        <v>-3.94</v>
      </c>
      <c r="H118" s="310">
        <f>-9.28-G118</f>
        <v>-5.34</v>
      </c>
      <c r="I118" s="310">
        <f>-16.62-(G118+H118)</f>
        <v>-7.3400000000000016</v>
      </c>
      <c r="J118" s="310">
        <f>-15.76-(G118+H118+I118)</f>
        <v>0.86000000000000121</v>
      </c>
      <c r="K118" s="310">
        <v>-3.26</v>
      </c>
      <c r="L118" s="310">
        <v>-1.32</v>
      </c>
      <c r="M118" s="310">
        <f>-11.52-(K118+L118)</f>
        <v>-6.9399999999999995</v>
      </c>
      <c r="N118" s="310"/>
      <c r="O118" s="310">
        <v>-3.44</v>
      </c>
      <c r="P118" s="310">
        <v>-11.96</v>
      </c>
      <c r="Q118" s="310">
        <v>-25.01</v>
      </c>
      <c r="R118" s="310">
        <f t="shared" si="139"/>
        <v>-9.99</v>
      </c>
      <c r="S118" s="310">
        <f t="shared" si="140"/>
        <v>-15.76</v>
      </c>
      <c r="AD118" s="581">
        <f>AD117-0.0025</f>
        <v>1.5000000000000001E-2</v>
      </c>
      <c r="AE118" s="582">
        <v>15.838857292279531</v>
      </c>
      <c r="AF118" s="583">
        <v>15.838857292279531</v>
      </c>
      <c r="AG118" s="584">
        <v>15.838857292279531</v>
      </c>
      <c r="AH118" s="584">
        <v>15.838857292279531</v>
      </c>
      <c r="AI118" s="584">
        <v>15.838857292279531</v>
      </c>
      <c r="AJ118" s="584">
        <v>15.838857292279531</v>
      </c>
      <c r="AK118" s="584">
        <v>15.838857292279531</v>
      </c>
      <c r="AL118" s="584">
        <v>15.838857292279531</v>
      </c>
      <c r="AM118" s="584">
        <v>15.838857292279531</v>
      </c>
      <c r="AN118" s="584">
        <v>15.838857292279531</v>
      </c>
      <c r="AO118" s="584">
        <v>15.838857292279531</v>
      </c>
      <c r="AP118" s="583">
        <v>15.838857292279531</v>
      </c>
      <c r="AQ118" s="582">
        <v>15.838857292279531</v>
      </c>
    </row>
    <row r="119" spans="2:43">
      <c r="B119" s="214" t="s">
        <v>263</v>
      </c>
      <c r="C119" s="310">
        <v>-7.88</v>
      </c>
      <c r="D119" s="310">
        <f>-8.03-C119</f>
        <v>-0.14999999999999947</v>
      </c>
      <c r="E119" s="310">
        <f>-10.36-(C119+D119)</f>
        <v>-2.33</v>
      </c>
      <c r="F119" s="310">
        <f>-9.02-(C119+D119+E119)</f>
        <v>1.3399999999999999</v>
      </c>
      <c r="G119" s="310">
        <v>-8.17</v>
      </c>
      <c r="H119" s="310">
        <f>1.87-G119</f>
        <v>10.039999999999999</v>
      </c>
      <c r="I119" s="310">
        <f>8.45-(G119+H119)</f>
        <v>6.58</v>
      </c>
      <c r="J119" s="310">
        <f>-0.19-(G119+H119+I119)</f>
        <v>-8.6399999999999988</v>
      </c>
      <c r="K119" s="310">
        <v>-3.36</v>
      </c>
      <c r="L119" s="310">
        <f>2.92-K119</f>
        <v>6.2799999999999994</v>
      </c>
      <c r="M119" s="310">
        <f>3.55-(K119+L119)</f>
        <v>0.63000000000000034</v>
      </c>
      <c r="N119" s="310"/>
      <c r="O119" s="310">
        <v>-1.33</v>
      </c>
      <c r="P119" s="310">
        <v>-15.33</v>
      </c>
      <c r="Q119" s="310">
        <v>6.84</v>
      </c>
      <c r="R119" s="310">
        <f t="shared" si="139"/>
        <v>-9.02</v>
      </c>
      <c r="S119" s="310">
        <f t="shared" si="140"/>
        <v>-0.1899999999999995</v>
      </c>
      <c r="AD119" s="581">
        <f>AD118-0.0025</f>
        <v>1.2500000000000001E-2</v>
      </c>
      <c r="AE119" s="582">
        <v>15.838857292279531</v>
      </c>
      <c r="AF119" s="583">
        <v>15.838857292279531</v>
      </c>
      <c r="AG119" s="583">
        <v>15.838857292279531</v>
      </c>
      <c r="AH119" s="583">
        <v>15.838857292279531</v>
      </c>
      <c r="AI119" s="583">
        <v>15.838857292279531</v>
      </c>
      <c r="AJ119" s="583">
        <v>15.838857292279531</v>
      </c>
      <c r="AK119" s="583">
        <v>15.838857292279531</v>
      </c>
      <c r="AL119" s="583">
        <v>15.838857292279531</v>
      </c>
      <c r="AM119" s="583">
        <v>15.838857292279531</v>
      </c>
      <c r="AN119" s="583">
        <v>15.838857292279531</v>
      </c>
      <c r="AO119" s="583">
        <v>15.838857292279531</v>
      </c>
      <c r="AP119" s="583">
        <v>15.838857292279531</v>
      </c>
      <c r="AQ119" s="582">
        <v>15.838857292279531</v>
      </c>
    </row>
    <row r="120" spans="2:43">
      <c r="B120" s="214" t="s">
        <v>264</v>
      </c>
      <c r="C120" s="310">
        <v>-0.08</v>
      </c>
      <c r="D120" s="310">
        <f>-0.05-C120</f>
        <v>0.03</v>
      </c>
      <c r="E120" s="310">
        <f>-0.09-(C120+D120)</f>
        <v>-3.9999999999999994E-2</v>
      </c>
      <c r="F120" s="310">
        <f>0.2-(C120+D120+E120)</f>
        <v>0.29000000000000004</v>
      </c>
      <c r="G120" s="310">
        <v>-3.82</v>
      </c>
      <c r="H120" s="310">
        <f>-4.46-G120</f>
        <v>-0.64000000000000012</v>
      </c>
      <c r="I120" s="310">
        <f>-5.67-(G120+H120)</f>
        <v>-1.21</v>
      </c>
      <c r="J120" s="310">
        <f>-5.21-(G120+H120+I120)</f>
        <v>0.45999999999999996</v>
      </c>
      <c r="K120" s="310">
        <v>-0.47</v>
      </c>
      <c r="L120" s="310">
        <f>0.1-K120</f>
        <v>0.56999999999999995</v>
      </c>
      <c r="M120" s="310">
        <f>-0.96-(K120+L120)</f>
        <v>-1.06</v>
      </c>
      <c r="N120" s="310"/>
      <c r="O120" s="310">
        <v>-0.06</v>
      </c>
      <c r="P120" s="310">
        <v>0.04</v>
      </c>
      <c r="Q120" s="310">
        <v>1.08</v>
      </c>
      <c r="R120" s="310">
        <f t="shared" si="139"/>
        <v>0.20000000000000004</v>
      </c>
      <c r="S120" s="310">
        <f t="shared" si="140"/>
        <v>-5.21</v>
      </c>
      <c r="AD120" s="581">
        <f>AD119-0.0025</f>
        <v>0.01</v>
      </c>
      <c r="AE120" s="582">
        <v>15.838857292279531</v>
      </c>
      <c r="AF120" s="582">
        <v>15.838857292279531</v>
      </c>
      <c r="AG120" s="582">
        <v>15.838857292279531</v>
      </c>
      <c r="AH120" s="582">
        <v>15.838857292279531</v>
      </c>
      <c r="AI120" s="582">
        <v>15.838857292279531</v>
      </c>
      <c r="AJ120" s="582">
        <v>15.838857292279531</v>
      </c>
      <c r="AK120" s="582">
        <v>15.838857292279531</v>
      </c>
      <c r="AL120" s="582">
        <v>15.838857292279531</v>
      </c>
      <c r="AM120" s="582">
        <v>15.838857292279531</v>
      </c>
      <c r="AN120" s="582">
        <v>15.838857292279531</v>
      </c>
      <c r="AO120" s="582">
        <v>15.838857292279531</v>
      </c>
      <c r="AP120" s="582">
        <v>15.838857292279531</v>
      </c>
      <c r="AQ120" s="582">
        <v>15.838857292279531</v>
      </c>
    </row>
    <row r="121" spans="2:43">
      <c r="B121" s="214" t="s">
        <v>265</v>
      </c>
      <c r="C121" s="310">
        <v>0.22</v>
      </c>
      <c r="D121" s="310">
        <f>-2.79-C121</f>
        <v>-3.0100000000000002</v>
      </c>
      <c r="E121" s="310">
        <f>-4.04-(C121+D121)</f>
        <v>-1.25</v>
      </c>
      <c r="F121" s="310">
        <f>2.01-(C121+D121+E121)</f>
        <v>6.05</v>
      </c>
      <c r="G121" s="310">
        <v>-0.56000000000000005</v>
      </c>
      <c r="H121" s="310">
        <f>-5-G121</f>
        <v>-4.4399999999999995</v>
      </c>
      <c r="I121" s="310">
        <f>-5.31-(G121+H121)</f>
        <v>-0.30999999999999961</v>
      </c>
      <c r="J121" s="310">
        <f>-1.13-(G121+H121+I121)</f>
        <v>4.18</v>
      </c>
      <c r="K121" s="310">
        <v>-0.2</v>
      </c>
      <c r="L121" s="310">
        <f>-4.41-K121</f>
        <v>-4.21</v>
      </c>
      <c r="M121" s="310">
        <f>-7.61-(K121+L121)</f>
        <v>-3.2</v>
      </c>
      <c r="N121" s="310"/>
      <c r="O121" s="310">
        <v>-0.43</v>
      </c>
      <c r="P121" s="310">
        <v>-3.99</v>
      </c>
      <c r="Q121" s="310">
        <v>4.55</v>
      </c>
      <c r="R121" s="310">
        <f t="shared" si="139"/>
        <v>2.0099999999999998</v>
      </c>
      <c r="S121" s="310">
        <f>SUM(G121:J121)</f>
        <v>-1.1299999999999999</v>
      </c>
      <c r="AD121" s="589"/>
      <c r="AE121" s="590"/>
      <c r="AF121" s="590"/>
      <c r="AG121" s="590"/>
      <c r="AH121" s="590"/>
      <c r="AI121" s="590"/>
      <c r="AJ121" s="590"/>
      <c r="AK121" s="590"/>
      <c r="AL121" s="590"/>
      <c r="AM121" s="590"/>
      <c r="AN121" s="590"/>
      <c r="AO121" s="590"/>
      <c r="AP121" s="590"/>
      <c r="AQ121" s="590"/>
    </row>
    <row r="122" spans="2:43">
      <c r="B122" s="214" t="s">
        <v>266</v>
      </c>
      <c r="C122" s="310">
        <v>0</v>
      </c>
      <c r="D122" s="310">
        <v>0</v>
      </c>
      <c r="E122" s="310">
        <v>0</v>
      </c>
      <c r="F122" s="310">
        <f>0.02-(C122+D122+E122)</f>
        <v>0.02</v>
      </c>
      <c r="G122" s="310">
        <v>0.24</v>
      </c>
      <c r="H122" s="310">
        <f>0.19-G122</f>
        <v>-4.9999999999999989E-2</v>
      </c>
      <c r="I122" s="310">
        <f>1.04-(G122+H122)</f>
        <v>0.85000000000000009</v>
      </c>
      <c r="J122" s="310">
        <f>0.03-(G122+H122+I122)</f>
        <v>-1.01</v>
      </c>
      <c r="K122" s="310">
        <v>-0.17</v>
      </c>
      <c r="L122" s="310">
        <f>0.2-K122</f>
        <v>0.37</v>
      </c>
      <c r="M122" s="310">
        <f>0.17-(K122+L122)</f>
        <v>-2.9999999999999971E-2</v>
      </c>
      <c r="N122" s="310"/>
      <c r="O122" s="310">
        <v>-0.4</v>
      </c>
      <c r="P122" s="310">
        <v>2.3199999999999998</v>
      </c>
      <c r="Q122" s="310">
        <v>0</v>
      </c>
      <c r="R122" s="310">
        <f t="shared" si="139"/>
        <v>0.02</v>
      </c>
      <c r="S122" s="310">
        <f t="shared" si="140"/>
        <v>3.0000000000000027E-2</v>
      </c>
    </row>
    <row r="123" spans="2:43">
      <c r="B123" s="311" t="s">
        <v>267</v>
      </c>
      <c r="C123" s="312">
        <v>-2.0099999999999998</v>
      </c>
      <c r="D123" s="312">
        <f>-6.86-C123</f>
        <v>-4.8500000000000005</v>
      </c>
      <c r="E123" s="312">
        <f>-15.16-(C123+D123)</f>
        <v>-8.3000000000000007</v>
      </c>
      <c r="F123" s="312">
        <f>-24.81-(C123+D123+E123)</f>
        <v>-9.6499999999999986</v>
      </c>
      <c r="G123" s="312">
        <v>-10.36</v>
      </c>
      <c r="H123" s="312">
        <f>-21.11-G123</f>
        <v>-10.75</v>
      </c>
      <c r="I123" s="312">
        <f>-32.01-(G123+H123)</f>
        <v>-10.899999999999999</v>
      </c>
      <c r="J123" s="312">
        <f>-42.53-(G123+H123+I123)</f>
        <v>-10.520000000000003</v>
      </c>
      <c r="K123" s="312">
        <v>-10.17</v>
      </c>
      <c r="L123" s="312">
        <f>-19.71-K123</f>
        <v>-9.5400000000000009</v>
      </c>
      <c r="M123" s="312">
        <f>-28.1-(K123+L123)</f>
        <v>-8.39</v>
      </c>
      <c r="N123" s="312"/>
      <c r="O123" s="312">
        <v>-1.77</v>
      </c>
      <c r="P123" s="312">
        <v>0.35</v>
      </c>
      <c r="Q123" s="312">
        <v>-2.99</v>
      </c>
      <c r="R123" s="312">
        <f t="shared" si="139"/>
        <v>-24.81</v>
      </c>
      <c r="S123" s="312">
        <f t="shared" si="140"/>
        <v>-42.53</v>
      </c>
    </row>
    <row r="124" spans="2:43">
      <c r="B124" s="212" t="s">
        <v>268</v>
      </c>
      <c r="C124" s="313">
        <f t="shared" ref="C124:K124" si="143">SUM(C108:C123)</f>
        <v>-33.400000000000006</v>
      </c>
      <c r="D124" s="313">
        <f t="shared" si="143"/>
        <v>-23.790000000000003</v>
      </c>
      <c r="E124" s="313">
        <f t="shared" si="143"/>
        <v>-775.04999999999984</v>
      </c>
      <c r="F124" s="313">
        <f t="shared" si="143"/>
        <v>-41.750000000000036</v>
      </c>
      <c r="G124" s="313">
        <f t="shared" si="143"/>
        <v>-26.07</v>
      </c>
      <c r="H124" s="313">
        <f t="shared" si="143"/>
        <v>-24.860000000000007</v>
      </c>
      <c r="I124" s="313">
        <f t="shared" si="143"/>
        <v>-18.289999999999985</v>
      </c>
      <c r="J124" s="313">
        <f t="shared" si="143"/>
        <v>-28.430000000000035</v>
      </c>
      <c r="K124" s="313">
        <f t="shared" si="143"/>
        <v>-14.216999999999999</v>
      </c>
      <c r="L124" s="313">
        <f>SUM(L108:L123)</f>
        <v>-14.565000000000008</v>
      </c>
      <c r="M124" s="313">
        <f t="shared" ref="M124:R124" si="144">SUM(M108:M123)</f>
        <v>5.9520000000000035</v>
      </c>
      <c r="N124" s="313"/>
      <c r="O124" s="313">
        <f t="shared" si="144"/>
        <v>-28.539999999999992</v>
      </c>
      <c r="P124" s="313">
        <f t="shared" si="144"/>
        <v>-93.060000000000016</v>
      </c>
      <c r="Q124" s="313">
        <f t="shared" si="144"/>
        <v>-84.810000000000016</v>
      </c>
      <c r="R124" s="313">
        <f t="shared" si="144"/>
        <v>-873.9899999999999</v>
      </c>
      <c r="S124" s="313">
        <f>SUM(S108:S123)</f>
        <v>-97.650000000000034</v>
      </c>
      <c r="T124" s="282"/>
    </row>
    <row r="125" spans="2:43">
      <c r="B125" s="214"/>
      <c r="C125" s="266"/>
      <c r="D125" s="266"/>
      <c r="E125" s="266"/>
      <c r="F125" s="266"/>
      <c r="G125" s="266"/>
      <c r="H125" s="266"/>
      <c r="I125" s="266"/>
      <c r="J125" s="266"/>
      <c r="K125" s="266"/>
      <c r="L125" s="266"/>
      <c r="M125" s="266"/>
      <c r="N125" s="266"/>
      <c r="O125" s="266"/>
      <c r="P125" s="266"/>
      <c r="Q125" s="266"/>
      <c r="R125" s="266"/>
      <c r="S125" s="266"/>
    </row>
    <row r="126" spans="2:43">
      <c r="B126" s="214" t="s">
        <v>269</v>
      </c>
      <c r="C126" s="310">
        <v>-3.08</v>
      </c>
      <c r="D126" s="310">
        <f>-5.21-C126</f>
        <v>-2.13</v>
      </c>
      <c r="E126" s="310">
        <f>-7.21-(C126+D126)</f>
        <v>-2</v>
      </c>
      <c r="F126" s="310">
        <f>-9.23-(C126+D126+E126)</f>
        <v>-2.0200000000000005</v>
      </c>
      <c r="G126" s="310">
        <v>-1.07</v>
      </c>
      <c r="H126" s="310">
        <f>-1.91-G126</f>
        <v>-0.83999999999999986</v>
      </c>
      <c r="I126" s="310">
        <f>-4.19-(G126+H126)</f>
        <v>-2.2800000000000002</v>
      </c>
      <c r="J126" s="310">
        <f>-7.51-(G126+H126+I126)</f>
        <v>-3.3199999999999994</v>
      </c>
      <c r="K126" s="310">
        <v>-0.85</v>
      </c>
      <c r="L126" s="310">
        <f>-1.9-K126</f>
        <v>-1.0499999999999998</v>
      </c>
      <c r="M126" s="310">
        <f>-2.84-(K126+L126)</f>
        <v>-0.94</v>
      </c>
      <c r="N126" s="310"/>
      <c r="O126" s="310">
        <v>-3.61</v>
      </c>
      <c r="P126" s="310">
        <v>-1.79</v>
      </c>
      <c r="Q126" s="310">
        <v>-10.65</v>
      </c>
      <c r="R126" s="310">
        <f>SUM(C126:F126)</f>
        <v>-9.23</v>
      </c>
      <c r="S126" s="310">
        <f>SUM(G126:J126)</f>
        <v>-7.51</v>
      </c>
    </row>
    <row r="127" spans="2:43">
      <c r="B127" s="214" t="s">
        <v>270</v>
      </c>
      <c r="C127" s="310">
        <v>-0.6</v>
      </c>
      <c r="D127" s="310">
        <f>-1.5-C127</f>
        <v>-0.9</v>
      </c>
      <c r="E127" s="310">
        <f>-2.38-(C127+D127)</f>
        <v>-0.87999999999999989</v>
      </c>
      <c r="F127" s="310">
        <f>-3.89-(C127+D127+E127)</f>
        <v>-1.5100000000000002</v>
      </c>
      <c r="G127" s="310">
        <v>-2.29</v>
      </c>
      <c r="H127" s="310">
        <f>-5.14-G127</f>
        <v>-2.8499999999999996</v>
      </c>
      <c r="I127" s="310">
        <f>-7.72-(G127+H127)</f>
        <v>-2.58</v>
      </c>
      <c r="J127" s="310">
        <f>-10.68-(G127+H127+I127)</f>
        <v>-2.96</v>
      </c>
      <c r="K127" s="310">
        <v>-3.27</v>
      </c>
      <c r="L127" s="310">
        <f>-8.1-K127</f>
        <v>-4.83</v>
      </c>
      <c r="M127" s="310">
        <f>-13.28-(K127+L127)</f>
        <v>-5.18</v>
      </c>
      <c r="N127" s="310"/>
      <c r="O127" s="310">
        <v>0</v>
      </c>
      <c r="P127" s="310">
        <v>0</v>
      </c>
      <c r="Q127" s="310">
        <v>0</v>
      </c>
      <c r="R127" s="310">
        <f t="shared" ref="R127:R129" si="145">SUM(C127:F127)</f>
        <v>-3.89</v>
      </c>
      <c r="S127" s="310">
        <f>SUM(G127:J127)</f>
        <v>-10.68</v>
      </c>
    </row>
    <row r="128" spans="2:43">
      <c r="B128" s="214" t="s">
        <v>271</v>
      </c>
      <c r="C128" s="310">
        <v>0</v>
      </c>
      <c r="D128" s="310">
        <v>0</v>
      </c>
      <c r="E128" s="310">
        <v>0</v>
      </c>
      <c r="F128" s="310">
        <v>0</v>
      </c>
      <c r="G128" s="310">
        <v>0</v>
      </c>
      <c r="H128" s="310">
        <v>0</v>
      </c>
      <c r="I128" s="310">
        <v>0</v>
      </c>
      <c r="J128" s="310">
        <v>0</v>
      </c>
      <c r="K128" s="310">
        <v>0</v>
      </c>
      <c r="L128" s="310">
        <f>-6.71-K128</f>
        <v>-6.71</v>
      </c>
      <c r="M128" s="310">
        <f>-6.81-(K128+L128)</f>
        <v>-9.9999999999999645E-2</v>
      </c>
      <c r="N128" s="310"/>
      <c r="O128" s="310">
        <v>-115.05</v>
      </c>
      <c r="P128" s="310">
        <v>-235.78</v>
      </c>
      <c r="Q128" s="310">
        <v>-559.42999999999995</v>
      </c>
      <c r="R128" s="310">
        <f t="shared" si="145"/>
        <v>0</v>
      </c>
      <c r="S128" s="310">
        <f>SUM(G128:J128)</f>
        <v>0</v>
      </c>
    </row>
    <row r="129" spans="2:20">
      <c r="B129" s="311" t="s">
        <v>272</v>
      </c>
      <c r="C129" s="312">
        <v>2.31</v>
      </c>
      <c r="D129" s="312">
        <f>7.19-C129</f>
        <v>4.8800000000000008</v>
      </c>
      <c r="E129" s="312">
        <f>13.71-(C129+D129)</f>
        <v>6.52</v>
      </c>
      <c r="F129" s="312">
        <f>23.46-(C129+D129+E129)</f>
        <v>9.75</v>
      </c>
      <c r="G129" s="312">
        <v>10.5</v>
      </c>
      <c r="H129" s="312">
        <f>22.05-G129</f>
        <v>11.55</v>
      </c>
      <c r="I129" s="312">
        <f>33.76-(G129+H129)</f>
        <v>11.709999999999997</v>
      </c>
      <c r="J129" s="312">
        <f>44.13-(G129+H129+I129)</f>
        <v>10.370000000000005</v>
      </c>
      <c r="K129" s="312">
        <v>10.99</v>
      </c>
      <c r="L129" s="312">
        <f>21.3-K129</f>
        <v>10.31</v>
      </c>
      <c r="M129" s="312">
        <f>30.53-(K129+L129)</f>
        <v>9.23</v>
      </c>
      <c r="N129" s="312"/>
      <c r="O129" s="312">
        <v>3.48</v>
      </c>
      <c r="P129" s="312">
        <v>2.23</v>
      </c>
      <c r="Q129" s="312">
        <v>5.81</v>
      </c>
      <c r="R129" s="312">
        <f t="shared" si="145"/>
        <v>23.46</v>
      </c>
      <c r="S129" s="312">
        <f t="shared" ref="S129" si="146">SUM(G129:J129)</f>
        <v>44.13</v>
      </c>
    </row>
    <row r="130" spans="2:20">
      <c r="B130" s="212" t="s">
        <v>273</v>
      </c>
      <c r="C130" s="282">
        <f t="shared" ref="C130:K130" si="147">SUM(C126:C129)</f>
        <v>-1.37</v>
      </c>
      <c r="D130" s="282">
        <f t="shared" si="147"/>
        <v>1.850000000000001</v>
      </c>
      <c r="E130" s="282">
        <f t="shared" si="147"/>
        <v>3.6399999999999997</v>
      </c>
      <c r="F130" s="282">
        <f t="shared" si="147"/>
        <v>6.2199999999999989</v>
      </c>
      <c r="G130" s="282">
        <f t="shared" si="147"/>
        <v>7.14</v>
      </c>
      <c r="H130" s="282">
        <f t="shared" si="147"/>
        <v>7.8600000000000012</v>
      </c>
      <c r="I130" s="282">
        <f t="shared" si="147"/>
        <v>6.849999999999997</v>
      </c>
      <c r="J130" s="282">
        <f t="shared" si="147"/>
        <v>4.0900000000000052</v>
      </c>
      <c r="K130" s="282">
        <f t="shared" si="147"/>
        <v>6.87</v>
      </c>
      <c r="L130" s="282">
        <f>SUM(L126:L129)</f>
        <v>-2.2799999999999994</v>
      </c>
      <c r="M130" s="282">
        <f t="shared" ref="M130" si="148">SUM(M126:M129)</f>
        <v>3.0100000000000016</v>
      </c>
      <c r="N130" s="282"/>
      <c r="O130" s="282">
        <f t="shared" ref="O130:S130" si="149">SUM(O126:O129)</f>
        <v>-115.17999999999999</v>
      </c>
      <c r="P130" s="282">
        <f t="shared" si="149"/>
        <v>-235.34</v>
      </c>
      <c r="Q130" s="282">
        <f t="shared" si="149"/>
        <v>-564.27</v>
      </c>
      <c r="R130" s="282">
        <f t="shared" si="149"/>
        <v>10.34</v>
      </c>
      <c r="S130" s="282">
        <f t="shared" si="149"/>
        <v>25.940000000000005</v>
      </c>
      <c r="T130" s="282"/>
    </row>
    <row r="131" spans="2:20">
      <c r="B131" s="214"/>
      <c r="C131" s="266"/>
      <c r="D131" s="266"/>
      <c r="E131" s="266"/>
      <c r="F131" s="266"/>
      <c r="G131" s="266"/>
      <c r="H131" s="266"/>
      <c r="I131" s="266"/>
      <c r="J131" s="266"/>
      <c r="K131" s="266"/>
      <c r="L131" s="266"/>
      <c r="M131" s="266"/>
      <c r="N131" s="266"/>
      <c r="O131" s="266"/>
      <c r="P131" s="266"/>
      <c r="Q131" s="266"/>
      <c r="R131" s="314"/>
      <c r="S131" s="314"/>
    </row>
    <row r="132" spans="2:20">
      <c r="B132" s="214" t="s">
        <v>274</v>
      </c>
      <c r="C132" s="310">
        <v>0.55000000000000004</v>
      </c>
      <c r="D132" s="310">
        <f>4.03-C132</f>
        <v>3.4800000000000004</v>
      </c>
      <c r="E132" s="310">
        <f>4.3-(C132+D132)</f>
        <v>0.26999999999999957</v>
      </c>
      <c r="F132" s="310">
        <f>4.71-(C132+D132+E132)</f>
        <v>0.41000000000000014</v>
      </c>
      <c r="G132" s="310">
        <v>1.22</v>
      </c>
      <c r="H132" s="310">
        <f>1.6-G132</f>
        <v>0.38000000000000012</v>
      </c>
      <c r="I132" s="310">
        <f>2.13-(G132+H132)</f>
        <v>0.5299999999999998</v>
      </c>
      <c r="J132" s="310">
        <f>2.14-(G132+H132+I132)</f>
        <v>1.0000000000000231E-2</v>
      </c>
      <c r="K132" s="310">
        <v>1.35</v>
      </c>
      <c r="L132" s="310">
        <f>1.59-K132</f>
        <v>0.24</v>
      </c>
      <c r="M132" s="310">
        <f>1.83-(K132+L132)</f>
        <v>0.24</v>
      </c>
      <c r="N132" s="310"/>
      <c r="O132" s="310">
        <v>3.55</v>
      </c>
      <c r="P132" s="310">
        <v>21.01</v>
      </c>
      <c r="Q132" s="310">
        <v>17.489999999999998</v>
      </c>
      <c r="R132" s="310">
        <f>SUM(C132:F132)</f>
        <v>4.71</v>
      </c>
      <c r="S132" s="310">
        <f>SUM(G132:J132)</f>
        <v>2.14</v>
      </c>
    </row>
    <row r="133" spans="2:20">
      <c r="B133" s="214" t="s">
        <v>275</v>
      </c>
      <c r="C133" s="310">
        <v>0</v>
      </c>
      <c r="D133" s="310">
        <f>-0.19-C133</f>
        <v>-0.19</v>
      </c>
      <c r="E133" s="310">
        <f>-0.19-(C133+D133)</f>
        <v>0</v>
      </c>
      <c r="F133" s="310">
        <f>-0.19-(C133+D133+E133)</f>
        <v>0</v>
      </c>
      <c r="G133" s="310">
        <v>-0.08</v>
      </c>
      <c r="H133" s="310">
        <f>-0.11-G133</f>
        <v>-0.03</v>
      </c>
      <c r="I133" s="310">
        <f>-0.11-(G133+H133)</f>
        <v>0</v>
      </c>
      <c r="J133" s="310">
        <f>-0.11-(G133+H133+I133)</f>
        <v>0</v>
      </c>
      <c r="K133" s="310">
        <v>0</v>
      </c>
      <c r="L133" s="310">
        <v>0</v>
      </c>
      <c r="M133" s="310">
        <v>0</v>
      </c>
      <c r="N133" s="310"/>
      <c r="O133" s="310">
        <v>-6.89</v>
      </c>
      <c r="P133" s="310">
        <v>-45.32</v>
      </c>
      <c r="Q133" s="310">
        <v>-34.19</v>
      </c>
      <c r="R133" s="310">
        <f t="shared" ref="R133:R136" si="150">SUM(C133:F133)</f>
        <v>-0.19</v>
      </c>
      <c r="S133" s="310">
        <f t="shared" ref="S133:S136" si="151">SUM(G133:J133)</f>
        <v>-0.11</v>
      </c>
    </row>
    <row r="134" spans="2:20">
      <c r="B134" s="214" t="s">
        <v>276</v>
      </c>
      <c r="C134" s="310">
        <v>0</v>
      </c>
      <c r="D134" s="310">
        <v>0</v>
      </c>
      <c r="E134" s="310">
        <v>0</v>
      </c>
      <c r="F134" s="310">
        <v>0</v>
      </c>
      <c r="G134" s="310">
        <v>0</v>
      </c>
      <c r="H134" s="310">
        <v>0</v>
      </c>
      <c r="I134" s="310">
        <v>0</v>
      </c>
      <c r="J134" s="310">
        <v>0</v>
      </c>
      <c r="K134" s="310">
        <v>-39.950000000000003</v>
      </c>
      <c r="L134" s="310">
        <f>-39.95-K134</f>
        <v>0</v>
      </c>
      <c r="M134" s="310">
        <f>-39.95-(K134+L134)</f>
        <v>0</v>
      </c>
      <c r="N134" s="310"/>
      <c r="O134" s="310">
        <v>0</v>
      </c>
      <c r="P134" s="310">
        <v>0</v>
      </c>
      <c r="Q134" s="310">
        <v>0</v>
      </c>
      <c r="R134" s="310">
        <f t="shared" si="150"/>
        <v>0</v>
      </c>
      <c r="S134" s="310">
        <f t="shared" si="151"/>
        <v>0</v>
      </c>
    </row>
    <row r="135" spans="2:20">
      <c r="B135" s="214" t="s">
        <v>277</v>
      </c>
      <c r="C135" s="310">
        <v>-2.09</v>
      </c>
      <c r="D135" s="310">
        <f>-4.11-C135</f>
        <v>-2.0200000000000005</v>
      </c>
      <c r="E135" s="310">
        <f>-6.41-(C135+D135)</f>
        <v>-2.2999999999999998</v>
      </c>
      <c r="F135" s="310">
        <f>-8.87-(C135+D135+E135)</f>
        <v>-2.4599999999999991</v>
      </c>
      <c r="G135" s="310">
        <v>-2.0699999999999998</v>
      </c>
      <c r="H135" s="310">
        <f>-3.91-G135</f>
        <v>-1.8400000000000003</v>
      </c>
      <c r="I135" s="310">
        <f>-5.86-(G135+H135)</f>
        <v>-1.9500000000000002</v>
      </c>
      <c r="J135" s="310">
        <f>-8.23-(G135+H135+I135)</f>
        <v>-2.37</v>
      </c>
      <c r="K135" s="310">
        <v>-2.14</v>
      </c>
      <c r="L135" s="310">
        <f>-4.33-K135</f>
        <v>-2.19</v>
      </c>
      <c r="M135" s="310">
        <f>-6.33-(K135+L135)</f>
        <v>-2</v>
      </c>
      <c r="N135" s="310"/>
      <c r="O135" s="310">
        <v>-3.4</v>
      </c>
      <c r="P135" s="310">
        <v>-4.3499999999999996</v>
      </c>
      <c r="Q135" s="310">
        <v>-6.95</v>
      </c>
      <c r="R135" s="310">
        <f t="shared" si="150"/>
        <v>-8.8699999999999992</v>
      </c>
      <c r="S135" s="310">
        <f t="shared" si="151"/>
        <v>-8.23</v>
      </c>
    </row>
    <row r="136" spans="2:20">
      <c r="B136" s="311" t="s">
        <v>278</v>
      </c>
      <c r="C136" s="312">
        <v>-0.27</v>
      </c>
      <c r="D136" s="312">
        <f>-0.37-C136</f>
        <v>-9.9999999999999978E-2</v>
      </c>
      <c r="E136" s="312">
        <f>-0.73-(C136+D136)</f>
        <v>-0.36</v>
      </c>
      <c r="F136" s="312">
        <f>-1.06-(C136+D136+E136)</f>
        <v>-0.33000000000000007</v>
      </c>
      <c r="G136" s="312">
        <v>0</v>
      </c>
      <c r="H136" s="312">
        <v>0</v>
      </c>
      <c r="I136" s="312">
        <f>-0.04-(G136+H136)</f>
        <v>-0.04</v>
      </c>
      <c r="J136" s="312">
        <f>-0.04-(G136+H136+I136)</f>
        <v>0</v>
      </c>
      <c r="K136" s="312">
        <v>-0.04</v>
      </c>
      <c r="L136" s="312">
        <f>-0.04-K136</f>
        <v>0</v>
      </c>
      <c r="M136" s="312">
        <f>-0.05-(K136+L136)</f>
        <v>-1.0000000000000002E-2</v>
      </c>
      <c r="N136" s="312"/>
      <c r="O136" s="312">
        <v>-0.65</v>
      </c>
      <c r="P136" s="312">
        <v>-1.56</v>
      </c>
      <c r="Q136" s="312">
        <v>-1.81</v>
      </c>
      <c r="R136" s="312">
        <f t="shared" si="150"/>
        <v>-1.06</v>
      </c>
      <c r="S136" s="312">
        <f t="shared" si="151"/>
        <v>-0.04</v>
      </c>
    </row>
    <row r="137" spans="2:20">
      <c r="B137" s="212" t="s">
        <v>279</v>
      </c>
      <c r="C137" s="313">
        <f t="shared" ref="C137:K137" si="152">SUM(C132:C136)</f>
        <v>-1.8099999999999998</v>
      </c>
      <c r="D137" s="313">
        <f t="shared" si="152"/>
        <v>1.17</v>
      </c>
      <c r="E137" s="313">
        <f t="shared" si="152"/>
        <v>-2.39</v>
      </c>
      <c r="F137" s="313">
        <f t="shared" si="152"/>
        <v>-2.379999999999999</v>
      </c>
      <c r="G137" s="313">
        <f t="shared" si="152"/>
        <v>-0.92999999999999994</v>
      </c>
      <c r="H137" s="313">
        <f t="shared" si="152"/>
        <v>-1.4900000000000002</v>
      </c>
      <c r="I137" s="313">
        <f t="shared" si="152"/>
        <v>-1.4600000000000004</v>
      </c>
      <c r="J137" s="313">
        <f t="shared" si="152"/>
        <v>-2.36</v>
      </c>
      <c r="K137" s="313">
        <f t="shared" si="152"/>
        <v>-40.78</v>
      </c>
      <c r="L137" s="313">
        <f>SUM(L132:L136)</f>
        <v>-1.95</v>
      </c>
      <c r="M137" s="313">
        <f t="shared" ref="M137" si="153">SUM(M132:M136)</f>
        <v>-1.77</v>
      </c>
      <c r="N137" s="313"/>
      <c r="O137" s="313">
        <f t="shared" ref="O137:S137" si="154">SUM(O132:O136)</f>
        <v>-7.3900000000000006</v>
      </c>
      <c r="P137" s="313">
        <f t="shared" si="154"/>
        <v>-30.219999999999995</v>
      </c>
      <c r="Q137" s="313">
        <f t="shared" si="154"/>
        <v>-25.459999999999997</v>
      </c>
      <c r="R137" s="313">
        <f t="shared" si="154"/>
        <v>-5.41</v>
      </c>
      <c r="S137" s="313">
        <f t="shared" si="154"/>
        <v>-6.24</v>
      </c>
      <c r="T137" s="282"/>
    </row>
    <row r="138" spans="2:20">
      <c r="B138" s="214"/>
      <c r="C138" s="266"/>
      <c r="D138" s="266"/>
      <c r="E138" s="266"/>
      <c r="F138" s="266"/>
      <c r="G138" s="266"/>
      <c r="H138" s="266"/>
      <c r="I138" s="266"/>
      <c r="J138" s="266"/>
      <c r="K138" s="266"/>
      <c r="L138" s="266"/>
      <c r="M138" s="266"/>
      <c r="N138" s="266"/>
      <c r="O138" s="266"/>
      <c r="P138" s="266"/>
      <c r="Q138" s="266"/>
      <c r="R138" s="314"/>
      <c r="S138" s="314"/>
    </row>
    <row r="139" spans="2:20">
      <c r="B139" s="214" t="s">
        <v>280</v>
      </c>
      <c r="C139" s="310">
        <v>-38.869999999999997</v>
      </c>
      <c r="D139" s="310">
        <f>-91.08-C139</f>
        <v>-52.21</v>
      </c>
      <c r="E139" s="310">
        <f>-115.54-(C139+D139)</f>
        <v>-24.460000000000008</v>
      </c>
      <c r="F139" s="310">
        <f>-153.5-(C139+D139+E139)</f>
        <v>-37.959999999999994</v>
      </c>
      <c r="G139" s="310">
        <v>-19.88</v>
      </c>
      <c r="H139" s="310">
        <f>-38.66-G139</f>
        <v>-18.779999999999998</v>
      </c>
      <c r="I139" s="310">
        <v>-50.75</v>
      </c>
      <c r="J139" s="310">
        <v>-78.05</v>
      </c>
      <c r="K139" s="310">
        <v>-48.15</v>
      </c>
      <c r="L139" s="310">
        <f>-63.08-K139</f>
        <v>-14.93</v>
      </c>
      <c r="M139" s="310">
        <f>-60.53-(K139+L139)</f>
        <v>2.5499999999999972</v>
      </c>
      <c r="N139" s="310"/>
      <c r="O139" s="310">
        <v>3.27</v>
      </c>
      <c r="P139" s="310">
        <v>596.17999999999995</v>
      </c>
      <c r="Q139" s="310">
        <v>146.5</v>
      </c>
      <c r="R139" s="310">
        <f>SUM(C139:F139)</f>
        <v>-153.5</v>
      </c>
      <c r="S139" s="310">
        <f>SUM(G139:J139)</f>
        <v>-167.45999999999998</v>
      </c>
    </row>
    <row r="140" spans="2:20">
      <c r="B140" s="214" t="s">
        <v>322</v>
      </c>
      <c r="C140" s="310">
        <f t="shared" ref="C140:S140" si="155">C124+C126</f>
        <v>-36.480000000000004</v>
      </c>
      <c r="D140" s="310">
        <f t="shared" si="155"/>
        <v>-25.92</v>
      </c>
      <c r="E140" s="310">
        <f t="shared" si="155"/>
        <v>-777.04999999999984</v>
      </c>
      <c r="F140" s="310">
        <f t="shared" si="155"/>
        <v>-43.770000000000039</v>
      </c>
      <c r="G140" s="310">
        <f t="shared" si="155"/>
        <v>-27.14</v>
      </c>
      <c r="H140" s="310">
        <f t="shared" si="155"/>
        <v>-25.700000000000006</v>
      </c>
      <c r="I140" s="310">
        <f t="shared" si="155"/>
        <v>-20.569999999999986</v>
      </c>
      <c r="J140" s="310">
        <f t="shared" si="155"/>
        <v>-31.750000000000036</v>
      </c>
      <c r="K140" s="310">
        <f>K124+K126</f>
        <v>-15.066999999999998</v>
      </c>
      <c r="L140" s="310">
        <f>L124+L126</f>
        <v>-15.615000000000009</v>
      </c>
      <c r="M140" s="310">
        <f t="shared" si="155"/>
        <v>5.012000000000004</v>
      </c>
      <c r="N140" s="310"/>
      <c r="O140" s="310">
        <f t="shared" si="155"/>
        <v>-32.149999999999991</v>
      </c>
      <c r="P140" s="310">
        <f t="shared" si="155"/>
        <v>-94.850000000000023</v>
      </c>
      <c r="Q140" s="310">
        <f t="shared" si="155"/>
        <v>-95.460000000000022</v>
      </c>
      <c r="R140" s="310">
        <f t="shared" si="155"/>
        <v>-883.21999999999991</v>
      </c>
      <c r="S140" s="310">
        <f t="shared" si="155"/>
        <v>-105.16000000000004</v>
      </c>
    </row>
    <row r="141" spans="2:20">
      <c r="B141" s="315" t="s">
        <v>281</v>
      </c>
      <c r="C141" s="316"/>
      <c r="D141" s="317">
        <f>ABS((D140-C140)/C140)</f>
        <v>0.28947368421052633</v>
      </c>
      <c r="E141" s="317">
        <f t="shared" ref="E141:M141" si="156">ABS((E140-D140)/D140)</f>
        <v>28.978780864197525</v>
      </c>
      <c r="F141" s="317">
        <f t="shared" si="156"/>
        <v>0.94367157840550786</v>
      </c>
      <c r="G141" s="317">
        <f t="shared" si="156"/>
        <v>0.37994059858350521</v>
      </c>
      <c r="H141" s="317">
        <f t="shared" si="156"/>
        <v>5.3058216654384455E-2</v>
      </c>
      <c r="I141" s="317">
        <f t="shared" si="156"/>
        <v>0.19961089494163498</v>
      </c>
      <c r="J141" s="317">
        <f t="shared" si="156"/>
        <v>0.54350996596986179</v>
      </c>
      <c r="K141" s="317">
        <f t="shared" si="156"/>
        <v>0.52544881889763828</v>
      </c>
      <c r="L141" s="317">
        <f t="shared" si="156"/>
        <v>3.6370876750515084E-2</v>
      </c>
      <c r="M141" s="317">
        <f t="shared" si="156"/>
        <v>1.3209734229907142</v>
      </c>
      <c r="N141" s="317"/>
      <c r="O141" s="317"/>
      <c r="P141" s="317">
        <f>(P140-O140)/O140</f>
        <v>1.950233281493003</v>
      </c>
      <c r="Q141" s="317">
        <f t="shared" ref="Q141:S141" si="157">ABS((Q140-P140)/P140)</f>
        <v>6.4312071692145421E-3</v>
      </c>
      <c r="R141" s="317">
        <f t="shared" si="157"/>
        <v>8.2522522522522497</v>
      </c>
      <c r="S141" s="317">
        <f t="shared" si="157"/>
        <v>0.88093566721768068</v>
      </c>
      <c r="T141" s="318"/>
    </row>
    <row r="142" spans="2:20">
      <c r="B142" s="214" t="s">
        <v>607</v>
      </c>
      <c r="C142" s="310">
        <f t="shared" ref="C142:J142" si="158">C140/C65</f>
        <v>-0.2448322147651007</v>
      </c>
      <c r="D142" s="310">
        <f t="shared" si="158"/>
        <v>-0.17314629258517036</v>
      </c>
      <c r="E142" s="310">
        <f t="shared" si="158"/>
        <v>-5.1392195767195759</v>
      </c>
      <c r="F142" s="310">
        <f t="shared" si="158"/>
        <v>-0.28833992094861682</v>
      </c>
      <c r="G142" s="310">
        <f t="shared" si="158"/>
        <v>-0.17796721311475411</v>
      </c>
      <c r="H142" s="310">
        <f t="shared" si="158"/>
        <v>-0.16742671009771992</v>
      </c>
      <c r="I142" s="310">
        <f t="shared" si="158"/>
        <v>-0.13339818417639421</v>
      </c>
      <c r="J142" s="310">
        <f t="shared" si="158"/>
        <v>-0.20497094899935464</v>
      </c>
      <c r="K142" s="310">
        <f>K140/K65</f>
        <v>-9.7394957983193281E-2</v>
      </c>
      <c r="L142" s="310">
        <f>L140/L65</f>
        <v>-0.10166015625000006</v>
      </c>
      <c r="M142" s="310">
        <f t="shared" ref="M142:S142" si="159">M140/M65</f>
        <v>3.2764594364908181E-2</v>
      </c>
      <c r="N142" s="310"/>
      <c r="O142" s="310">
        <f t="shared" si="159"/>
        <v>-0.37427240977881243</v>
      </c>
      <c r="P142" s="310">
        <f t="shared" si="159"/>
        <v>-0.90161596958174928</v>
      </c>
      <c r="Q142" s="310">
        <f t="shared" si="159"/>
        <v>-0.67415254237288158</v>
      </c>
      <c r="R142" s="310">
        <f t="shared" si="159"/>
        <v>-5.8724734042553184</v>
      </c>
      <c r="S142" s="310">
        <f t="shared" si="159"/>
        <v>-0.68374512353706129</v>
      </c>
      <c r="T142" s="319"/>
    </row>
    <row r="143" spans="2:20">
      <c r="B143" s="214"/>
    </row>
    <row r="144" spans="2:20">
      <c r="B144" s="214"/>
    </row>
    <row r="145" spans="2:2">
      <c r="B145" s="214"/>
    </row>
    <row r="146" spans="2:2">
      <c r="B146" s="214"/>
    </row>
    <row r="147" spans="2:2">
      <c r="B147" s="214"/>
    </row>
    <row r="148" spans="2:2">
      <c r="B148" s="214"/>
    </row>
    <row r="149" spans="2:2">
      <c r="B149" s="214"/>
    </row>
    <row r="150" spans="2:2">
      <c r="B150" s="214"/>
    </row>
    <row r="151" spans="2:2">
      <c r="B151" s="214"/>
    </row>
    <row r="152" spans="2:2">
      <c r="B152" s="214"/>
    </row>
    <row r="153" spans="2:2">
      <c r="B153" s="214"/>
    </row>
    <row r="154" spans="2:2">
      <c r="B154" s="214"/>
    </row>
  </sheetData>
  <mergeCells count="31">
    <mergeCell ref="AH42:AM47"/>
    <mergeCell ref="U6:AD6"/>
    <mergeCell ref="AH7:AM7"/>
    <mergeCell ref="AH8:AM8"/>
    <mergeCell ref="AH9:AM14"/>
    <mergeCell ref="AH15:AM20"/>
    <mergeCell ref="AH21:AM26"/>
    <mergeCell ref="AH27:AM27"/>
    <mergeCell ref="AH28:AM33"/>
    <mergeCell ref="AH34:AM34"/>
    <mergeCell ref="AH35:AM40"/>
    <mergeCell ref="AH41:AM41"/>
    <mergeCell ref="AH48:AM48"/>
    <mergeCell ref="AH49:AM54"/>
    <mergeCell ref="AH55:AM55"/>
    <mergeCell ref="AH56:AM61"/>
    <mergeCell ref="AH62:AM67"/>
    <mergeCell ref="T69:V69"/>
    <mergeCell ref="T72:U72"/>
    <mergeCell ref="AH74:AM74"/>
    <mergeCell ref="AH75:AM80"/>
    <mergeCell ref="T78:U78"/>
    <mergeCell ref="T80:V80"/>
    <mergeCell ref="AH68:AM73"/>
    <mergeCell ref="AE95:AQ95"/>
    <mergeCell ref="T81:V81"/>
    <mergeCell ref="AH81:AM81"/>
    <mergeCell ref="AH82:AM87"/>
    <mergeCell ref="T84:U84"/>
    <mergeCell ref="T90:U90"/>
    <mergeCell ref="AD93:AQ93"/>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046C6-30DF-584E-BC86-EA10720DF2A6}">
  <dimension ref="A1:BT154"/>
  <sheetViews>
    <sheetView showGridLines="0" zoomScale="85" zoomScaleNormal="100" zoomScaleSheetLayoutView="100" workbookViewId="0">
      <pane xSplit="2" ySplit="7" topLeftCell="E8" activePane="bottomRight" state="frozen"/>
      <selection pane="topRight" activeCell="E1" sqref="E1"/>
      <selection pane="bottomLeft" activeCell="A5" sqref="A5"/>
      <selection pane="bottomRight" activeCell="U16" sqref="U16"/>
    </sheetView>
  </sheetViews>
  <sheetFormatPr baseColWidth="10" defaultColWidth="8.83203125" defaultRowHeight="14"/>
  <cols>
    <col min="1" max="1" width="3.5" style="163" customWidth="1"/>
    <col min="2" max="2" width="27.1640625" style="163" customWidth="1"/>
    <col min="3" max="3" width="9.5" style="300" customWidth="1"/>
    <col min="4" max="4" width="9.33203125" style="163" bestFit="1" customWidth="1"/>
    <col min="5" max="5" width="9.83203125" style="163" bestFit="1" customWidth="1"/>
    <col min="6" max="6" width="9.5" style="163" bestFit="1" customWidth="1"/>
    <col min="7" max="7" width="9.33203125" style="163" bestFit="1" customWidth="1"/>
    <col min="8" max="8" width="10.83203125" style="163" customWidth="1"/>
    <col min="9" max="9" width="9.33203125" style="163" bestFit="1" customWidth="1"/>
    <col min="10" max="10" width="12.33203125" style="163" customWidth="1"/>
    <col min="11" max="11" width="9.83203125" style="163" customWidth="1"/>
    <col min="12" max="13" width="9.33203125" style="163" bestFit="1" customWidth="1"/>
    <col min="14" max="14" width="8.83203125" style="163"/>
    <col min="15" max="15" width="10.5" style="163" bestFit="1" customWidth="1"/>
    <col min="16" max="17" width="10.6640625" style="163" bestFit="1" customWidth="1"/>
    <col min="18" max="19" width="11.83203125" style="163" bestFit="1" customWidth="1"/>
    <col min="20" max="20" width="15.6640625" style="266" bestFit="1" customWidth="1"/>
    <col min="21" max="21" width="9.5" style="163" customWidth="1"/>
    <col min="22" max="22" width="11.33203125" style="163" bestFit="1" customWidth="1"/>
    <col min="23" max="24" width="9.83203125" style="163" bestFit="1" customWidth="1"/>
    <col min="25" max="26" width="9.6640625" style="163" bestFit="1" customWidth="1"/>
    <col min="27" max="27" width="10" style="163" bestFit="1" customWidth="1"/>
    <col min="28" max="28" width="10" style="163" customWidth="1"/>
    <col min="29" max="30" width="10" style="163" bestFit="1" customWidth="1"/>
    <col min="31" max="16384" width="8.83203125" style="163"/>
  </cols>
  <sheetData>
    <row r="1" spans="1:72">
      <c r="B1" s="163" t="s">
        <v>171</v>
      </c>
      <c r="C1" s="265">
        <v>45747</v>
      </c>
    </row>
    <row r="5" spans="1:72">
      <c r="B5" s="616" t="s">
        <v>172</v>
      </c>
      <c r="C5" s="613"/>
      <c r="D5" s="614"/>
      <c r="E5" s="614"/>
      <c r="F5" s="614"/>
      <c r="G5" s="614"/>
      <c r="H5" s="614"/>
      <c r="I5" s="614"/>
      <c r="J5" s="614"/>
      <c r="K5" s="614"/>
      <c r="L5" s="614"/>
      <c r="M5" s="614"/>
      <c r="N5" s="614"/>
      <c r="O5" s="614"/>
      <c r="P5" s="614"/>
      <c r="Q5" s="614"/>
      <c r="R5" s="614"/>
      <c r="S5" s="614"/>
      <c r="T5" s="615"/>
      <c r="U5" s="614"/>
      <c r="V5" s="614"/>
      <c r="W5" s="614"/>
      <c r="X5" s="614"/>
      <c r="Y5" s="614"/>
      <c r="Z5" s="614"/>
      <c r="AA5" s="614"/>
      <c r="AB5" s="614"/>
      <c r="AC5" s="614"/>
      <c r="AD5" s="614"/>
      <c r="AE5" s="269"/>
      <c r="AF5" s="269"/>
      <c r="AG5" s="269"/>
      <c r="AH5" s="269"/>
    </row>
    <row r="6" spans="1:72" ht="17" thickBot="1">
      <c r="B6" s="267" t="s">
        <v>173</v>
      </c>
      <c r="C6" s="268"/>
      <c r="D6" s="269"/>
      <c r="E6" s="269"/>
      <c r="F6" s="269"/>
      <c r="G6" s="269"/>
      <c r="H6" s="269"/>
      <c r="I6" s="269"/>
      <c r="J6" s="269"/>
      <c r="K6" s="269"/>
      <c r="L6" s="269"/>
      <c r="M6" s="269"/>
      <c r="N6" s="269"/>
      <c r="O6" s="270" t="s">
        <v>174</v>
      </c>
      <c r="P6" s="270" t="s">
        <v>175</v>
      </c>
      <c r="Q6" s="270" t="s">
        <v>175</v>
      </c>
      <c r="R6" s="270" t="s">
        <v>175</v>
      </c>
      <c r="S6" s="270" t="s">
        <v>175</v>
      </c>
      <c r="T6" s="271"/>
      <c r="U6" s="874" t="s">
        <v>176</v>
      </c>
      <c r="V6" s="874"/>
      <c r="W6" s="874"/>
      <c r="X6" s="874"/>
      <c r="Y6" s="874"/>
      <c r="Z6" s="874"/>
      <c r="AA6" s="874"/>
      <c r="AB6" s="874"/>
      <c r="AC6" s="874"/>
      <c r="AD6" s="874"/>
      <c r="AE6" s="269"/>
      <c r="AF6" s="269"/>
      <c r="AG6" s="269"/>
      <c r="AH6" s="269"/>
    </row>
    <row r="7" spans="1:72" ht="16">
      <c r="B7" s="272"/>
      <c r="C7" s="273" t="s">
        <v>177</v>
      </c>
      <c r="D7" s="273" t="s">
        <v>178</v>
      </c>
      <c r="E7" s="273" t="s">
        <v>179</v>
      </c>
      <c r="F7" s="273" t="s">
        <v>180</v>
      </c>
      <c r="G7" s="273" t="s">
        <v>181</v>
      </c>
      <c r="H7" s="273" t="s">
        <v>182</v>
      </c>
      <c r="I7" s="273" t="s">
        <v>183</v>
      </c>
      <c r="J7" s="273" t="s">
        <v>184</v>
      </c>
      <c r="K7" s="273" t="s">
        <v>185</v>
      </c>
      <c r="L7" s="273" t="s">
        <v>186</v>
      </c>
      <c r="M7" s="273" t="s">
        <v>187</v>
      </c>
      <c r="N7" s="273"/>
      <c r="O7" s="270">
        <v>2020</v>
      </c>
      <c r="P7" s="273">
        <f>O7+1</f>
        <v>2021</v>
      </c>
      <c r="Q7" s="273">
        <f t="shared" ref="Q7:S7" si="0">P7+1</f>
        <v>2022</v>
      </c>
      <c r="R7" s="273">
        <f t="shared" si="0"/>
        <v>2023</v>
      </c>
      <c r="S7" s="273">
        <f t="shared" si="0"/>
        <v>2024</v>
      </c>
      <c r="U7" s="273">
        <v>2025</v>
      </c>
      <c r="V7" s="273">
        <f>U7+1</f>
        <v>2026</v>
      </c>
      <c r="W7" s="273">
        <f t="shared" ref="W7:AD7" si="1">V7+1</f>
        <v>2027</v>
      </c>
      <c r="X7" s="273">
        <f t="shared" si="1"/>
        <v>2028</v>
      </c>
      <c r="Y7" s="273">
        <f t="shared" si="1"/>
        <v>2029</v>
      </c>
      <c r="Z7" s="273">
        <f t="shared" si="1"/>
        <v>2030</v>
      </c>
      <c r="AA7" s="273">
        <f t="shared" si="1"/>
        <v>2031</v>
      </c>
      <c r="AB7" s="273">
        <f t="shared" si="1"/>
        <v>2032</v>
      </c>
      <c r="AC7" s="273">
        <f t="shared" si="1"/>
        <v>2033</v>
      </c>
      <c r="AD7" s="273">
        <f t="shared" si="1"/>
        <v>2034</v>
      </c>
      <c r="AE7" s="269"/>
      <c r="AF7" s="269"/>
      <c r="AG7" s="269"/>
      <c r="AH7" s="875" t="s">
        <v>606</v>
      </c>
      <c r="AI7" s="876"/>
      <c r="AJ7" s="876"/>
      <c r="AK7" s="876"/>
      <c r="AL7" s="876"/>
      <c r="AM7" s="877"/>
      <c r="AR7" s="163">
        <f t="shared" ref="AR7" si="2">AQ7+1</f>
        <v>1</v>
      </c>
    </row>
    <row r="8" spans="1:72">
      <c r="B8" s="214" t="s">
        <v>188</v>
      </c>
      <c r="C8" s="274">
        <v>73.56</v>
      </c>
      <c r="D8" s="274">
        <v>74.489999999999995</v>
      </c>
      <c r="E8" s="274">
        <v>74.489999999999995</v>
      </c>
      <c r="F8" s="274">
        <f>298.76-(C8+D8+E8)</f>
        <v>76.21999999999997</v>
      </c>
      <c r="G8" s="274">
        <v>78.73</v>
      </c>
      <c r="H8" s="274">
        <v>81.040000000000006</v>
      </c>
      <c r="I8" s="274">
        <v>80.88</v>
      </c>
      <c r="J8" s="274">
        <f>322-(G8+H8+I8)</f>
        <v>81.349999999999994</v>
      </c>
      <c r="K8" s="274">
        <v>83.31</v>
      </c>
      <c r="L8" s="274">
        <v>85.54</v>
      </c>
      <c r="M8" s="274">
        <v>88.06</v>
      </c>
      <c r="N8" s="274"/>
      <c r="O8" s="274">
        <v>78.8</v>
      </c>
      <c r="P8" s="274">
        <v>119.32</v>
      </c>
      <c r="Q8" s="274">
        <v>248.43</v>
      </c>
      <c r="R8" s="274">
        <f>SUM(C8:F8)</f>
        <v>298.76</v>
      </c>
      <c r="S8" s="274">
        <f>SUM(G8:J8)</f>
        <v>322</v>
      </c>
      <c r="U8" s="310">
        <f>S8*(1+U9)</f>
        <v>353.65260000000001</v>
      </c>
      <c r="V8" s="310">
        <f>U8*(1+V9)</f>
        <v>385.19841192000001</v>
      </c>
      <c r="W8" s="310">
        <f t="shared" ref="W8:AD8" si="3">V8*(1+W9)</f>
        <v>417.94027693319998</v>
      </c>
      <c r="X8" s="310">
        <f t="shared" si="3"/>
        <v>448.70068131548345</v>
      </c>
      <c r="Y8" s="310">
        <f t="shared" si="3"/>
        <v>480.19946914383041</v>
      </c>
      <c r="Z8" s="310">
        <f t="shared" si="3"/>
        <v>511.79659421349447</v>
      </c>
      <c r="AA8" s="310">
        <f t="shared" si="3"/>
        <v>542.50438986630422</v>
      </c>
      <c r="AB8" s="310">
        <f t="shared" si="3"/>
        <v>571.90812779705789</v>
      </c>
      <c r="AC8" s="310">
        <f t="shared" si="3"/>
        <v>600.50353418691077</v>
      </c>
      <c r="AD8" s="310">
        <f t="shared" si="3"/>
        <v>627.8264449924153</v>
      </c>
      <c r="AH8" s="857" t="s">
        <v>610</v>
      </c>
      <c r="AI8" s="858"/>
      <c r="AJ8" s="858"/>
      <c r="AK8" s="858"/>
      <c r="AL8" s="858"/>
      <c r="AM8" s="859"/>
    </row>
    <row r="9" spans="1:72">
      <c r="B9" s="275" t="s">
        <v>605</v>
      </c>
      <c r="C9" s="276"/>
      <c r="D9" s="276">
        <f>(D8-C8)/D8</f>
        <v>1.2484897301651129E-2</v>
      </c>
      <c r="E9" s="276">
        <f t="shared" ref="E9:M9" si="4">(E8-D8)/E8</f>
        <v>0</v>
      </c>
      <c r="F9" s="276">
        <f t="shared" si="4"/>
        <v>2.2697454736289376E-2</v>
      </c>
      <c r="G9" s="276">
        <f t="shared" si="4"/>
        <v>3.1881112663534023E-2</v>
      </c>
      <c r="H9" s="276">
        <f t="shared" si="4"/>
        <v>2.8504442250740402E-2</v>
      </c>
      <c r="I9" s="276">
        <f t="shared" si="4"/>
        <v>-1.9782393669635361E-3</v>
      </c>
      <c r="J9" s="276">
        <f t="shared" si="4"/>
        <v>5.7775046097111116E-3</v>
      </c>
      <c r="K9" s="276">
        <f t="shared" si="4"/>
        <v>2.3526587444484551E-2</v>
      </c>
      <c r="L9" s="276">
        <f t="shared" si="4"/>
        <v>2.6069675005845262E-2</v>
      </c>
      <c r="M9" s="276">
        <f t="shared" si="4"/>
        <v>2.8616852146263864E-2</v>
      </c>
      <c r="N9" s="276"/>
      <c r="O9" s="276"/>
      <c r="P9" s="276">
        <f t="shared" ref="P9:P11" si="5">(P8-O8)/P8</f>
        <v>0.33959101575595035</v>
      </c>
      <c r="Q9" s="276">
        <f t="shared" ref="Q9" si="6">(Q8-P8)/Q8</f>
        <v>0.51970373948395931</v>
      </c>
      <c r="R9" s="276">
        <f t="shared" ref="R9" si="7">(R8-Q8)/R8</f>
        <v>0.16846298031865037</v>
      </c>
      <c r="S9" s="276">
        <f t="shared" ref="S9" si="8">(S8-R8)/S8</f>
        <v>7.2173913043478283E-2</v>
      </c>
      <c r="T9" s="276"/>
      <c r="U9" s="325">
        <v>9.8299999999999998E-2</v>
      </c>
      <c r="V9" s="325">
        <v>8.9200000000000002E-2</v>
      </c>
      <c r="W9" s="325">
        <v>8.5000000000000006E-2</v>
      </c>
      <c r="X9" s="325">
        <v>7.3599999999999999E-2</v>
      </c>
      <c r="Y9" s="325">
        <v>7.0199999999999999E-2</v>
      </c>
      <c r="Z9" s="325">
        <v>6.5799999999999997E-2</v>
      </c>
      <c r="AA9" s="325">
        <v>0.06</v>
      </c>
      <c r="AB9" s="325">
        <v>5.4199999999999998E-2</v>
      </c>
      <c r="AC9" s="325">
        <v>0.05</v>
      </c>
      <c r="AD9" s="325">
        <v>4.5499999999999999E-2</v>
      </c>
      <c r="AH9" s="845" t="s">
        <v>608</v>
      </c>
      <c r="AI9" s="825"/>
      <c r="AJ9" s="825"/>
      <c r="AK9" s="825"/>
      <c r="AL9" s="825"/>
      <c r="AM9" s="826"/>
    </row>
    <row r="10" spans="1:72">
      <c r="B10" s="214" t="s">
        <v>189</v>
      </c>
      <c r="C10" s="274">
        <v>91.52</v>
      </c>
      <c r="D10" s="274">
        <v>101.3</v>
      </c>
      <c r="E10" s="274">
        <v>107.16</v>
      </c>
      <c r="F10" s="274">
        <f>399.55-(C10+D10+E10)</f>
        <v>99.57</v>
      </c>
      <c r="G10" s="274">
        <v>120.97</v>
      </c>
      <c r="H10" s="274">
        <v>137.66999999999999</v>
      </c>
      <c r="I10" s="274">
        <v>147.83000000000001</v>
      </c>
      <c r="J10" s="274">
        <f>545.47-(G10+H10+I10)</f>
        <v>139</v>
      </c>
      <c r="K10" s="274">
        <v>174.05</v>
      </c>
      <c r="L10" s="274">
        <v>183.75</v>
      </c>
      <c r="M10" s="274">
        <v>181.66</v>
      </c>
      <c r="N10" s="274"/>
      <c r="O10" s="274">
        <v>28.08</v>
      </c>
      <c r="P10" s="274">
        <v>82.95</v>
      </c>
      <c r="Q10" s="274">
        <v>264.04000000000002</v>
      </c>
      <c r="R10" s="274">
        <f>SUM(C10:F10)</f>
        <v>399.55</v>
      </c>
      <c r="S10" s="274">
        <f>SUM(G10:J10)</f>
        <v>545.47</v>
      </c>
      <c r="U10" s="310">
        <f>S10*(1+U11)</f>
        <v>686.58308899999997</v>
      </c>
      <c r="V10" s="310">
        <f>U10*(1+V11)</f>
        <v>851.70632190449987</v>
      </c>
      <c r="W10" s="310">
        <f t="shared" ref="W10:AD10" si="9">V10*(1+W11)</f>
        <v>1046.321216459678</v>
      </c>
      <c r="X10" s="310">
        <f t="shared" si="9"/>
        <v>1265.8394076729185</v>
      </c>
      <c r="Y10" s="310">
        <f t="shared" si="9"/>
        <v>1505.9691433084711</v>
      </c>
      <c r="Z10" s="310">
        <f t="shared" si="9"/>
        <v>1753.2492766397222</v>
      </c>
      <c r="AA10" s="310">
        <f t="shared" si="9"/>
        <v>2010.6262704504336</v>
      </c>
      <c r="AB10" s="310">
        <f t="shared" si="9"/>
        <v>2274.4204371335304</v>
      </c>
      <c r="AC10" s="310">
        <f t="shared" si="9"/>
        <v>2521.6499386499454</v>
      </c>
      <c r="AD10" s="310">
        <f t="shared" si="9"/>
        <v>2744.8159582204657</v>
      </c>
      <c r="AH10" s="845"/>
      <c r="AI10" s="825"/>
      <c r="AJ10" s="825"/>
      <c r="AK10" s="825"/>
      <c r="AL10" s="825"/>
      <c r="AM10" s="826"/>
    </row>
    <row r="11" spans="1:72">
      <c r="B11" s="275" t="s">
        <v>605</v>
      </c>
      <c r="C11" s="333"/>
      <c r="D11" s="333">
        <f t="shared" ref="D11:M11" si="10">(D10-C10)/D10</f>
        <v>9.654491609081936E-2</v>
      </c>
      <c r="E11" s="333">
        <f t="shared" si="10"/>
        <v>5.4684583799925343E-2</v>
      </c>
      <c r="F11" s="333">
        <f t="shared" si="10"/>
        <v>-7.6227779451642094E-2</v>
      </c>
      <c r="G11" s="333">
        <f t="shared" si="10"/>
        <v>0.17690336447052993</v>
      </c>
      <c r="H11" s="333">
        <f t="shared" si="10"/>
        <v>0.12130456889663681</v>
      </c>
      <c r="I11" s="333">
        <f t="shared" si="10"/>
        <v>6.8727592504904442E-2</v>
      </c>
      <c r="J11" s="333">
        <f t="shared" si="10"/>
        <v>-6.3525179856115194E-2</v>
      </c>
      <c r="K11" s="333">
        <f t="shared" si="10"/>
        <v>0.20137891410514225</v>
      </c>
      <c r="L11" s="333">
        <f t="shared" si="10"/>
        <v>5.278911564625844E-2</v>
      </c>
      <c r="M11" s="333">
        <f t="shared" si="10"/>
        <v>-1.1505009358141602E-2</v>
      </c>
      <c r="N11" s="333"/>
      <c r="O11" s="333"/>
      <c r="P11" s="333">
        <f t="shared" si="5"/>
        <v>0.66148282097649191</v>
      </c>
      <c r="Q11" s="333">
        <f t="shared" ref="Q11" si="11">(Q10-P10)/Q10</f>
        <v>0.68584305408271484</v>
      </c>
      <c r="R11" s="333">
        <f t="shared" ref="R11" si="12">(R10-Q10)/R10</f>
        <v>0.33915655112000997</v>
      </c>
      <c r="S11" s="333">
        <f t="shared" ref="S11" si="13">(S10-R10)/S10</f>
        <v>0.26751242048141971</v>
      </c>
      <c r="U11" s="325">
        <v>0.25869999999999999</v>
      </c>
      <c r="V11" s="325">
        <v>0.24049999999999999</v>
      </c>
      <c r="W11" s="325">
        <v>0.22850000000000001</v>
      </c>
      <c r="X11" s="325">
        <v>0.20979999999999999</v>
      </c>
      <c r="Y11" s="325">
        <v>0.18970000000000001</v>
      </c>
      <c r="Z11" s="325">
        <v>0.16420000000000001</v>
      </c>
      <c r="AA11" s="325">
        <v>0.14680000000000001</v>
      </c>
      <c r="AB11" s="325">
        <v>0.13120000000000001</v>
      </c>
      <c r="AC11" s="325">
        <v>0.1087</v>
      </c>
      <c r="AD11" s="325">
        <v>8.8499999999999995E-2</v>
      </c>
      <c r="AH11" s="845"/>
      <c r="AI11" s="825"/>
      <c r="AJ11" s="825"/>
      <c r="AK11" s="825"/>
      <c r="AL11" s="825"/>
      <c r="AM11" s="826"/>
    </row>
    <row r="12" spans="1:72">
      <c r="B12" s="214" t="s">
        <v>190</v>
      </c>
      <c r="C12" s="274">
        <v>8.8000000000000007</v>
      </c>
      <c r="D12" s="274">
        <v>7.9</v>
      </c>
      <c r="E12" s="274">
        <v>7.05</v>
      </c>
      <c r="F12" s="274">
        <f>32.19-(C12+D12+E12)</f>
        <v>8.4399999999999942</v>
      </c>
      <c r="G12" s="274">
        <v>9.39</v>
      </c>
      <c r="H12" s="274">
        <v>11.56</v>
      </c>
      <c r="I12" s="274">
        <v>10.98</v>
      </c>
      <c r="J12" s="274">
        <f>41.8-(G12+H12+I12)</f>
        <v>9.8699999999999939</v>
      </c>
      <c r="K12" s="274">
        <v>8.7200000000000006</v>
      </c>
      <c r="L12" s="274">
        <v>7.9</v>
      </c>
      <c r="M12" s="274">
        <v>10.41</v>
      </c>
      <c r="N12" s="274"/>
      <c r="O12" s="274">
        <v>13.77</v>
      </c>
      <c r="P12" s="274">
        <v>19.45</v>
      </c>
      <c r="Q12" s="274">
        <v>35.9</v>
      </c>
      <c r="R12" s="274">
        <f>SUM(C12:F12)</f>
        <v>32.19</v>
      </c>
      <c r="S12" s="274">
        <f>SUM(G12:J12)</f>
        <v>41.8</v>
      </c>
      <c r="U12" s="310">
        <f>S12*(1+U13)</f>
        <v>49.094099999999997</v>
      </c>
      <c r="V12" s="310">
        <f>U12*(1+V13)</f>
        <v>56.301113880000003</v>
      </c>
      <c r="W12" s="310">
        <f t="shared" ref="W12:AD12" si="14">V12*(1+W13)</f>
        <v>62.454825627083999</v>
      </c>
      <c r="X12" s="310">
        <f t="shared" si="14"/>
        <v>67.607348741318432</v>
      </c>
      <c r="Y12" s="310">
        <f t="shared" si="14"/>
        <v>71.143213080489389</v>
      </c>
      <c r="Z12" s="310">
        <f t="shared" si="14"/>
        <v>74.259285813414834</v>
      </c>
      <c r="AA12" s="310">
        <f t="shared" si="14"/>
        <v>76.94004603127911</v>
      </c>
      <c r="AB12" s="310">
        <f t="shared" si="14"/>
        <v>79.194389379995599</v>
      </c>
      <c r="AC12" s="310">
        <f t="shared" si="14"/>
        <v>81.071296408301492</v>
      </c>
      <c r="AD12" s="310">
        <f t="shared" si="14"/>
        <v>82.408972799038466</v>
      </c>
      <c r="AH12" s="845"/>
      <c r="AI12" s="825"/>
      <c r="AJ12" s="825"/>
      <c r="AK12" s="825"/>
      <c r="AL12" s="825"/>
      <c r="AM12" s="826"/>
    </row>
    <row r="13" spans="1:72" s="279" customFormat="1" ht="15" thickBot="1">
      <c r="A13" s="163"/>
      <c r="B13" s="322" t="s">
        <v>605</v>
      </c>
      <c r="C13" s="334"/>
      <c r="D13" s="334">
        <f t="shared" ref="D13" si="15">(D12-C12)/D12</f>
        <v>-0.11392405063291143</v>
      </c>
      <c r="E13" s="334">
        <f t="shared" ref="E13" si="16">(E12-D12)/E12</f>
        <v>-0.1205673758865249</v>
      </c>
      <c r="F13" s="334">
        <f t="shared" ref="F13" si="17">(F12-E12)/F12</f>
        <v>0.16469194312796154</v>
      </c>
      <c r="G13" s="334">
        <f t="shared" ref="G13" si="18">(G12-F12)/G12</f>
        <v>0.10117145899893572</v>
      </c>
      <c r="H13" s="334">
        <f t="shared" ref="H13" si="19">(H12-G12)/H12</f>
        <v>0.18771626297577854</v>
      </c>
      <c r="I13" s="334">
        <f t="shared" ref="I13" si="20">(I12-H12)/I12</f>
        <v>-5.2823315118397093E-2</v>
      </c>
      <c r="J13" s="334">
        <f t="shared" ref="J13" si="21">(J12-I12)/J12</f>
        <v>-0.11246200607902809</v>
      </c>
      <c r="K13" s="334">
        <f t="shared" ref="K13" si="22">(K12-J12)/K12</f>
        <v>-0.13188073394495334</v>
      </c>
      <c r="L13" s="334">
        <f t="shared" ref="L13" si="23">(L12-K12)/L12</f>
        <v>-0.10379746835443041</v>
      </c>
      <c r="M13" s="334">
        <f t="shared" ref="M13" si="24">(M12-L12)/M12</f>
        <v>0.24111431316042264</v>
      </c>
      <c r="N13" s="335"/>
      <c r="O13" s="334"/>
      <c r="P13" s="334">
        <f t="shared" ref="P13" si="25">(P12-O12)/P12</f>
        <v>0.29203084832904885</v>
      </c>
      <c r="Q13" s="334">
        <f t="shared" ref="Q13" si="26">(Q12-P12)/Q12</f>
        <v>0.45821727019498609</v>
      </c>
      <c r="R13" s="334">
        <f t="shared" ref="R13" si="27">(R12-Q12)/R12</f>
        <v>-0.1152531842187015</v>
      </c>
      <c r="S13" s="334">
        <f t="shared" ref="S13" si="28">(S12-R12)/S12</f>
        <v>0.22990430622009569</v>
      </c>
      <c r="T13" s="281"/>
      <c r="U13" s="659">
        <v>0.17449999999999999</v>
      </c>
      <c r="V13" s="659">
        <v>0.14680000000000001</v>
      </c>
      <c r="W13" s="659">
        <v>0.10929999999999999</v>
      </c>
      <c r="X13" s="659">
        <v>8.2500000000000004E-2</v>
      </c>
      <c r="Y13" s="659">
        <v>5.2299999999999999E-2</v>
      </c>
      <c r="Z13" s="659">
        <v>4.3799999999999999E-2</v>
      </c>
      <c r="AA13" s="659">
        <v>3.61E-2</v>
      </c>
      <c r="AB13" s="659">
        <v>2.93E-2</v>
      </c>
      <c r="AC13" s="659">
        <v>2.3699999999999999E-2</v>
      </c>
      <c r="AD13" s="659">
        <v>1.6500000000000001E-2</v>
      </c>
      <c r="AE13" s="163"/>
      <c r="AF13" s="163"/>
      <c r="AG13" s="163"/>
      <c r="AH13" s="845"/>
      <c r="AI13" s="825"/>
      <c r="AJ13" s="825"/>
      <c r="AK13" s="825"/>
      <c r="AL13" s="825"/>
      <c r="AM13" s="826"/>
      <c r="AN13" s="163"/>
      <c r="AO13" s="163"/>
      <c r="AP13" s="163"/>
      <c r="AQ13" s="163"/>
      <c r="AR13" s="163"/>
      <c r="AS13" s="163"/>
      <c r="AT13" s="163"/>
      <c r="AU13" s="163"/>
      <c r="AV13" s="163"/>
      <c r="AW13" s="163"/>
      <c r="AX13" s="163"/>
      <c r="AY13" s="163"/>
      <c r="AZ13" s="163"/>
      <c r="BA13" s="163"/>
      <c r="BB13" s="163"/>
      <c r="BC13" s="163"/>
      <c r="BD13" s="163"/>
      <c r="BE13" s="163"/>
      <c r="BF13" s="163"/>
      <c r="BG13" s="163"/>
      <c r="BH13" s="163"/>
      <c r="BI13" s="163"/>
      <c r="BJ13" s="163"/>
      <c r="BK13" s="163"/>
      <c r="BL13" s="163"/>
      <c r="BM13" s="163"/>
      <c r="BN13" s="163"/>
      <c r="BO13" s="163"/>
      <c r="BP13" s="163"/>
      <c r="BQ13" s="163"/>
      <c r="BR13" s="163"/>
      <c r="BS13" s="163"/>
      <c r="BT13" s="163"/>
    </row>
    <row r="14" spans="1:72" s="280" customFormat="1" ht="15" thickTop="1">
      <c r="A14" s="163"/>
      <c r="B14" s="212" t="s">
        <v>191</v>
      </c>
      <c r="C14" s="321">
        <f t="shared" ref="C14:M14" si="29">SUM(C8:C12)</f>
        <v>173.88</v>
      </c>
      <c r="D14" s="321">
        <f t="shared" si="29"/>
        <v>183.79902981339245</v>
      </c>
      <c r="E14" s="321">
        <f t="shared" si="29"/>
        <v>188.7546845837999</v>
      </c>
      <c r="F14" s="321">
        <f t="shared" si="29"/>
        <v>184.17646967528461</v>
      </c>
      <c r="G14" s="321">
        <f t="shared" si="29"/>
        <v>209.29878447713406</v>
      </c>
      <c r="H14" s="321">
        <f t="shared" si="29"/>
        <v>230.41980901114738</v>
      </c>
      <c r="I14" s="321">
        <f t="shared" si="29"/>
        <v>239.75674935313793</v>
      </c>
      <c r="J14" s="321">
        <f t="shared" si="29"/>
        <v>230.16225232475358</v>
      </c>
      <c r="K14" s="321">
        <f t="shared" si="29"/>
        <v>266.30490550154968</v>
      </c>
      <c r="L14" s="321">
        <f t="shared" si="29"/>
        <v>277.26885879065208</v>
      </c>
      <c r="M14" s="321">
        <f t="shared" si="29"/>
        <v>280.14711184278815</v>
      </c>
      <c r="N14" s="300"/>
      <c r="O14" s="321">
        <f>SUM(O8:O12)</f>
        <v>120.64999999999999</v>
      </c>
      <c r="P14" s="321">
        <f>SUM(P8:P12)</f>
        <v>222.72107383673242</v>
      </c>
      <c r="Q14" s="321">
        <f>SUM(Q8:Q12)</f>
        <v>549.57554679356667</v>
      </c>
      <c r="R14" s="321">
        <f>SUM(R8:R12)</f>
        <v>731.00761953143865</v>
      </c>
      <c r="S14" s="321">
        <f>SUM(S8,S10,S12)</f>
        <v>909.27</v>
      </c>
      <c r="T14" s="266"/>
      <c r="U14" s="321">
        <f>U8+U10+U12</f>
        <v>1089.3297890000001</v>
      </c>
      <c r="V14" s="321">
        <f t="shared" ref="V14:AD14" si="30">V8+V10+V12</f>
        <v>1293.2058477045</v>
      </c>
      <c r="W14" s="321">
        <f t="shared" si="30"/>
        <v>1526.7163190199619</v>
      </c>
      <c r="X14" s="321">
        <f t="shared" si="30"/>
        <v>1782.1474377297204</v>
      </c>
      <c r="Y14" s="321">
        <f t="shared" si="30"/>
        <v>2057.3118255327909</v>
      </c>
      <c r="Z14" s="321">
        <f t="shared" si="30"/>
        <v>2339.3051566666318</v>
      </c>
      <c r="AA14" s="321">
        <f t="shared" si="30"/>
        <v>2630.0707063480168</v>
      </c>
      <c r="AB14" s="321">
        <f t="shared" si="30"/>
        <v>2925.5229543105838</v>
      </c>
      <c r="AC14" s="321">
        <f t="shared" si="30"/>
        <v>3203.2247692451574</v>
      </c>
      <c r="AD14" s="321">
        <f t="shared" si="30"/>
        <v>3455.0513760119197</v>
      </c>
      <c r="AE14" s="163"/>
      <c r="AF14" s="163"/>
      <c r="AG14" s="163"/>
      <c r="AH14" s="845"/>
      <c r="AI14" s="825"/>
      <c r="AJ14" s="825"/>
      <c r="AK14" s="825"/>
      <c r="AL14" s="825"/>
      <c r="AM14" s="826"/>
      <c r="AN14" s="163"/>
      <c r="AO14" s="163"/>
      <c r="AP14" s="163"/>
      <c r="AQ14" s="163"/>
      <c r="AR14" s="163"/>
      <c r="AS14" s="163"/>
      <c r="AT14" s="163"/>
      <c r="AU14" s="163"/>
      <c r="AV14" s="163"/>
      <c r="AW14" s="163"/>
      <c r="AX14" s="163"/>
      <c r="AY14" s="163"/>
      <c r="AZ14" s="163"/>
      <c r="BA14" s="163"/>
      <c r="BB14" s="163"/>
      <c r="BC14" s="163"/>
      <c r="BD14" s="163"/>
      <c r="BE14" s="163"/>
      <c r="BF14" s="163"/>
      <c r="BG14" s="163"/>
      <c r="BH14" s="163"/>
      <c r="BI14" s="163"/>
      <c r="BJ14" s="163"/>
      <c r="BK14" s="163"/>
      <c r="BL14" s="163"/>
      <c r="BM14" s="163"/>
      <c r="BN14" s="163"/>
      <c r="BO14" s="163"/>
      <c r="BP14" s="163"/>
      <c r="BQ14" s="163"/>
      <c r="BR14" s="163"/>
      <c r="BS14" s="163"/>
      <c r="BT14" s="163"/>
    </row>
    <row r="15" spans="1:72" ht="15" thickBot="1">
      <c r="B15" s="323" t="s">
        <v>605</v>
      </c>
      <c r="C15" s="278"/>
      <c r="D15" s="277">
        <f>(D14-C14)/D14</f>
        <v>5.396671475068749E-2</v>
      </c>
      <c r="E15" s="277">
        <f t="shared" ref="E15:M15" si="31">(E14-D14)/E14</f>
        <v>2.6254473002005556E-2</v>
      </c>
      <c r="F15" s="277">
        <f t="shared" si="31"/>
        <v>-2.4857762322119597E-2</v>
      </c>
      <c r="G15" s="277">
        <f t="shared" si="31"/>
        <v>0.12003086814196991</v>
      </c>
      <c r="H15" s="277">
        <f t="shared" si="31"/>
        <v>9.1663232534801339E-2</v>
      </c>
      <c r="I15" s="277">
        <f t="shared" si="31"/>
        <v>3.894338894392569E-2</v>
      </c>
      <c r="J15" s="277">
        <f t="shared" si="31"/>
        <v>-4.1685797438438088E-2</v>
      </c>
      <c r="K15" s="277">
        <f t="shared" si="31"/>
        <v>0.13571906649157006</v>
      </c>
      <c r="L15" s="277">
        <f t="shared" si="31"/>
        <v>3.9542678312029872E-2</v>
      </c>
      <c r="M15" s="277">
        <f t="shared" si="31"/>
        <v>1.0274077191812281E-2</v>
      </c>
      <c r="N15" s="278"/>
      <c r="O15" s="277"/>
      <c r="P15" s="277">
        <f t="shared" ref="P15" si="32">(P14-O14)/P14</f>
        <v>0.45829104573892498</v>
      </c>
      <c r="Q15" s="277">
        <f t="shared" ref="Q15" si="33">(Q14-P14)/Q14</f>
        <v>0.59473984034374872</v>
      </c>
      <c r="R15" s="277">
        <f t="shared" ref="R15" si="34">(R14-Q14)/R14</f>
        <v>0.24819450288926717</v>
      </c>
      <c r="S15" s="277">
        <f t="shared" ref="S15:W15" si="35">(S14-R14)/S14</f>
        <v>0.19604999666607426</v>
      </c>
      <c r="T15" s="324"/>
      <c r="U15" s="277">
        <f>(U14-S14)/U14</f>
        <v>0.16529410176627429</v>
      </c>
      <c r="V15" s="277">
        <f t="shared" si="35"/>
        <v>0.15765166780399986</v>
      </c>
      <c r="W15" s="277">
        <f t="shared" si="35"/>
        <v>0.15294948276007048</v>
      </c>
      <c r="X15" s="277">
        <f t="shared" ref="X15" si="36">(X14-W14)/X14</f>
        <v>0.14332771425194341</v>
      </c>
      <c r="Y15" s="277">
        <f t="shared" ref="Y15" si="37">(Y14-X14)/Y14</f>
        <v>0.13374948045700846</v>
      </c>
      <c r="Z15" s="277">
        <f t="shared" ref="Z15" si="38">(Z14-Y14)/Z14</f>
        <v>0.12054576562198681</v>
      </c>
      <c r="AA15" s="277">
        <f t="shared" ref="AA15" si="39">(AA14-Z14)/AA14</f>
        <v>0.11055427102381112</v>
      </c>
      <c r="AB15" s="277">
        <f t="shared" ref="AB15" si="40">(AB14-AA14)/AB14</f>
        <v>0.10099125953779846</v>
      </c>
      <c r="AC15" s="277">
        <f t="shared" ref="AC15" si="41">(AC14-AB14)/AC14</f>
        <v>8.6694451666597921E-2</v>
      </c>
      <c r="AD15" s="277">
        <f t="shared" ref="AD15" si="42">(AD14-AC14)/AD14</f>
        <v>7.2886501345586219E-2</v>
      </c>
      <c r="AH15" s="878" t="s">
        <v>736</v>
      </c>
      <c r="AI15" s="825"/>
      <c r="AJ15" s="825"/>
      <c r="AK15" s="825"/>
      <c r="AL15" s="825"/>
      <c r="AM15" s="826"/>
    </row>
    <row r="16" spans="1:72" ht="15" thickTop="1">
      <c r="B16" s="214" t="s">
        <v>609</v>
      </c>
      <c r="C16" s="274">
        <v>96.36</v>
      </c>
      <c r="D16" s="274">
        <v>102.23</v>
      </c>
      <c r="E16" s="274">
        <v>102.69</v>
      </c>
      <c r="F16" s="274">
        <f>398.55-(C16+D16+E16)</f>
        <v>97.270000000000039</v>
      </c>
      <c r="G16" s="274">
        <v>121.18</v>
      </c>
      <c r="H16" s="274">
        <v>134.11000000000001</v>
      </c>
      <c r="I16" s="274">
        <v>138.22</v>
      </c>
      <c r="J16" s="274">
        <f>524.02-(G16+H16+I16)</f>
        <v>130.51</v>
      </c>
      <c r="K16" s="274">
        <v>157.88</v>
      </c>
      <c r="L16" s="274">
        <v>162.899</v>
      </c>
      <c r="M16" s="274">
        <v>164.26</v>
      </c>
      <c r="N16" s="274"/>
      <c r="O16" s="274">
        <v>39.67</v>
      </c>
      <c r="P16" s="274">
        <v>94.06</v>
      </c>
      <c r="Q16" s="274">
        <v>277.2</v>
      </c>
      <c r="R16" s="274">
        <f>SUM(C16:F16)</f>
        <v>398.55</v>
      </c>
      <c r="S16" s="274">
        <f>SUM(G16:J16)</f>
        <v>524.02</v>
      </c>
      <c r="U16" s="310">
        <f>U14*U17</f>
        <v>620.37331483550008</v>
      </c>
      <c r="V16" s="310">
        <f>V14*V17</f>
        <v>726.78168640992908</v>
      </c>
      <c r="W16" s="310">
        <f t="shared" ref="W16:AD16" si="43">U14*W17</f>
        <v>604.36016693720001</v>
      </c>
      <c r="X16" s="310">
        <f t="shared" si="43"/>
        <v>709.58204863545916</v>
      </c>
      <c r="Y16" s="310">
        <f t="shared" si="43"/>
        <v>829.31230449164332</v>
      </c>
      <c r="Z16" s="310">
        <f t="shared" si="43"/>
        <v>960.39925419254644</v>
      </c>
      <c r="AA16" s="310">
        <f t="shared" si="43"/>
        <v>1098.6045148345104</v>
      </c>
      <c r="AB16" s="310">
        <f t="shared" si="43"/>
        <v>1238.8960109706481</v>
      </c>
      <c r="AC16" s="310">
        <f t="shared" si="43"/>
        <v>1382.1021561858827</v>
      </c>
      <c r="AD16" s="310">
        <f t="shared" si="43"/>
        <v>1524.1974591958142</v>
      </c>
      <c r="AH16" s="845"/>
      <c r="AI16" s="825"/>
      <c r="AJ16" s="825"/>
      <c r="AK16" s="825"/>
      <c r="AL16" s="825"/>
      <c r="AM16" s="826"/>
    </row>
    <row r="17" spans="2:39">
      <c r="B17" s="275" t="s">
        <v>193</v>
      </c>
      <c r="C17" s="276">
        <f t="shared" ref="C17" si="44">ABS(C16/C$14)</f>
        <v>0.55417529330572812</v>
      </c>
      <c r="D17" s="276">
        <f t="shared" ref="D17" si="45">ABS(D16/D$14)</f>
        <v>0.55620532983113191</v>
      </c>
      <c r="E17" s="276">
        <f t="shared" ref="E17" si="46">ABS(E16/E$14)</f>
        <v>0.54403947762371718</v>
      </c>
      <c r="F17" s="276">
        <f t="shared" ref="F17" si="47">ABS(F16/F$14)</f>
        <v>0.52813478383798718</v>
      </c>
      <c r="G17" s="276">
        <f t="shared" ref="G17" si="48">ABS(G16/G$14)</f>
        <v>0.57898090666283319</v>
      </c>
      <c r="H17" s="276">
        <f t="shared" ref="H17" si="49">ABS(H16/H$14)</f>
        <v>0.58202461227416413</v>
      </c>
      <c r="I17" s="276">
        <f t="shared" ref="I17" si="50">ABS(I16/I$14)</f>
        <v>0.57650097598051608</v>
      </c>
      <c r="J17" s="276">
        <f t="shared" ref="J17" si="51">ABS(J16/J$14)</f>
        <v>0.56703477082703124</v>
      </c>
      <c r="K17" s="276">
        <f t="shared" ref="K17" si="52">ABS(K16/K$14)</f>
        <v>0.59285426869119862</v>
      </c>
      <c r="L17" s="276">
        <f t="shared" ref="L17" si="53">ABS(L16/L$14)</f>
        <v>0.58751278708509624</v>
      </c>
      <c r="M17" s="276">
        <f t="shared" ref="M17" si="54">ABS(M16/M$14)</f>
        <v>0.5863347971696341</v>
      </c>
      <c r="N17" s="276"/>
      <c r="O17" s="276">
        <f t="shared" ref="O17" si="55">ABS(O16/O$14)</f>
        <v>0.32880232076253629</v>
      </c>
      <c r="P17" s="276">
        <f t="shared" ref="P17" si="56">ABS(P16/P$14)</f>
        <v>0.42232195804224387</v>
      </c>
      <c r="Q17" s="276">
        <f t="shared" ref="Q17" si="57">ABS(Q16/Q$14)</f>
        <v>0.50438925388382094</v>
      </c>
      <c r="R17" s="276">
        <f t="shared" ref="R17" si="58">ABS(R16/R$14)</f>
        <v>0.54520635538034834</v>
      </c>
      <c r="S17" s="276">
        <f t="shared" ref="S17" si="59">ABS(S16/S$14)</f>
        <v>0.57630846723195528</v>
      </c>
      <c r="T17" s="294"/>
      <c r="U17" s="659">
        <v>0.56950000000000001</v>
      </c>
      <c r="V17" s="659">
        <v>0.56200000000000006</v>
      </c>
      <c r="W17" s="659">
        <v>0.55479999999999996</v>
      </c>
      <c r="X17" s="659">
        <v>0.54869999999999997</v>
      </c>
      <c r="Y17" s="659">
        <v>0.54320000000000002</v>
      </c>
      <c r="Z17" s="659">
        <v>0.53890000000000005</v>
      </c>
      <c r="AA17" s="659">
        <v>0.53400000000000003</v>
      </c>
      <c r="AB17" s="659">
        <v>0.52959999999999996</v>
      </c>
      <c r="AC17" s="659">
        <v>0.52549999999999997</v>
      </c>
      <c r="AD17" s="659">
        <v>0.52100000000000002</v>
      </c>
      <c r="AH17" s="845"/>
      <c r="AI17" s="825"/>
      <c r="AJ17" s="825"/>
      <c r="AK17" s="825"/>
      <c r="AL17" s="825"/>
      <c r="AM17" s="826"/>
    </row>
    <row r="18" spans="2:39">
      <c r="B18" s="284" t="s">
        <v>194</v>
      </c>
      <c r="C18" s="285">
        <f t="shared" ref="C18" si="60">C14-C16</f>
        <v>77.52</v>
      </c>
      <c r="D18" s="285">
        <f t="shared" ref="D18" si="61">D14-D16</f>
        <v>81.569029813392447</v>
      </c>
      <c r="E18" s="285">
        <f t="shared" ref="E18" si="62">E14-E16</f>
        <v>86.064684583799902</v>
      </c>
      <c r="F18" s="285">
        <f t="shared" ref="F18" si="63">F14-F16</f>
        <v>86.906469675284569</v>
      </c>
      <c r="G18" s="285">
        <f t="shared" ref="G18" si="64">G14-G16</f>
        <v>88.118784477134056</v>
      </c>
      <c r="H18" s="285">
        <f t="shared" ref="H18:K18" si="65">H14-H16</f>
        <v>96.309809011147365</v>
      </c>
      <c r="I18" s="285">
        <f t="shared" si="65"/>
        <v>101.53674935313794</v>
      </c>
      <c r="J18" s="285">
        <f t="shared" si="65"/>
        <v>99.65225232475359</v>
      </c>
      <c r="K18" s="285">
        <f t="shared" si="65"/>
        <v>108.42490550154969</v>
      </c>
      <c r="L18" s="285">
        <f>L14-L16</f>
        <v>114.36985879065207</v>
      </c>
      <c r="M18" s="285">
        <f>M14-M16</f>
        <v>115.88711184278816</v>
      </c>
      <c r="N18" s="285"/>
      <c r="O18" s="285">
        <f>O14-O16</f>
        <v>80.97999999999999</v>
      </c>
      <c r="P18" s="285">
        <f t="shared" ref="P18" si="66">P14-P16</f>
        <v>128.66107383673241</v>
      </c>
      <c r="Q18" s="285">
        <f t="shared" ref="Q18" si="67">Q14-Q16</f>
        <v>272.37554679356668</v>
      </c>
      <c r="R18" s="285">
        <f t="shared" ref="R18" si="68">R14-R16</f>
        <v>332.45761953143864</v>
      </c>
      <c r="S18" s="285">
        <f>S14-S16</f>
        <v>385.25</v>
      </c>
      <c r="T18" s="285"/>
      <c r="U18" s="285">
        <f t="shared" ref="U18:AD18" si="69">U14-U16</f>
        <v>468.95647416450004</v>
      </c>
      <c r="V18" s="285">
        <f t="shared" si="69"/>
        <v>566.42416129457092</v>
      </c>
      <c r="W18" s="285">
        <f t="shared" si="69"/>
        <v>922.35615208276192</v>
      </c>
      <c r="X18" s="285">
        <f t="shared" si="69"/>
        <v>1072.5653890942613</v>
      </c>
      <c r="Y18" s="285">
        <f t="shared" si="69"/>
        <v>1227.9995210411475</v>
      </c>
      <c r="Z18" s="285">
        <f t="shared" si="69"/>
        <v>1378.9059024740855</v>
      </c>
      <c r="AA18" s="285">
        <f t="shared" si="69"/>
        <v>1531.4661915135064</v>
      </c>
      <c r="AB18" s="285">
        <f t="shared" si="69"/>
        <v>1686.6269433399357</v>
      </c>
      <c r="AC18" s="285">
        <f t="shared" si="69"/>
        <v>1821.1226130592747</v>
      </c>
      <c r="AD18" s="285">
        <f t="shared" si="69"/>
        <v>1930.8539168161055</v>
      </c>
      <c r="AH18" s="845"/>
      <c r="AI18" s="825"/>
      <c r="AJ18" s="825"/>
      <c r="AK18" s="825"/>
      <c r="AL18" s="825"/>
      <c r="AM18" s="826"/>
    </row>
    <row r="19" spans="2:39">
      <c r="B19" s="214" t="s">
        <v>195</v>
      </c>
      <c r="C19" s="274">
        <v>35.64</v>
      </c>
      <c r="D19" s="274">
        <v>36.6</v>
      </c>
      <c r="E19" s="274">
        <v>37.409999999999997</v>
      </c>
      <c r="F19" s="274">
        <f>140.44-(C19+D19+E19)</f>
        <v>30.789999999999992</v>
      </c>
      <c r="G19" s="274">
        <v>34.04</v>
      </c>
      <c r="H19" s="274">
        <v>33.08</v>
      </c>
      <c r="I19" s="274">
        <v>34.68</v>
      </c>
      <c r="J19" s="274">
        <f>129.42-(G19+H19+I19)</f>
        <v>27.619999999999976</v>
      </c>
      <c r="K19" s="274">
        <v>27.47</v>
      </c>
      <c r="L19" s="274">
        <v>30.52</v>
      </c>
      <c r="M19" s="274">
        <v>32.15</v>
      </c>
      <c r="N19" s="274"/>
      <c r="O19" s="274">
        <v>32.75</v>
      </c>
      <c r="P19" s="274">
        <v>55.3</v>
      </c>
      <c r="Q19" s="274">
        <v>121.15</v>
      </c>
      <c r="R19" s="274">
        <f>SUM(C19:F19)</f>
        <v>140.44</v>
      </c>
      <c r="S19" s="274">
        <f>SUM(G19:J19)</f>
        <v>129.41999999999999</v>
      </c>
      <c r="T19" s="274"/>
      <c r="U19" s="310">
        <f>U14*U20</f>
        <v>163.39946835000001</v>
      </c>
      <c r="V19" s="310">
        <f t="shared" ref="V19:AD19" si="70">V14*V20</f>
        <v>192.04106838411823</v>
      </c>
      <c r="W19" s="310">
        <f t="shared" si="70"/>
        <v>220.1524932026785</v>
      </c>
      <c r="X19" s="310">
        <f t="shared" si="70"/>
        <v>255.73815731421487</v>
      </c>
      <c r="Y19" s="310">
        <f t="shared" si="70"/>
        <v>288.02365557459075</v>
      </c>
      <c r="Z19" s="310">
        <f t="shared" si="70"/>
        <v>326.33306935499519</v>
      </c>
      <c r="AA19" s="310">
        <f t="shared" si="70"/>
        <v>364.26479282920036</v>
      </c>
      <c r="AB19" s="310">
        <f t="shared" si="70"/>
        <v>402.2594062177053</v>
      </c>
      <c r="AC19" s="310">
        <f t="shared" si="70"/>
        <v>432.4353438480963</v>
      </c>
      <c r="AD19" s="310">
        <f t="shared" si="70"/>
        <v>466.43193576160917</v>
      </c>
      <c r="AH19" s="845"/>
      <c r="AI19" s="825"/>
      <c r="AJ19" s="825"/>
      <c r="AK19" s="825"/>
      <c r="AL19" s="825"/>
      <c r="AM19" s="826"/>
    </row>
    <row r="20" spans="2:39">
      <c r="B20" s="275" t="s">
        <v>193</v>
      </c>
      <c r="C20" s="276">
        <f t="shared" ref="C20" si="71">ABS(C19/C$14)</f>
        <v>0.20496894409937888</v>
      </c>
      <c r="D20" s="276">
        <f t="shared" ref="D20" si="72">ABS(D19/D$14)</f>
        <v>0.19913053968325764</v>
      </c>
      <c r="E20" s="276">
        <f t="shared" ref="E20" si="73">ABS(E19/E$14)</f>
        <v>0.19819375652841814</v>
      </c>
      <c r="F20" s="276">
        <f t="shared" ref="F20" si="74">ABS(F19/F$14)</f>
        <v>0.16717662171657874</v>
      </c>
      <c r="G20" s="276">
        <f t="shared" ref="G20" si="75">ABS(G19/G$14)</f>
        <v>0.16263830716952338</v>
      </c>
      <c r="H20" s="276">
        <f t="shared" ref="H20" si="76">ABS(H19/H$14)</f>
        <v>0.14356404573879164</v>
      </c>
      <c r="I20" s="276">
        <f t="shared" ref="I20" si="77">ABS(I19/I$14)</f>
        <v>0.1446466057517313</v>
      </c>
      <c r="J20" s="276">
        <f t="shared" ref="J20" si="78">ABS(J19/J$14)</f>
        <v>0.12000230151132167</v>
      </c>
      <c r="K20" s="276">
        <f t="shared" ref="K20" si="79">ABS(K19/K$14)</f>
        <v>0.10315243704679013</v>
      </c>
      <c r="L20" s="276">
        <f t="shared" ref="L20" si="80">ABS(L19/L$14)</f>
        <v>0.11007366688461646</v>
      </c>
      <c r="M20" s="276">
        <f t="shared" ref="M20" si="81">ABS(M19/M$14)</f>
        <v>0.11476113313651368</v>
      </c>
      <c r="N20" s="276"/>
      <c r="O20" s="276">
        <f t="shared" ref="O20" si="82">ABS(O19/O$14)</f>
        <v>0.27144633236634896</v>
      </c>
      <c r="P20" s="276">
        <f t="shared" ref="P20" si="83">ABS(P19/P$14)</f>
        <v>0.2482926247048276</v>
      </c>
      <c r="Q20" s="276">
        <f t="shared" ref="Q20" si="84">ABS(Q19/Q$14)</f>
        <v>0.22044285031755018</v>
      </c>
      <c r="R20" s="276">
        <f t="shared" ref="R20" si="85">ABS(R19/R$14)</f>
        <v>0.19211838050336499</v>
      </c>
      <c r="S20" s="276">
        <f t="shared" ref="S20" si="86">ABS(S19/S$14)</f>
        <v>0.14233396020983866</v>
      </c>
      <c r="T20" s="276"/>
      <c r="U20" s="659">
        <v>0.15</v>
      </c>
      <c r="V20" s="325">
        <v>0.14849999999999999</v>
      </c>
      <c r="W20" s="325">
        <v>0.14419999999999999</v>
      </c>
      <c r="X20" s="325">
        <v>0.14349999999999999</v>
      </c>
      <c r="Y20" s="325">
        <v>0.14000000000000001</v>
      </c>
      <c r="Z20" s="325">
        <v>0.13950000000000001</v>
      </c>
      <c r="AA20" s="325">
        <v>0.13850000000000001</v>
      </c>
      <c r="AB20" s="325">
        <v>0.13750000000000001</v>
      </c>
      <c r="AC20" s="325">
        <v>0.13500000000000001</v>
      </c>
      <c r="AD20" s="325">
        <v>0.13500000000000001</v>
      </c>
      <c r="AH20" s="845"/>
      <c r="AI20" s="825"/>
      <c r="AJ20" s="825"/>
      <c r="AK20" s="825"/>
      <c r="AL20" s="825"/>
      <c r="AM20" s="826"/>
    </row>
    <row r="21" spans="2:39">
      <c r="B21" s="286" t="s">
        <v>196</v>
      </c>
      <c r="C21" s="287">
        <v>68.644999999999996</v>
      </c>
      <c r="D21" s="287">
        <v>64.337000000000003</v>
      </c>
      <c r="E21" s="287">
        <v>60.505000000000003</v>
      </c>
      <c r="F21" s="287">
        <v>56.884</v>
      </c>
      <c r="G21" s="287">
        <v>55.287999999999997</v>
      </c>
      <c r="H21" s="287">
        <v>60.29</v>
      </c>
      <c r="I21" s="287">
        <v>60.908000000000001</v>
      </c>
      <c r="J21" s="287">
        <v>57.804000000000002</v>
      </c>
      <c r="K21" s="287">
        <v>57.07</v>
      </c>
      <c r="L21" s="287">
        <v>65.680999999999997</v>
      </c>
      <c r="M21" s="287">
        <v>54.012</v>
      </c>
      <c r="N21" s="288"/>
      <c r="O21" s="289">
        <v>61.122</v>
      </c>
      <c r="P21" s="289">
        <v>96.9</v>
      </c>
      <c r="Q21" s="289">
        <v>216.65899999999999</v>
      </c>
      <c r="R21" s="289">
        <v>250.37100000000001</v>
      </c>
      <c r="S21" s="289">
        <v>234.29</v>
      </c>
      <c r="T21" s="289"/>
      <c r="U21" s="289">
        <f>U14*U22</f>
        <v>294.77264090340003</v>
      </c>
      <c r="V21" s="289">
        <f t="shared" ref="V21:AD21" si="87">V14*V22</f>
        <v>333.00050578390875</v>
      </c>
      <c r="W21" s="289">
        <f t="shared" si="87"/>
        <v>370.22870736234074</v>
      </c>
      <c r="X21" s="289">
        <f t="shared" si="87"/>
        <v>419.16107735403023</v>
      </c>
      <c r="Y21" s="289">
        <f t="shared" si="87"/>
        <v>469.27282740402961</v>
      </c>
      <c r="Z21" s="289">
        <f t="shared" si="87"/>
        <v>517.68823117032559</v>
      </c>
      <c r="AA21" s="289">
        <f t="shared" si="87"/>
        <v>564.67618065291924</v>
      </c>
      <c r="AB21" s="289">
        <f t="shared" si="87"/>
        <v>609.09387908746351</v>
      </c>
      <c r="AC21" s="289">
        <f t="shared" si="87"/>
        <v>656.66107769525718</v>
      </c>
      <c r="AD21" s="289">
        <f t="shared" si="87"/>
        <v>691.01027520238404</v>
      </c>
      <c r="AH21" s="878" t="s">
        <v>735</v>
      </c>
      <c r="AI21" s="825"/>
      <c r="AJ21" s="825"/>
      <c r="AK21" s="825"/>
      <c r="AL21" s="825"/>
      <c r="AM21" s="826"/>
    </row>
    <row r="22" spans="2:39">
      <c r="B22" s="275" t="s">
        <v>193</v>
      </c>
      <c r="C22" s="283">
        <f t="shared" ref="C22" si="88">ABS(C21/C$14)</f>
        <v>0.39478375891419371</v>
      </c>
      <c r="D22" s="283">
        <f t="shared" ref="D22" si="89">ABS(D21/D$14)</f>
        <v>0.35003993255742477</v>
      </c>
      <c r="E22" s="283">
        <f t="shared" ref="E22" si="90">ABS(E21/E$14)</f>
        <v>0.32054833570574554</v>
      </c>
      <c r="F22" s="283">
        <f t="shared" ref="F22" si="91">ABS(F21/F$14)</f>
        <v>0.30885595809437699</v>
      </c>
      <c r="G22" s="283">
        <f t="shared" ref="G22" si="92">ABS(G21/G$14)</f>
        <v>0.26415824696793794</v>
      </c>
      <c r="H22" s="283">
        <f t="shared" ref="H22" si="93">ABS(H21/H$14)</f>
        <v>0.2616528511968485</v>
      </c>
      <c r="I22" s="283">
        <f t="shared" ref="I22" si="94">ABS(I21/I$14)</f>
        <v>0.25404081496904413</v>
      </c>
      <c r="J22" s="283">
        <f t="shared" ref="J22" si="95">ABS(J21/J$14)</f>
        <v>0.25114457047648242</v>
      </c>
      <c r="K22" s="283">
        <f t="shared" ref="K22" si="96">ABS(K21/K$14)</f>
        <v>0.21430322469094695</v>
      </c>
      <c r="L22" s="283">
        <f t="shared" ref="L22" si="97">ABS(L21/L$14)</f>
        <v>0.23688560008677897</v>
      </c>
      <c r="M22" s="283">
        <f t="shared" ref="M22" si="98">ABS(M21/M$14)</f>
        <v>0.19279870366934299</v>
      </c>
      <c r="N22" s="283"/>
      <c r="O22" s="276">
        <f>ABS(O21/O$14)</f>
        <v>0.506605884790717</v>
      </c>
      <c r="P22" s="276">
        <f>ABS(P21/P$14)</f>
        <v>0.43507333334354065</v>
      </c>
      <c r="Q22" s="276">
        <f t="shared" ref="Q22" si="99">ABS(Q21/Q$14)</f>
        <v>0.39422969465084684</v>
      </c>
      <c r="R22" s="276">
        <f>ABS(R21/R$14)</f>
        <v>0.34250121792230132</v>
      </c>
      <c r="S22" s="276">
        <f t="shared" ref="S22" si="100">ABS(S21/S$14)</f>
        <v>0.25766823935684668</v>
      </c>
      <c r="T22" s="276"/>
      <c r="U22" s="325">
        <v>0.27060000000000001</v>
      </c>
      <c r="V22" s="325">
        <v>0.25750000000000001</v>
      </c>
      <c r="W22" s="325">
        <v>0.24249999999999999</v>
      </c>
      <c r="X22" s="325">
        <v>0.23519999999999999</v>
      </c>
      <c r="Y22" s="325">
        <v>0.2281</v>
      </c>
      <c r="Z22" s="325">
        <v>0.2213</v>
      </c>
      <c r="AA22" s="325">
        <v>0.2147</v>
      </c>
      <c r="AB22" s="325">
        <v>0.2082</v>
      </c>
      <c r="AC22" s="325">
        <v>0.20499999999999999</v>
      </c>
      <c r="AD22" s="325">
        <v>0.2</v>
      </c>
      <c r="AH22" s="845"/>
      <c r="AI22" s="825"/>
      <c r="AJ22" s="825"/>
      <c r="AK22" s="825"/>
      <c r="AL22" s="825"/>
      <c r="AM22" s="826"/>
    </row>
    <row r="23" spans="2:39">
      <c r="B23" s="286" t="s">
        <v>197</v>
      </c>
      <c r="C23" s="288">
        <v>30.239000000000001</v>
      </c>
      <c r="D23" s="288">
        <v>25.132000000000001</v>
      </c>
      <c r="E23" s="288">
        <v>28.428999999999998</v>
      </c>
      <c r="F23" s="288">
        <v>22.138999999999999</v>
      </c>
      <c r="G23" s="288">
        <v>24.943999999999999</v>
      </c>
      <c r="H23" s="288">
        <v>26.324000000000002</v>
      </c>
      <c r="I23" s="288">
        <v>29.934000000000001</v>
      </c>
      <c r="J23" s="288">
        <v>22.54</v>
      </c>
      <c r="K23" s="288">
        <v>31.856000000000002</v>
      </c>
      <c r="L23" s="288">
        <v>31.247</v>
      </c>
      <c r="M23" s="288">
        <v>29.459</v>
      </c>
      <c r="N23" s="290"/>
      <c r="O23" s="291">
        <v>13.79</v>
      </c>
      <c r="P23" s="291">
        <v>21.344999999999999</v>
      </c>
      <c r="Q23" s="291">
        <v>53.034999999999997</v>
      </c>
      <c r="R23" s="291">
        <v>95.253</v>
      </c>
      <c r="S23" s="291">
        <v>105.93899999999999</v>
      </c>
      <c r="T23" s="291"/>
      <c r="U23" s="337">
        <f>U14*U24</f>
        <v>138.34488320300002</v>
      </c>
      <c r="V23" s="337">
        <f t="shared" ref="V23:AD23" si="101">V14*V24</f>
        <v>164.2371426584715</v>
      </c>
      <c r="W23" s="337">
        <f t="shared" si="101"/>
        <v>193.89297251553518</v>
      </c>
      <c r="X23" s="337">
        <f t="shared" si="101"/>
        <v>213.85769252756646</v>
      </c>
      <c r="Y23" s="337">
        <f t="shared" si="101"/>
        <v>242.14560186520947</v>
      </c>
      <c r="Z23" s="337">
        <f t="shared" si="101"/>
        <v>275.33621693966256</v>
      </c>
      <c r="AA23" s="337">
        <f t="shared" si="101"/>
        <v>289.30777769828182</v>
      </c>
      <c r="AB23" s="337">
        <f t="shared" si="101"/>
        <v>321.80752497416421</v>
      </c>
      <c r="AC23" s="337">
        <f t="shared" si="101"/>
        <v>352.3547246169673</v>
      </c>
      <c r="AD23" s="337">
        <f t="shared" si="101"/>
        <v>380.05565136131116</v>
      </c>
      <c r="AH23" s="845"/>
      <c r="AI23" s="825"/>
      <c r="AJ23" s="825"/>
      <c r="AK23" s="825"/>
      <c r="AL23" s="825"/>
      <c r="AM23" s="826"/>
    </row>
    <row r="24" spans="2:39">
      <c r="B24" s="275" t="s">
        <v>193</v>
      </c>
      <c r="C24" s="283">
        <f t="shared" ref="C24" si="102">ABS(C23/C$14)</f>
        <v>0.17390729238555327</v>
      </c>
      <c r="D24" s="283">
        <f t="shared" ref="D24" si="103">ABS(D23/D$14)</f>
        <v>0.13673630391583691</v>
      </c>
      <c r="E24" s="283">
        <f t="shared" ref="E24" si="104">ABS(E23/E$14)</f>
        <v>0.15061348046902964</v>
      </c>
      <c r="F24" s="283">
        <f t="shared" ref="F24" si="105">ABS(F23/F$14)</f>
        <v>0.12020536629371022</v>
      </c>
      <c r="G24" s="283">
        <f t="shared" ref="G24" si="106">ABS(G23/G$14)</f>
        <v>0.11917890523021712</v>
      </c>
      <c r="H24" s="283">
        <f t="shared" ref="H24" si="107">ABS(H23/H$14)</f>
        <v>0.11424364994038548</v>
      </c>
      <c r="I24" s="283">
        <f t="shared" ref="I24" si="108">ABS(I23/I$14)</f>
        <v>0.12485154257705665</v>
      </c>
      <c r="J24" s="283">
        <f t="shared" ref="J24" si="109">ABS(J23/J$14)</f>
        <v>9.7930915136321239E-2</v>
      </c>
      <c r="K24" s="283">
        <f t="shared" ref="K24" si="110">ABS(K23/K$14)</f>
        <v>0.11962228010784662</v>
      </c>
      <c r="L24" s="283">
        <f t="shared" ref="L24" si="111">ABS(L23/L$14)</f>
        <v>0.1126956706796727</v>
      </c>
      <c r="M24" s="283">
        <f t="shared" ref="M24" si="112">ABS(M23/M$14)</f>
        <v>0.10515546566309662</v>
      </c>
      <c r="N24" s="283"/>
      <c r="O24" s="276">
        <f>ABS(O23/O$14)</f>
        <v>0.1142975549108993</v>
      </c>
      <c r="P24" s="276">
        <f t="shared" ref="P24:S24" si="113">ABS(P23/P$14)</f>
        <v>9.5837361199358859E-2</v>
      </c>
      <c r="Q24" s="276">
        <f t="shared" si="113"/>
        <v>9.6501746319366671E-2</v>
      </c>
      <c r="R24" s="276">
        <f t="shared" si="113"/>
        <v>0.13030370334724456</v>
      </c>
      <c r="S24" s="276">
        <f t="shared" si="113"/>
        <v>0.11650994754033454</v>
      </c>
      <c r="T24" s="276"/>
      <c r="U24" s="325">
        <v>0.127</v>
      </c>
      <c r="V24" s="325">
        <v>0.127</v>
      </c>
      <c r="W24" s="325">
        <v>0.127</v>
      </c>
      <c r="X24" s="325">
        <v>0.12</v>
      </c>
      <c r="Y24" s="325">
        <v>0.1177</v>
      </c>
      <c r="Z24" s="325">
        <v>0.1177</v>
      </c>
      <c r="AA24" s="325">
        <v>0.11</v>
      </c>
      <c r="AB24" s="325">
        <v>0.11</v>
      </c>
      <c r="AC24" s="325">
        <v>0.11</v>
      </c>
      <c r="AD24" s="325">
        <v>0.11</v>
      </c>
      <c r="AH24" s="845"/>
      <c r="AI24" s="825"/>
      <c r="AJ24" s="825"/>
      <c r="AK24" s="825"/>
      <c r="AL24" s="825"/>
      <c r="AM24" s="826"/>
    </row>
    <row r="25" spans="2:39">
      <c r="B25" s="286" t="s">
        <v>198</v>
      </c>
      <c r="C25" s="292">
        <f>30.24+68.65</f>
        <v>98.89</v>
      </c>
      <c r="D25" s="292">
        <f>25.13+64.34</f>
        <v>89.47</v>
      </c>
      <c r="E25" s="292">
        <f>28.43+60.51</f>
        <v>88.94</v>
      </c>
      <c r="F25" s="292">
        <f>(105.94+250.37)-(C25+D25+E25)</f>
        <v>79.009999999999991</v>
      </c>
      <c r="G25" s="292">
        <f>24.94+55.29</f>
        <v>80.23</v>
      </c>
      <c r="H25" s="292">
        <f>26.32+60.29</f>
        <v>86.61</v>
      </c>
      <c r="I25" s="292">
        <f>29.93+60.91</f>
        <v>90.84</v>
      </c>
      <c r="J25" s="292">
        <f>(103.74+234.29)-(G25+H25+I25)</f>
        <v>80.349999999999966</v>
      </c>
      <c r="K25" s="292">
        <f>31.86+57.07</f>
        <v>88.93</v>
      </c>
      <c r="L25" s="292">
        <f>31.25+65.68</f>
        <v>96.93</v>
      </c>
      <c r="M25" s="292">
        <f>29.46+54.01</f>
        <v>83.47</v>
      </c>
      <c r="N25" s="290"/>
      <c r="O25" s="291">
        <f>O$23+O$21</f>
        <v>74.912000000000006</v>
      </c>
      <c r="P25" s="291">
        <f t="shared" ref="P25:R25" si="114">P$23+P$21</f>
        <v>118.245</v>
      </c>
      <c r="Q25" s="291">
        <f t="shared" si="114"/>
        <v>269.69399999999996</v>
      </c>
      <c r="R25" s="291">
        <f t="shared" si="114"/>
        <v>345.62400000000002</v>
      </c>
      <c r="S25" s="291">
        <f>S$23+S$21</f>
        <v>340.22899999999998</v>
      </c>
      <c r="T25" s="291"/>
      <c r="U25" s="338">
        <f>U$23+U$21</f>
        <v>433.11752410640008</v>
      </c>
      <c r="V25" s="338">
        <f t="shared" ref="V25:AD25" si="115">V$23+V$21</f>
        <v>497.23764844238025</v>
      </c>
      <c r="W25" s="338">
        <f t="shared" si="115"/>
        <v>564.12167987787598</v>
      </c>
      <c r="X25" s="338">
        <f t="shared" si="115"/>
        <v>633.01876988159665</v>
      </c>
      <c r="Y25" s="338">
        <f t="shared" si="115"/>
        <v>711.41842926923914</v>
      </c>
      <c r="Z25" s="338">
        <f t="shared" si="115"/>
        <v>793.02444810998816</v>
      </c>
      <c r="AA25" s="338">
        <f t="shared" si="115"/>
        <v>853.98395835120107</v>
      </c>
      <c r="AB25" s="338">
        <f t="shared" si="115"/>
        <v>930.90140406162777</v>
      </c>
      <c r="AC25" s="338">
        <f t="shared" si="115"/>
        <v>1009.0158023122244</v>
      </c>
      <c r="AD25" s="338">
        <f t="shared" si="115"/>
        <v>1071.0659265636953</v>
      </c>
      <c r="AH25" s="845"/>
      <c r="AI25" s="825"/>
      <c r="AJ25" s="825"/>
      <c r="AK25" s="825"/>
      <c r="AL25" s="825"/>
      <c r="AM25" s="826"/>
    </row>
    <row r="26" spans="2:39">
      <c r="B26" s="293" t="s">
        <v>193</v>
      </c>
      <c r="C26" s="294">
        <f t="shared" ref="C26" si="116">ABS(C25/C$14)</f>
        <v>0.56872555785599266</v>
      </c>
      <c r="D26" s="294">
        <f t="shared" ref="D26" si="117">ABS(D25/D$14)</f>
        <v>0.48678167719838966</v>
      </c>
      <c r="E26" s="294">
        <f t="shared" ref="E26" si="118">ABS(E25/E$14)</f>
        <v>0.47119360346531702</v>
      </c>
      <c r="F26" s="294">
        <f t="shared" ref="F26" si="119">ABS(F25/F$14)</f>
        <v>0.42899073990993469</v>
      </c>
      <c r="G26" s="294">
        <f t="shared" ref="G26" si="120">ABS(G25/G$14)</f>
        <v>0.38332759648093012</v>
      </c>
      <c r="H26" s="294">
        <f t="shared" ref="H26" si="121">ABS(H25/H$14)</f>
        <v>0.37587914151864404</v>
      </c>
      <c r="I26" s="294">
        <f t="shared" ref="I26" si="122">ABS(I25/I$14)</f>
        <v>0.37888401575799513</v>
      </c>
      <c r="J26" s="294">
        <f t="shared" ref="J26" si="123">ABS(J25/J$14)</f>
        <v>0.34910155417938815</v>
      </c>
      <c r="K26" s="294">
        <f t="shared" ref="K26" si="124">ABS(K25/K$14)</f>
        <v>0.33394052517550227</v>
      </c>
      <c r="L26" s="294">
        <f t="shared" ref="L26" si="125">ABS(L25/L$14)</f>
        <v>0.34958848398184389</v>
      </c>
      <c r="M26" s="294">
        <f t="shared" ref="M26" si="126">ABS(M25/M$14)</f>
        <v>0.29795059977930938</v>
      </c>
      <c r="N26" s="294"/>
      <c r="O26" s="295">
        <f>ABS(O25/O$14)</f>
        <v>0.62090343970161632</v>
      </c>
      <c r="P26" s="295">
        <f t="shared" ref="P26:R26" si="127">ABS(P25/P$14)</f>
        <v>0.53091069454289952</v>
      </c>
      <c r="Q26" s="295">
        <f t="shared" si="127"/>
        <v>0.49073144097021348</v>
      </c>
      <c r="R26" s="295">
        <f t="shared" si="127"/>
        <v>0.47280492126954593</v>
      </c>
      <c r="S26" s="295">
        <f>ABS(S25/S$14)</f>
        <v>0.37417818689718124</v>
      </c>
      <c r="T26" s="295"/>
      <c r="U26" s="339">
        <f>ABS(U25/U$14)</f>
        <v>0.39760000000000001</v>
      </c>
      <c r="V26" s="339">
        <f t="shared" ref="V26:AD26" si="128">ABS(V25/V$14)</f>
        <v>0.38450000000000001</v>
      </c>
      <c r="W26" s="339">
        <f t="shared" si="128"/>
        <v>0.36950000000000005</v>
      </c>
      <c r="X26" s="339">
        <f t="shared" si="128"/>
        <v>0.35519999999999996</v>
      </c>
      <c r="Y26" s="339">
        <f t="shared" si="128"/>
        <v>0.34580000000000005</v>
      </c>
      <c r="Z26" s="339">
        <f t="shared" si="128"/>
        <v>0.33899999999999997</v>
      </c>
      <c r="AA26" s="339">
        <f t="shared" si="128"/>
        <v>0.32469999999999999</v>
      </c>
      <c r="AB26" s="339">
        <f t="shared" si="128"/>
        <v>0.31819999999999998</v>
      </c>
      <c r="AC26" s="339">
        <f t="shared" si="128"/>
        <v>0.31499999999999995</v>
      </c>
      <c r="AD26" s="339">
        <f t="shared" si="128"/>
        <v>0.31000000000000005</v>
      </c>
      <c r="AH26" s="845"/>
      <c r="AI26" s="825"/>
      <c r="AJ26" s="825"/>
      <c r="AK26" s="825"/>
      <c r="AL26" s="825"/>
      <c r="AM26" s="826"/>
    </row>
    <row r="27" spans="2:39">
      <c r="B27" s="286" t="s">
        <v>199</v>
      </c>
      <c r="C27" s="288">
        <v>1.21</v>
      </c>
      <c r="D27" s="288">
        <v>0.6</v>
      </c>
      <c r="E27" s="288">
        <v>1.32</v>
      </c>
      <c r="F27" s="288">
        <f>28.68-(C27+D27+E27)</f>
        <v>25.55</v>
      </c>
      <c r="G27" s="288">
        <v>0.47</v>
      </c>
      <c r="H27" s="288">
        <v>0.08</v>
      </c>
      <c r="I27" s="288">
        <v>1.23</v>
      </c>
      <c r="J27" s="288">
        <f>7.21-(G27+H27+I27)</f>
        <v>5.43</v>
      </c>
      <c r="K27" s="288">
        <v>9.5399999999999991</v>
      </c>
      <c r="L27" s="288">
        <v>0.16</v>
      </c>
      <c r="M27" s="288">
        <v>6.37</v>
      </c>
      <c r="N27" s="290"/>
      <c r="O27" s="288">
        <v>0</v>
      </c>
      <c r="P27" s="288">
        <v>1.76</v>
      </c>
      <c r="Q27" s="288">
        <v>0.80300000000000005</v>
      </c>
      <c r="R27" s="288">
        <v>28.683</v>
      </c>
      <c r="S27" s="288">
        <v>7.2060000000000004</v>
      </c>
      <c r="T27" s="288"/>
      <c r="U27" s="288">
        <v>0</v>
      </c>
      <c r="V27" s="288">
        <v>0</v>
      </c>
      <c r="W27" s="288">
        <v>0</v>
      </c>
      <c r="X27" s="288">
        <v>0</v>
      </c>
      <c r="Y27" s="288">
        <v>0</v>
      </c>
      <c r="Z27" s="288">
        <v>0</v>
      </c>
      <c r="AA27" s="288">
        <v>0</v>
      </c>
      <c r="AB27" s="288">
        <v>0</v>
      </c>
      <c r="AC27" s="288">
        <v>0</v>
      </c>
      <c r="AD27" s="288">
        <v>0</v>
      </c>
      <c r="AH27" s="857" t="s">
        <v>611</v>
      </c>
      <c r="AI27" s="858"/>
      <c r="AJ27" s="858"/>
      <c r="AK27" s="858"/>
      <c r="AL27" s="858"/>
      <c r="AM27" s="859"/>
    </row>
    <row r="28" spans="2:39">
      <c r="B28" s="275" t="s">
        <v>193</v>
      </c>
      <c r="C28" s="276">
        <f t="shared" ref="C28" si="129">ABS(C27/C$14)</f>
        <v>6.9588221762134804E-3</v>
      </c>
      <c r="D28" s="276">
        <f t="shared" ref="D28" si="130">ABS(D27/D$14)</f>
        <v>3.2644350767747155E-3</v>
      </c>
      <c r="E28" s="276">
        <f t="shared" ref="E28" si="131">ABS(E27/E$14)</f>
        <v>6.9932039192064149E-3</v>
      </c>
      <c r="F28" s="276">
        <f t="shared" ref="F28" si="132">ABS(F27/F$14)</f>
        <v>0.13872564744587815</v>
      </c>
      <c r="G28" s="276">
        <f t="shared" ref="G28" si="133">ABS(G27/G$14)</f>
        <v>2.2455935478753225E-3</v>
      </c>
      <c r="H28" s="276">
        <f t="shared" ref="H28" si="134">ABS(H27/H$14)</f>
        <v>3.4719237179877066E-4</v>
      </c>
      <c r="I28" s="276">
        <f t="shared" ref="I28" si="135">ABS(I27/I$14)</f>
        <v>5.130199684966248E-3</v>
      </c>
      <c r="J28" s="276">
        <f t="shared" ref="J28" si="136">ABS(J27/J$14)</f>
        <v>2.3592052759104896E-2</v>
      </c>
      <c r="K28" s="276">
        <f t="shared" ref="K28" si="137">ABS(K27/K$14)</f>
        <v>3.5823598450177567E-2</v>
      </c>
      <c r="L28" s="276">
        <f t="shared" ref="L28" si="138">ABS(L27/L$14)</f>
        <v>5.7705723137413617E-4</v>
      </c>
      <c r="M28" s="276">
        <f t="shared" ref="M28" si="139">ABS(M27/M$14)</f>
        <v>2.2738053439489647E-2</v>
      </c>
      <c r="N28" s="283"/>
      <c r="O28" s="276">
        <f t="shared" ref="O28" si="140">ABS(O27/O$14)</f>
        <v>0</v>
      </c>
      <c r="P28" s="276">
        <f t="shared" ref="P28" si="141">ABS(P27/P$14)</f>
        <v>7.9022607500993953E-3</v>
      </c>
      <c r="Q28" s="276">
        <f t="shared" ref="Q28" si="142">ABS(Q27/Q$14)</f>
        <v>1.4611276005364654E-3</v>
      </c>
      <c r="R28" s="276">
        <f t="shared" ref="R28" si="143">ABS(R27/R$14)</f>
        <v>3.9237621104941743E-2</v>
      </c>
      <c r="S28" s="276">
        <f t="shared" ref="S28" si="144">ABS(S27/S$14)</f>
        <v>7.9250387673628301E-3</v>
      </c>
      <c r="T28" s="276"/>
      <c r="U28" s="326">
        <v>0</v>
      </c>
      <c r="V28" s="326">
        <v>0</v>
      </c>
      <c r="W28" s="326">
        <v>0</v>
      </c>
      <c r="X28" s="326">
        <v>0</v>
      </c>
      <c r="Y28" s="326">
        <v>0</v>
      </c>
      <c r="Z28" s="326">
        <v>0</v>
      </c>
      <c r="AA28" s="326">
        <v>0</v>
      </c>
      <c r="AB28" s="326">
        <v>0</v>
      </c>
      <c r="AC28" s="326">
        <v>0</v>
      </c>
      <c r="AD28" s="326">
        <v>0</v>
      </c>
      <c r="AH28" s="845" t="s">
        <v>612</v>
      </c>
      <c r="AI28" s="825"/>
      <c r="AJ28" s="825"/>
      <c r="AK28" s="825"/>
      <c r="AL28" s="825"/>
      <c r="AM28" s="826"/>
    </row>
    <row r="29" spans="2:39">
      <c r="B29" s="286" t="s">
        <v>200</v>
      </c>
      <c r="C29" s="288">
        <v>0.443</v>
      </c>
      <c r="D29" s="288">
        <v>2.9000000000000001E-2</v>
      </c>
      <c r="E29" s="288">
        <v>0.96799999999999997</v>
      </c>
      <c r="F29" s="288">
        <v>0.29699999999999999</v>
      </c>
      <c r="G29" s="288">
        <v>0.67100000000000004</v>
      </c>
      <c r="H29" s="288">
        <v>0.68899999999999995</v>
      </c>
      <c r="I29" s="288">
        <v>-0.97899999999999998</v>
      </c>
      <c r="J29" s="288">
        <v>0.501</v>
      </c>
      <c r="K29" s="288">
        <v>8.5000000000000006E-2</v>
      </c>
      <c r="L29" s="288">
        <v>-1.337</v>
      </c>
      <c r="M29" s="288">
        <v>2.5139999999999998</v>
      </c>
      <c r="N29" s="290"/>
      <c r="O29" s="288">
        <v>-0.39500000000000002</v>
      </c>
      <c r="P29" s="288">
        <v>2.0979999999999999</v>
      </c>
      <c r="Q29" s="288">
        <v>0.61099999999999999</v>
      </c>
      <c r="R29" s="288">
        <v>-0.19900000000000001</v>
      </c>
      <c r="S29" s="288">
        <v>0.88200000000000001</v>
      </c>
      <c r="T29" s="288"/>
      <c r="U29" s="288">
        <v>0</v>
      </c>
      <c r="V29" s="288">
        <f>U29*(1+V30)</f>
        <v>0</v>
      </c>
      <c r="W29" s="288">
        <f t="shared" ref="W29:AC29" si="145">V29*(1+W30)</f>
        <v>0</v>
      </c>
      <c r="X29" s="288">
        <f t="shared" si="145"/>
        <v>0</v>
      </c>
      <c r="Y29" s="288">
        <f t="shared" si="145"/>
        <v>0</v>
      </c>
      <c r="Z29" s="288">
        <f t="shared" si="145"/>
        <v>0</v>
      </c>
      <c r="AA29" s="288">
        <f t="shared" si="145"/>
        <v>0</v>
      </c>
      <c r="AB29" s="288">
        <f t="shared" si="145"/>
        <v>0</v>
      </c>
      <c r="AC29" s="288">
        <f t="shared" si="145"/>
        <v>0</v>
      </c>
      <c r="AD29" s="288">
        <f>AC29*(1+AD30)</f>
        <v>0</v>
      </c>
      <c r="AH29" s="845"/>
      <c r="AI29" s="825"/>
      <c r="AJ29" s="825"/>
      <c r="AK29" s="825"/>
      <c r="AL29" s="825"/>
      <c r="AM29" s="826"/>
    </row>
    <row r="30" spans="2:39">
      <c r="B30" s="275" t="s">
        <v>193</v>
      </c>
      <c r="C30" s="276">
        <f t="shared" ref="C30" si="146">ABS(C29/C$14)</f>
        <v>2.5477340694732E-3</v>
      </c>
      <c r="D30" s="276">
        <f t="shared" ref="D30" si="147">ABS(D29/D$14)</f>
        <v>1.5778102871077791E-4</v>
      </c>
      <c r="E30" s="276">
        <f t="shared" ref="E30" si="148">ABS(E29/E$14)</f>
        <v>5.1283495407513707E-3</v>
      </c>
      <c r="F30" s="276">
        <f t="shared" ref="F30" si="149">ABS(F29/F$14)</f>
        <v>1.6125838470225364E-3</v>
      </c>
      <c r="G30" s="276">
        <f t="shared" ref="G30" si="150">ABS(G29/G$14)</f>
        <v>3.2059431289879611E-3</v>
      </c>
      <c r="H30" s="276">
        <f t="shared" ref="H30" si="151">ABS(H29/H$14)</f>
        <v>2.9901943021169116E-3</v>
      </c>
      <c r="I30" s="276">
        <f t="shared" ref="I30" si="152">ABS(I29/I$14)</f>
        <v>4.0833052777089086E-3</v>
      </c>
      <c r="J30" s="276">
        <f t="shared" ref="J30" si="153">ABS(J29/J$14)</f>
        <v>2.1767253098179656E-3</v>
      </c>
      <c r="K30" s="276">
        <f t="shared" ref="K30" si="154">ABS(K29/K$14)</f>
        <v>3.1918300505923413E-4</v>
      </c>
      <c r="L30" s="276">
        <f t="shared" ref="L30" si="155">ABS(L29/L$14)</f>
        <v>4.822034489670125E-3</v>
      </c>
      <c r="M30" s="276">
        <f t="shared" ref="M30" si="156">ABS(M29/M$14)</f>
        <v>8.9738565693684401E-3</v>
      </c>
      <c r="N30" s="283"/>
      <c r="O30" s="276">
        <f t="shared" ref="O30" si="157">ABS(O29/O$14)</f>
        <v>3.2739328636552014E-3</v>
      </c>
      <c r="P30" s="276">
        <f t="shared" ref="P30" si="158">ABS(P29/P$14)</f>
        <v>9.419854007788938E-3</v>
      </c>
      <c r="Q30" s="276">
        <f t="shared" ref="Q30" si="159">ABS(Q29/Q$14)</f>
        <v>1.1117670783658534E-3</v>
      </c>
      <c r="R30" s="276">
        <f t="shared" ref="R30" si="160">ABS(R29/R$14)</f>
        <v>2.7222698462097436E-4</v>
      </c>
      <c r="S30" s="276">
        <f t="shared" ref="S30" si="161">ABS(S29/S$14)</f>
        <v>9.7000890824507579E-4</v>
      </c>
      <c r="T30" s="276"/>
      <c r="U30" s="326">
        <v>0</v>
      </c>
      <c r="V30" s="326">
        <v>0</v>
      </c>
      <c r="W30" s="326">
        <v>0</v>
      </c>
      <c r="X30" s="326">
        <v>0</v>
      </c>
      <c r="Y30" s="326">
        <v>0</v>
      </c>
      <c r="Z30" s="326">
        <v>0</v>
      </c>
      <c r="AA30" s="326">
        <v>0</v>
      </c>
      <c r="AB30" s="326">
        <v>0</v>
      </c>
      <c r="AC30" s="326">
        <v>0</v>
      </c>
      <c r="AD30" s="326">
        <v>0</v>
      </c>
      <c r="AH30" s="845"/>
      <c r="AI30" s="825"/>
      <c r="AJ30" s="825"/>
      <c r="AK30" s="825"/>
      <c r="AL30" s="825"/>
      <c r="AM30" s="826"/>
    </row>
    <row r="31" spans="2:39">
      <c r="B31" s="286" t="s">
        <v>201</v>
      </c>
      <c r="C31" s="288">
        <v>0</v>
      </c>
      <c r="D31" s="288">
        <v>0</v>
      </c>
      <c r="E31" s="288">
        <v>0</v>
      </c>
      <c r="F31" s="288">
        <v>0</v>
      </c>
      <c r="G31" s="288">
        <v>0</v>
      </c>
      <c r="H31" s="288">
        <v>0</v>
      </c>
      <c r="I31" s="288">
        <v>0</v>
      </c>
      <c r="J31" s="288">
        <v>0</v>
      </c>
      <c r="K31" s="288">
        <v>0</v>
      </c>
      <c r="L31" s="288">
        <v>0</v>
      </c>
      <c r="M31" s="288">
        <v>0</v>
      </c>
      <c r="N31" s="290"/>
      <c r="O31" s="288">
        <v>0</v>
      </c>
      <c r="P31" s="288">
        <v>0</v>
      </c>
      <c r="Q31" s="288">
        <v>0</v>
      </c>
      <c r="R31" s="288">
        <f>SUM(C31:F31)</f>
        <v>0</v>
      </c>
      <c r="S31" s="288">
        <f>SUM(G31:J31)</f>
        <v>0</v>
      </c>
      <c r="T31" s="288"/>
      <c r="U31" s="288">
        <f t="shared" ref="U31:AD31" si="162">SUM(I31:L31)</f>
        <v>0</v>
      </c>
      <c r="V31" s="288">
        <f t="shared" si="162"/>
        <v>0</v>
      </c>
      <c r="W31" s="288">
        <f t="shared" si="162"/>
        <v>0</v>
      </c>
      <c r="X31" s="288">
        <f t="shared" si="162"/>
        <v>0</v>
      </c>
      <c r="Y31" s="288">
        <f t="shared" si="162"/>
        <v>0</v>
      </c>
      <c r="Z31" s="288">
        <f t="shared" si="162"/>
        <v>0</v>
      </c>
      <c r="AA31" s="288">
        <f t="shared" si="162"/>
        <v>0</v>
      </c>
      <c r="AB31" s="288">
        <f t="shared" si="162"/>
        <v>0</v>
      </c>
      <c r="AC31" s="288">
        <f t="shared" si="162"/>
        <v>0</v>
      </c>
      <c r="AD31" s="288">
        <f t="shared" si="162"/>
        <v>0</v>
      </c>
      <c r="AH31" s="845"/>
      <c r="AI31" s="825"/>
      <c r="AJ31" s="825"/>
      <c r="AK31" s="825"/>
      <c r="AL31" s="825"/>
      <c r="AM31" s="826"/>
    </row>
    <row r="32" spans="2:39">
      <c r="B32" s="275" t="s">
        <v>193</v>
      </c>
      <c r="C32" s="276">
        <f t="shared" ref="C32:M32" si="163">ABS(C31/C$14)</f>
        <v>0</v>
      </c>
      <c r="D32" s="276">
        <f t="shared" si="163"/>
        <v>0</v>
      </c>
      <c r="E32" s="276">
        <f t="shared" si="163"/>
        <v>0</v>
      </c>
      <c r="F32" s="276">
        <f t="shared" si="163"/>
        <v>0</v>
      </c>
      <c r="G32" s="276">
        <f t="shared" si="163"/>
        <v>0</v>
      </c>
      <c r="H32" s="276">
        <f t="shared" si="163"/>
        <v>0</v>
      </c>
      <c r="I32" s="276">
        <f t="shared" si="163"/>
        <v>0</v>
      </c>
      <c r="J32" s="276">
        <f t="shared" si="163"/>
        <v>0</v>
      </c>
      <c r="K32" s="276">
        <f t="shared" si="163"/>
        <v>0</v>
      </c>
      <c r="L32" s="276">
        <f t="shared" si="163"/>
        <v>0</v>
      </c>
      <c r="M32" s="276">
        <f t="shared" si="163"/>
        <v>0</v>
      </c>
      <c r="N32" s="283"/>
      <c r="O32" s="276">
        <f>ABS(O31/O$14)</f>
        <v>0</v>
      </c>
      <c r="P32" s="276">
        <f>ABS(P31/P$14)</f>
        <v>0</v>
      </c>
      <c r="Q32" s="276">
        <f>ABS(Q31/Q$14)</f>
        <v>0</v>
      </c>
      <c r="R32" s="276">
        <f>ABS(R31/R$14)</f>
        <v>0</v>
      </c>
      <c r="S32" s="276">
        <f>ABS(S31/S$14)</f>
        <v>0</v>
      </c>
      <c r="T32" s="276"/>
      <c r="U32" s="276">
        <f t="shared" ref="U32:AD32" si="164">ABS(U31/U$14)</f>
        <v>0</v>
      </c>
      <c r="V32" s="276">
        <f t="shared" si="164"/>
        <v>0</v>
      </c>
      <c r="W32" s="276">
        <f t="shared" si="164"/>
        <v>0</v>
      </c>
      <c r="X32" s="276">
        <f t="shared" si="164"/>
        <v>0</v>
      </c>
      <c r="Y32" s="276">
        <f t="shared" si="164"/>
        <v>0</v>
      </c>
      <c r="Z32" s="276">
        <f t="shared" si="164"/>
        <v>0</v>
      </c>
      <c r="AA32" s="276">
        <f t="shared" si="164"/>
        <v>0</v>
      </c>
      <c r="AB32" s="276">
        <f t="shared" si="164"/>
        <v>0</v>
      </c>
      <c r="AC32" s="276">
        <f t="shared" si="164"/>
        <v>0</v>
      </c>
      <c r="AD32" s="276">
        <f t="shared" si="164"/>
        <v>0</v>
      </c>
      <c r="AH32" s="845"/>
      <c r="AI32" s="825"/>
      <c r="AJ32" s="825"/>
      <c r="AK32" s="825"/>
      <c r="AL32" s="825"/>
      <c r="AM32" s="826"/>
    </row>
    <row r="33" spans="1:72">
      <c r="B33" s="286" t="s">
        <v>202</v>
      </c>
      <c r="C33" s="288">
        <v>0</v>
      </c>
      <c r="D33" s="288">
        <v>0</v>
      </c>
      <c r="E33" s="288">
        <v>0</v>
      </c>
      <c r="F33" s="288">
        <v>0</v>
      </c>
      <c r="G33" s="288">
        <v>0</v>
      </c>
      <c r="H33" s="288">
        <v>0</v>
      </c>
      <c r="I33" s="288">
        <v>0</v>
      </c>
      <c r="J33" s="288">
        <v>0</v>
      </c>
      <c r="K33" s="288">
        <v>0</v>
      </c>
      <c r="L33" s="288">
        <v>0</v>
      </c>
      <c r="M33" s="288">
        <v>0</v>
      </c>
      <c r="N33" s="290"/>
      <c r="O33" s="288">
        <v>0</v>
      </c>
      <c r="P33" s="288">
        <v>0</v>
      </c>
      <c r="Q33" s="288">
        <v>0</v>
      </c>
      <c r="R33" s="288">
        <v>748.71199999999999</v>
      </c>
      <c r="S33" s="288">
        <f>SUM(G33:J33)</f>
        <v>0</v>
      </c>
      <c r="T33" s="288"/>
      <c r="U33" s="288">
        <v>0</v>
      </c>
      <c r="V33" s="288">
        <f>U33*(1+V34)</f>
        <v>0</v>
      </c>
      <c r="W33" s="288">
        <f t="shared" ref="W33" si="165">V33*(1+W34)</f>
        <v>0</v>
      </c>
      <c r="X33" s="288">
        <f t="shared" ref="X33" si="166">W33*(1+X34)</f>
        <v>0</v>
      </c>
      <c r="Y33" s="288">
        <f t="shared" ref="Y33" si="167">X33*(1+Y34)</f>
        <v>0</v>
      </c>
      <c r="Z33" s="288">
        <f t="shared" ref="Z33" si="168">Y33*(1+Z34)</f>
        <v>0</v>
      </c>
      <c r="AA33" s="288">
        <f t="shared" ref="AA33" si="169">Z33*(1+AA34)</f>
        <v>0</v>
      </c>
      <c r="AB33" s="288">
        <f t="shared" ref="AB33" si="170">AA33*(1+AB34)</f>
        <v>0</v>
      </c>
      <c r="AC33" s="288">
        <f t="shared" ref="AC33" si="171">AB33*(1+AC34)</f>
        <v>0</v>
      </c>
      <c r="AD33" s="288">
        <f>AC33*(1+AD34)</f>
        <v>0</v>
      </c>
      <c r="AH33" s="845"/>
      <c r="AI33" s="825"/>
      <c r="AJ33" s="825"/>
      <c r="AK33" s="825"/>
      <c r="AL33" s="825"/>
      <c r="AM33" s="826"/>
    </row>
    <row r="34" spans="1:72">
      <c r="B34" s="275" t="s">
        <v>193</v>
      </c>
      <c r="C34" s="276">
        <f t="shared" ref="C34:M34" si="172">ABS(C33/C$14)</f>
        <v>0</v>
      </c>
      <c r="D34" s="276">
        <f t="shared" si="172"/>
        <v>0</v>
      </c>
      <c r="E34" s="276">
        <f t="shared" si="172"/>
        <v>0</v>
      </c>
      <c r="F34" s="276">
        <f t="shared" si="172"/>
        <v>0</v>
      </c>
      <c r="G34" s="276">
        <f t="shared" si="172"/>
        <v>0</v>
      </c>
      <c r="H34" s="276">
        <f t="shared" si="172"/>
        <v>0</v>
      </c>
      <c r="I34" s="276">
        <f t="shared" si="172"/>
        <v>0</v>
      </c>
      <c r="J34" s="276">
        <f t="shared" si="172"/>
        <v>0</v>
      </c>
      <c r="K34" s="276">
        <f t="shared" si="172"/>
        <v>0</v>
      </c>
      <c r="L34" s="276">
        <f t="shared" si="172"/>
        <v>0</v>
      </c>
      <c r="M34" s="276">
        <f t="shared" si="172"/>
        <v>0</v>
      </c>
      <c r="N34" s="283"/>
      <c r="O34" s="276">
        <f>ABS(O33/O$14)</f>
        <v>0</v>
      </c>
      <c r="P34" s="276">
        <f>ABS(P33/P$14)</f>
        <v>0</v>
      </c>
      <c r="Q34" s="276">
        <f>ABS(Q33/Q$14)</f>
        <v>0</v>
      </c>
      <c r="R34" s="276">
        <f>ABS(R33/R$14)</f>
        <v>1.0242191462790902</v>
      </c>
      <c r="S34" s="276">
        <f>ABS(S33/S$14)</f>
        <v>0</v>
      </c>
      <c r="T34" s="276"/>
      <c r="U34" s="326">
        <v>0</v>
      </c>
      <c r="V34" s="326">
        <v>0</v>
      </c>
      <c r="W34" s="326">
        <v>0</v>
      </c>
      <c r="X34" s="326">
        <v>0</v>
      </c>
      <c r="Y34" s="326">
        <v>0</v>
      </c>
      <c r="Z34" s="326">
        <v>0</v>
      </c>
      <c r="AA34" s="326">
        <v>0</v>
      </c>
      <c r="AB34" s="326">
        <v>0</v>
      </c>
      <c r="AC34" s="326">
        <v>0</v>
      </c>
      <c r="AD34" s="326">
        <v>0</v>
      </c>
      <c r="AH34" s="857" t="s">
        <v>613</v>
      </c>
      <c r="AI34" s="858"/>
      <c r="AJ34" s="858"/>
      <c r="AK34" s="858"/>
      <c r="AL34" s="858"/>
      <c r="AM34" s="879"/>
    </row>
    <row r="35" spans="1:72">
      <c r="B35" s="286" t="s">
        <v>203</v>
      </c>
      <c r="C35" s="288">
        <v>17.103000000000002</v>
      </c>
      <c r="D35" s="288">
        <v>12.653</v>
      </c>
      <c r="E35" s="288">
        <v>6.29</v>
      </c>
      <c r="F35" s="288">
        <v>5.7460000000000004</v>
      </c>
      <c r="G35" s="288">
        <v>2.5449999999999999</v>
      </c>
      <c r="H35" s="288">
        <v>0.56000000000000005</v>
      </c>
      <c r="I35" s="288">
        <v>0</v>
      </c>
      <c r="J35" s="288">
        <v>0</v>
      </c>
      <c r="K35" s="288">
        <v>0</v>
      </c>
      <c r="L35" s="288">
        <v>5.1999999999999998E-2</v>
      </c>
      <c r="M35" s="288">
        <v>0.157</v>
      </c>
      <c r="N35" s="290"/>
      <c r="O35" s="288">
        <v>11.087</v>
      </c>
      <c r="P35" s="288">
        <v>11.807</v>
      </c>
      <c r="Q35" s="288">
        <v>50.491</v>
      </c>
      <c r="R35" s="288">
        <v>41.792000000000002</v>
      </c>
      <c r="S35" s="288">
        <v>3.105</v>
      </c>
      <c r="T35" s="288"/>
      <c r="U35" s="288">
        <v>0</v>
      </c>
      <c r="V35" s="288">
        <f>U35*(1+V36)</f>
        <v>0</v>
      </c>
      <c r="W35" s="288">
        <f t="shared" ref="W35" si="173">V35*(1+W36)</f>
        <v>0</v>
      </c>
      <c r="X35" s="288">
        <f t="shared" ref="X35" si="174">W35*(1+X36)</f>
        <v>0</v>
      </c>
      <c r="Y35" s="288">
        <f t="shared" ref="Y35" si="175">X35*(1+Y36)</f>
        <v>0</v>
      </c>
      <c r="Z35" s="288">
        <f t="shared" ref="Z35" si="176">Y35*(1+Z36)</f>
        <v>0</v>
      </c>
      <c r="AA35" s="288">
        <f t="shared" ref="AA35" si="177">Z35*(1+AA36)</f>
        <v>0</v>
      </c>
      <c r="AB35" s="288">
        <f t="shared" ref="AB35" si="178">AA35*(1+AB36)</f>
        <v>0</v>
      </c>
      <c r="AC35" s="288">
        <f t="shared" ref="AC35" si="179">AB35*(1+AC36)</f>
        <v>0</v>
      </c>
      <c r="AD35" s="288">
        <f>AC35*(1+AD36)</f>
        <v>0</v>
      </c>
      <c r="AH35" s="878" t="s">
        <v>614</v>
      </c>
      <c r="AI35" s="825"/>
      <c r="AJ35" s="825"/>
      <c r="AK35" s="825"/>
      <c r="AL35" s="825"/>
      <c r="AM35" s="826"/>
    </row>
    <row r="36" spans="1:72">
      <c r="B36" s="275" t="s">
        <v>193</v>
      </c>
      <c r="C36" s="276">
        <f t="shared" ref="C36:M36" si="180">ABS(C35/C$14)</f>
        <v>9.8360938578329893E-2</v>
      </c>
      <c r="D36" s="276">
        <f t="shared" si="180"/>
        <v>6.8841495044050793E-2</v>
      </c>
      <c r="E36" s="276">
        <f t="shared" si="180"/>
        <v>3.3323676251369956E-2</v>
      </c>
      <c r="F36" s="276">
        <f t="shared" si="180"/>
        <v>3.1198339343405709E-2</v>
      </c>
      <c r="G36" s="276">
        <f t="shared" si="180"/>
        <v>1.2159650168814247E-2</v>
      </c>
      <c r="H36" s="276">
        <f t="shared" si="180"/>
        <v>2.4303466025913946E-3</v>
      </c>
      <c r="I36" s="276">
        <f t="shared" si="180"/>
        <v>0</v>
      </c>
      <c r="J36" s="276">
        <f t="shared" si="180"/>
        <v>0</v>
      </c>
      <c r="K36" s="276">
        <f t="shared" si="180"/>
        <v>0</v>
      </c>
      <c r="L36" s="276">
        <f t="shared" si="180"/>
        <v>1.8754360019659425E-4</v>
      </c>
      <c r="M36" s="276">
        <f t="shared" si="180"/>
        <v>5.6041984144425037E-4</v>
      </c>
      <c r="N36" s="283"/>
      <c r="O36" s="276">
        <f>ABS(O35/O$14)</f>
        <v>9.1893907998342322E-2</v>
      </c>
      <c r="P36" s="276">
        <f>ABS(P35/P$14)</f>
        <v>5.301249583887703E-2</v>
      </c>
      <c r="Q36" s="276">
        <f>ABS(Q35/Q$14)</f>
        <v>9.1872719400606068E-2</v>
      </c>
      <c r="R36" s="276">
        <f>ABS(R35/R$14)</f>
        <v>5.7170402719998792E-2</v>
      </c>
      <c r="S36" s="276">
        <f>ABS(S35/S$14)</f>
        <v>3.4148272790260319E-3</v>
      </c>
      <c r="T36" s="276"/>
      <c r="U36" s="326">
        <v>0</v>
      </c>
      <c r="V36" s="326">
        <v>0</v>
      </c>
      <c r="W36" s="326">
        <v>0</v>
      </c>
      <c r="X36" s="326">
        <v>0</v>
      </c>
      <c r="Y36" s="326">
        <v>0</v>
      </c>
      <c r="Z36" s="326">
        <v>0</v>
      </c>
      <c r="AA36" s="326">
        <v>0</v>
      </c>
      <c r="AB36" s="326">
        <v>0</v>
      </c>
      <c r="AC36" s="326">
        <v>0</v>
      </c>
      <c r="AD36" s="326">
        <v>0</v>
      </c>
      <c r="AH36" s="845"/>
      <c r="AI36" s="825"/>
      <c r="AJ36" s="825"/>
      <c r="AK36" s="825"/>
      <c r="AL36" s="825"/>
      <c r="AM36" s="826"/>
    </row>
    <row r="37" spans="1:72">
      <c r="B37" s="296" t="s">
        <v>204</v>
      </c>
      <c r="C37" s="288">
        <f>C29+C31+C33+C35</f>
        <v>17.546000000000003</v>
      </c>
      <c r="D37" s="288">
        <f t="shared" ref="D37:M37" si="181">D29+D31+D33+D35</f>
        <v>12.682</v>
      </c>
      <c r="E37" s="288">
        <f t="shared" si="181"/>
        <v>7.258</v>
      </c>
      <c r="F37" s="288">
        <f t="shared" si="181"/>
        <v>6.0430000000000001</v>
      </c>
      <c r="G37" s="288">
        <f t="shared" si="181"/>
        <v>3.2160000000000002</v>
      </c>
      <c r="H37" s="288">
        <f t="shared" si="181"/>
        <v>1.2490000000000001</v>
      </c>
      <c r="I37" s="288">
        <f t="shared" si="181"/>
        <v>-0.97899999999999998</v>
      </c>
      <c r="J37" s="288">
        <f t="shared" si="181"/>
        <v>0.501</v>
      </c>
      <c r="K37" s="288">
        <f t="shared" si="181"/>
        <v>8.5000000000000006E-2</v>
      </c>
      <c r="L37" s="288">
        <f t="shared" si="181"/>
        <v>-1.2849999999999999</v>
      </c>
      <c r="M37" s="288">
        <f t="shared" si="181"/>
        <v>2.6709999999999998</v>
      </c>
      <c r="N37" s="290"/>
      <c r="O37" s="288">
        <f>O29+O31+O33+O35</f>
        <v>10.692</v>
      </c>
      <c r="P37" s="288">
        <f t="shared" ref="P37:R37" si="182">P29+P31+P33+P35</f>
        <v>13.905000000000001</v>
      </c>
      <c r="Q37" s="288">
        <f t="shared" si="182"/>
        <v>51.101999999999997</v>
      </c>
      <c r="R37" s="288">
        <f t="shared" si="182"/>
        <v>790.30500000000006</v>
      </c>
      <c r="S37" s="288">
        <f>S29+S31+S33+S35</f>
        <v>3.9870000000000001</v>
      </c>
      <c r="T37" s="288"/>
      <c r="U37" s="288">
        <f>U29+U31+U33+U35</f>
        <v>0</v>
      </c>
      <c r="V37" s="288">
        <f t="shared" ref="V37:AD37" si="183">V29+V31+V33+V35</f>
        <v>0</v>
      </c>
      <c r="W37" s="288">
        <f t="shared" si="183"/>
        <v>0</v>
      </c>
      <c r="X37" s="288">
        <f t="shared" si="183"/>
        <v>0</v>
      </c>
      <c r="Y37" s="288">
        <f t="shared" si="183"/>
        <v>0</v>
      </c>
      <c r="Z37" s="288">
        <f t="shared" si="183"/>
        <v>0</v>
      </c>
      <c r="AA37" s="288">
        <f t="shared" si="183"/>
        <v>0</v>
      </c>
      <c r="AB37" s="288">
        <f t="shared" si="183"/>
        <v>0</v>
      </c>
      <c r="AC37" s="288">
        <f t="shared" si="183"/>
        <v>0</v>
      </c>
      <c r="AD37" s="288">
        <f t="shared" si="183"/>
        <v>0</v>
      </c>
      <c r="AH37" s="845"/>
      <c r="AI37" s="825"/>
      <c r="AJ37" s="825"/>
      <c r="AK37" s="825"/>
      <c r="AL37" s="825"/>
      <c r="AM37" s="826"/>
    </row>
    <row r="38" spans="1:72">
      <c r="B38" s="275" t="s">
        <v>193</v>
      </c>
      <c r="C38" s="276">
        <f t="shared" ref="C38:M38" si="184">ABS(C37/C$14)</f>
        <v>0.10090867264780311</v>
      </c>
      <c r="D38" s="276">
        <f t="shared" si="184"/>
        <v>6.8999276072761573E-2</v>
      </c>
      <c r="E38" s="276">
        <f t="shared" si="184"/>
        <v>3.8452025792121328E-2</v>
      </c>
      <c r="F38" s="276">
        <f t="shared" si="184"/>
        <v>3.2810923190428248E-2</v>
      </c>
      <c r="G38" s="276">
        <f t="shared" si="184"/>
        <v>1.5365593297802209E-2</v>
      </c>
      <c r="H38" s="276">
        <f t="shared" si="184"/>
        <v>5.4205409047083071E-3</v>
      </c>
      <c r="I38" s="276">
        <f t="shared" si="184"/>
        <v>4.0833052777089086E-3</v>
      </c>
      <c r="J38" s="276">
        <f t="shared" si="184"/>
        <v>2.1767253098179656E-3</v>
      </c>
      <c r="K38" s="276">
        <f t="shared" si="184"/>
        <v>3.1918300505923413E-4</v>
      </c>
      <c r="L38" s="276">
        <f t="shared" si="184"/>
        <v>4.6344908894735311E-3</v>
      </c>
      <c r="M38" s="276">
        <f t="shared" si="184"/>
        <v>9.5342764108126907E-3</v>
      </c>
      <c r="N38" s="283"/>
      <c r="O38" s="276">
        <f>ABS(O37/O$14)</f>
        <v>8.8619975134687112E-2</v>
      </c>
      <c r="P38" s="276">
        <f>ABS(P37/P$14)</f>
        <v>6.2432349846665972E-2</v>
      </c>
      <c r="Q38" s="276">
        <f>ABS(Q37/Q$14)</f>
        <v>9.2984486478971909E-2</v>
      </c>
      <c r="R38" s="276">
        <f>ABS(R37/R$14)</f>
        <v>1.0811173220144681</v>
      </c>
      <c r="S38" s="276">
        <f>ABS(S37/S$14)</f>
        <v>4.3848361872711079E-3</v>
      </c>
      <c r="T38" s="276"/>
      <c r="U38" s="276">
        <f t="shared" ref="U38:AD38" si="185">ABS(U37/U$14)</f>
        <v>0</v>
      </c>
      <c r="V38" s="276">
        <f t="shared" si="185"/>
        <v>0</v>
      </c>
      <c r="W38" s="276">
        <f t="shared" si="185"/>
        <v>0</v>
      </c>
      <c r="X38" s="276">
        <f t="shared" si="185"/>
        <v>0</v>
      </c>
      <c r="Y38" s="276">
        <f t="shared" si="185"/>
        <v>0</v>
      </c>
      <c r="Z38" s="276">
        <f t="shared" si="185"/>
        <v>0</v>
      </c>
      <c r="AA38" s="276">
        <f t="shared" si="185"/>
        <v>0</v>
      </c>
      <c r="AB38" s="276">
        <f t="shared" si="185"/>
        <v>0</v>
      </c>
      <c r="AC38" s="276">
        <f t="shared" si="185"/>
        <v>0</v>
      </c>
      <c r="AD38" s="276">
        <f t="shared" si="185"/>
        <v>0</v>
      </c>
      <c r="AH38" s="845"/>
      <c r="AI38" s="825"/>
      <c r="AJ38" s="825"/>
      <c r="AK38" s="825"/>
      <c r="AL38" s="825"/>
      <c r="AM38" s="826"/>
    </row>
    <row r="39" spans="1:72">
      <c r="B39" s="286" t="s">
        <v>205</v>
      </c>
      <c r="C39" s="288">
        <v>1.2210000000000001</v>
      </c>
      <c r="D39" s="288">
        <v>1.1180000000000001</v>
      </c>
      <c r="E39" s="288">
        <v>1.327</v>
      </c>
      <c r="F39" s="288">
        <v>1.7350000000000001</v>
      </c>
      <c r="G39" s="288">
        <v>1.4570000000000001</v>
      </c>
      <c r="H39" s="288">
        <v>1.4930000000000001</v>
      </c>
      <c r="I39" s="288">
        <v>1.8939999999999999</v>
      </c>
      <c r="J39" s="288">
        <v>1.79</v>
      </c>
      <c r="K39" s="288">
        <v>1.9730000000000001</v>
      </c>
      <c r="L39" s="288">
        <v>1.853</v>
      </c>
      <c r="M39" s="288">
        <v>1.891</v>
      </c>
      <c r="N39" s="288"/>
      <c r="O39" s="288">
        <v>1.7490000000000001</v>
      </c>
      <c r="P39" s="288">
        <v>2.4790000000000001</v>
      </c>
      <c r="Q39" s="288">
        <v>4.9930000000000003</v>
      </c>
      <c r="R39" s="288">
        <v>5.4710000000000001</v>
      </c>
      <c r="S39" s="288">
        <v>6.6340000000000003</v>
      </c>
      <c r="T39" s="288"/>
      <c r="U39" s="337">
        <f>U$14*U40</f>
        <v>8.1699734175000014</v>
      </c>
      <c r="V39" s="337">
        <f t="shared" ref="V39:AD39" si="186">V14*V40</f>
        <v>9.44040268824285</v>
      </c>
      <c r="W39" s="337">
        <f t="shared" si="186"/>
        <v>10.83968586504173</v>
      </c>
      <c r="X39" s="337">
        <f t="shared" si="186"/>
        <v>12.296817320335071</v>
      </c>
      <c r="Y39" s="337">
        <f t="shared" si="186"/>
        <v>13.37252686596314</v>
      </c>
      <c r="Z39" s="337">
        <f t="shared" si="186"/>
        <v>13.801900424333127</v>
      </c>
      <c r="AA39" s="337">
        <f t="shared" si="186"/>
        <v>14.202381814279292</v>
      </c>
      <c r="AB39" s="337">
        <f t="shared" si="186"/>
        <v>14.335062476121861</v>
      </c>
      <c r="AC39" s="337">
        <f t="shared" si="186"/>
        <v>15.05515641545224</v>
      </c>
      <c r="AD39" s="337">
        <f t="shared" si="186"/>
        <v>15.547731192053638</v>
      </c>
      <c r="AH39" s="845"/>
      <c r="AI39" s="825"/>
      <c r="AJ39" s="825"/>
      <c r="AK39" s="825"/>
      <c r="AL39" s="825"/>
      <c r="AM39" s="826"/>
    </row>
    <row r="40" spans="1:72">
      <c r="B40" s="275" t="s">
        <v>193</v>
      </c>
      <c r="C40" s="276">
        <f t="shared" ref="C40" si="187">ABS(C39/C$14)</f>
        <v>7.0220841959972398E-3</v>
      </c>
      <c r="D40" s="276">
        <f t="shared" ref="D40" si="188">ABS(D39/D$14)</f>
        <v>6.0827306930568868E-3</v>
      </c>
      <c r="E40" s="276">
        <f t="shared" ref="E40" si="189">ABS(E39/E$14)</f>
        <v>7.030289091505236E-3</v>
      </c>
      <c r="F40" s="276">
        <f t="shared" ref="F40" si="190">ABS(F39/F$14)</f>
        <v>9.4203130457377136E-3</v>
      </c>
      <c r="G40" s="276">
        <f t="shared" ref="G40" si="191">ABS(G39/G$14)</f>
        <v>6.9613399984135007E-3</v>
      </c>
      <c r="H40" s="276">
        <f t="shared" ref="H40" si="192">ABS(H39/H$14)</f>
        <v>6.4794776386945573E-3</v>
      </c>
      <c r="I40" s="276">
        <f t="shared" ref="I40" si="193">ABS(I39/I$14)</f>
        <v>7.8996733360374577E-3</v>
      </c>
      <c r="J40" s="276">
        <f t="shared" ref="J40" si="194">ABS(J39/J$14)</f>
        <v>7.7771223644194781E-3</v>
      </c>
      <c r="K40" s="276">
        <f t="shared" ref="K40" si="195">ABS(K39/K$14)</f>
        <v>7.4088008115514E-3</v>
      </c>
      <c r="L40" s="276">
        <f t="shared" ref="L40" si="196">ABS(L39/L$14)</f>
        <v>6.6830440608517143E-3</v>
      </c>
      <c r="M40" s="276">
        <f t="shared" ref="M40" si="197">ABS(M39/M$14)</f>
        <v>6.7500249692425312E-3</v>
      </c>
      <c r="N40" s="276"/>
      <c r="O40" s="276">
        <f t="shared" ref="O40" si="198">ABS(O39/O$14)</f>
        <v>1.4496477414007461E-2</v>
      </c>
      <c r="P40" s="276">
        <f t="shared" ref="P40" si="199">ABS(P39/P$14)</f>
        <v>1.1130513863350228E-2</v>
      </c>
      <c r="Q40" s="276">
        <f t="shared" ref="Q40" si="200">ABS(Q39/Q$14)</f>
        <v>9.0851931624888818E-3</v>
      </c>
      <c r="R40" s="276">
        <f t="shared" ref="R40" si="201">ABS(R39/R$14)</f>
        <v>7.4841901148811583E-3</v>
      </c>
      <c r="S40" s="276">
        <f t="shared" ref="S40" si="202">ABS(S39/S$14)</f>
        <v>7.2959626953490167E-3</v>
      </c>
      <c r="T40" s="276"/>
      <c r="U40" s="325">
        <v>7.4999999999999997E-3</v>
      </c>
      <c r="V40" s="325">
        <v>7.3000000000000001E-3</v>
      </c>
      <c r="W40" s="325">
        <v>7.1000000000000004E-3</v>
      </c>
      <c r="X40" s="325">
        <v>6.8999999999999999E-3</v>
      </c>
      <c r="Y40" s="325">
        <v>6.4999999999999997E-3</v>
      </c>
      <c r="Z40" s="325">
        <v>5.8999999999999999E-3</v>
      </c>
      <c r="AA40" s="325">
        <v>5.4000000000000003E-3</v>
      </c>
      <c r="AB40" s="325">
        <v>4.8999999999999998E-3</v>
      </c>
      <c r="AC40" s="325">
        <v>4.7000000000000002E-3</v>
      </c>
      <c r="AD40" s="325">
        <v>4.4999999999999997E-3</v>
      </c>
      <c r="AH40" s="845"/>
      <c r="AI40" s="825"/>
      <c r="AJ40" s="825"/>
      <c r="AK40" s="825"/>
      <c r="AL40" s="825"/>
      <c r="AM40" s="826"/>
    </row>
    <row r="41" spans="1:72">
      <c r="B41" s="286" t="s">
        <v>206</v>
      </c>
      <c r="C41" s="288">
        <v>2.0470000000000002</v>
      </c>
      <c r="D41" s="288">
        <v>2.0630000000000002</v>
      </c>
      <c r="E41" s="288">
        <v>2.109</v>
      </c>
      <c r="F41" s="288">
        <v>2.0249999999999999</v>
      </c>
      <c r="G41" s="288">
        <v>2.23</v>
      </c>
      <c r="H41" s="288">
        <v>1.647</v>
      </c>
      <c r="I41" s="288">
        <v>1.651</v>
      </c>
      <c r="J41" s="288">
        <v>2.4180000000000001</v>
      </c>
      <c r="K41" s="288">
        <v>1.3939999999999999</v>
      </c>
      <c r="L41" s="288">
        <v>1.369</v>
      </c>
      <c r="M41" s="288">
        <v>1.218</v>
      </c>
      <c r="N41" s="288"/>
      <c r="O41" s="288">
        <v>2.492</v>
      </c>
      <c r="P41" s="288">
        <v>3.8759999999999999</v>
      </c>
      <c r="Q41" s="288">
        <v>7.7430000000000003</v>
      </c>
      <c r="R41" s="288">
        <v>8.2439999999999998</v>
      </c>
      <c r="S41" s="288">
        <v>7.9459999999999997</v>
      </c>
      <c r="T41" s="288"/>
      <c r="U41" s="337">
        <f t="shared" ref="U41:AD41" si="203">U$14*U42</f>
        <v>8.4967723542000009</v>
      </c>
      <c r="V41" s="337">
        <f t="shared" si="203"/>
        <v>9.0524409339315</v>
      </c>
      <c r="W41" s="337">
        <f t="shared" si="203"/>
        <v>9.6183128098257598</v>
      </c>
      <c r="X41" s="337">
        <f t="shared" si="203"/>
        <v>10.158240395059407</v>
      </c>
      <c r="Y41" s="337">
        <f t="shared" si="203"/>
        <v>9.4636343974508375</v>
      </c>
      <c r="Z41" s="337">
        <f t="shared" si="203"/>
        <v>9.5911511423331905</v>
      </c>
      <c r="AA41" s="337">
        <f t="shared" si="203"/>
        <v>9.7312616134876624</v>
      </c>
      <c r="AB41" s="337">
        <f t="shared" si="203"/>
        <v>9.6542257492249259</v>
      </c>
      <c r="AC41" s="337">
        <f t="shared" si="203"/>
        <v>9.9299967846599877</v>
      </c>
      <c r="AD41" s="337">
        <f t="shared" si="203"/>
        <v>10.36515412803576</v>
      </c>
      <c r="AH41" s="857" t="s">
        <v>615</v>
      </c>
      <c r="AI41" s="858"/>
      <c r="AJ41" s="858"/>
      <c r="AK41" s="858"/>
      <c r="AL41" s="858"/>
      <c r="AM41" s="859"/>
    </row>
    <row r="42" spans="1:72">
      <c r="B42" s="275" t="s">
        <v>193</v>
      </c>
      <c r="C42" s="276">
        <f t="shared" ref="C42" si="204">ABS(C41/C$14)</f>
        <v>1.1772486772486773E-2</v>
      </c>
      <c r="D42" s="276">
        <f t="shared" ref="D42" si="205">ABS(D41/D$14)</f>
        <v>1.1224215938977064E-2</v>
      </c>
      <c r="E42" s="276">
        <f t="shared" ref="E42" si="206">ABS(E41/E$14)</f>
        <v>1.1173232625459339E-2</v>
      </c>
      <c r="F42" s="276">
        <f t="shared" ref="F42" si="207">ABS(F41/F$14)</f>
        <v>1.0994889866062748E-2</v>
      </c>
      <c r="G42" s="276">
        <f t="shared" ref="G42" si="208">ABS(G41/G$14)</f>
        <v>1.0654624705876531E-2</v>
      </c>
      <c r="H42" s="276">
        <f t="shared" ref="H42" si="209">ABS(H41/H$14)</f>
        <v>7.1478229544071903E-3</v>
      </c>
      <c r="I42" s="276">
        <f t="shared" ref="I42" si="210">ABS(I41/I$14)</f>
        <v>6.8861460812026636E-3</v>
      </c>
      <c r="J42" s="276">
        <f t="shared" ref="J42" si="211">ABS(J41/J$14)</f>
        <v>1.0505632333612458E-2</v>
      </c>
      <c r="K42" s="276">
        <f t="shared" ref="K42" si="212">ABS(K41/K$14)</f>
        <v>5.234601282971439E-3</v>
      </c>
      <c r="L42" s="276">
        <f t="shared" ref="L42" si="213">ABS(L41/L$14)</f>
        <v>4.9374459359449521E-3</v>
      </c>
      <c r="M42" s="276">
        <f t="shared" ref="M42" si="214">ABS(M41/M$14)</f>
        <v>4.3477157126057125E-3</v>
      </c>
      <c r="N42" s="276"/>
      <c r="O42" s="276">
        <f t="shared" ref="O42" si="215">ABS(O41/O$14)</f>
        <v>2.0654786572731041E-2</v>
      </c>
      <c r="P42" s="276">
        <f t="shared" ref="P42" si="216">ABS(P41/P$14)</f>
        <v>1.7402933333741624E-2</v>
      </c>
      <c r="Q42" s="276">
        <f t="shared" ref="Q42" si="217">ABS(Q41/Q$14)</f>
        <v>1.4089054808161708E-2</v>
      </c>
      <c r="R42" s="276">
        <f t="shared" ref="R42" si="218">ABS(R41/R$14)</f>
        <v>1.1277584227212624E-2</v>
      </c>
      <c r="S42" s="276">
        <f t="shared" ref="S42" si="219">ABS(S41/S$14)</f>
        <v>8.7388784409471332E-3</v>
      </c>
      <c r="T42" s="276"/>
      <c r="U42" s="325">
        <v>7.7999999999999996E-3</v>
      </c>
      <c r="V42" s="325">
        <v>7.0000000000000001E-3</v>
      </c>
      <c r="W42" s="325">
        <v>6.3E-3</v>
      </c>
      <c r="X42" s="325">
        <v>5.7000000000000002E-3</v>
      </c>
      <c r="Y42" s="325">
        <v>4.5999999999999999E-3</v>
      </c>
      <c r="Z42" s="325">
        <v>4.1000000000000003E-3</v>
      </c>
      <c r="AA42" s="325">
        <v>3.7000000000000002E-3</v>
      </c>
      <c r="AB42" s="325">
        <v>3.3E-3</v>
      </c>
      <c r="AC42" s="325">
        <v>3.0999999999999999E-3</v>
      </c>
      <c r="AD42" s="325">
        <v>3.0000000000000001E-3</v>
      </c>
      <c r="AH42" s="845" t="s">
        <v>616</v>
      </c>
      <c r="AI42" s="825"/>
      <c r="AJ42" s="825"/>
      <c r="AK42" s="825"/>
      <c r="AL42" s="825"/>
      <c r="AM42" s="826"/>
    </row>
    <row r="43" spans="1:72">
      <c r="B43" s="286" t="s">
        <v>207</v>
      </c>
      <c r="C43" s="288">
        <v>26.151</v>
      </c>
      <c r="D43" s="288">
        <v>25.876000000000001</v>
      </c>
      <c r="E43" s="288">
        <v>25.684000000000001</v>
      </c>
      <c r="F43" s="288">
        <v>25.366</v>
      </c>
      <c r="G43" s="288">
        <v>24.62</v>
      </c>
      <c r="H43" s="288">
        <v>24.504999999999999</v>
      </c>
      <c r="I43" s="288">
        <v>23.99</v>
      </c>
      <c r="J43" s="288">
        <v>23.670999999999999</v>
      </c>
      <c r="K43" s="288">
        <v>22.895</v>
      </c>
      <c r="L43" s="288">
        <v>22.611999999999998</v>
      </c>
      <c r="M43" s="288">
        <v>22.105</v>
      </c>
      <c r="N43" s="290"/>
      <c r="O43" s="288">
        <v>9.2260000000000009</v>
      </c>
      <c r="P43" s="288">
        <v>30.128</v>
      </c>
      <c r="Q43" s="288">
        <v>91.811999999999998</v>
      </c>
      <c r="R43" s="288">
        <v>101.54600000000001</v>
      </c>
      <c r="S43" s="288">
        <v>95.048000000000002</v>
      </c>
      <c r="T43" s="288"/>
      <c r="U43" s="337">
        <f>U$14*U44</f>
        <v>106.86325230090002</v>
      </c>
      <c r="V43" s="337">
        <f t="shared" ref="V43:AD43" si="220">V$14*V44</f>
        <v>116.77648804771636</v>
      </c>
      <c r="W43" s="337">
        <f t="shared" si="220"/>
        <v>128.24417079767682</v>
      </c>
      <c r="X43" s="337">
        <f t="shared" si="220"/>
        <v>139.18571488669116</v>
      </c>
      <c r="Y43" s="337">
        <f t="shared" si="220"/>
        <v>149.36083853368061</v>
      </c>
      <c r="Z43" s="337">
        <f t="shared" si="220"/>
        <v>157.90309807499764</v>
      </c>
      <c r="AA43" s="337">
        <f t="shared" si="220"/>
        <v>164.90543328802067</v>
      </c>
      <c r="AB43" s="337">
        <f t="shared" si="220"/>
        <v>170.26543594087599</v>
      </c>
      <c r="AC43" s="337">
        <f t="shared" si="220"/>
        <v>172.97413753923848</v>
      </c>
      <c r="AD43" s="337">
        <f t="shared" si="220"/>
        <v>173.09807393819716</v>
      </c>
      <c r="AH43" s="845"/>
      <c r="AI43" s="825"/>
      <c r="AJ43" s="825"/>
      <c r="AK43" s="825"/>
      <c r="AL43" s="825"/>
      <c r="AM43" s="826"/>
    </row>
    <row r="44" spans="1:72">
      <c r="B44" s="275" t="s">
        <v>193</v>
      </c>
      <c r="C44" s="276">
        <f t="shared" ref="C44:M44" si="221">ABS(C43/C$14)</f>
        <v>0.15039682539682539</v>
      </c>
      <c r="D44" s="276">
        <f t="shared" si="221"/>
        <v>0.14078420341103756</v>
      </c>
      <c r="E44" s="276">
        <f t="shared" si="221"/>
        <v>0.13607079504613451</v>
      </c>
      <c r="F44" s="276">
        <f t="shared" si="221"/>
        <v>0.13772660560125813</v>
      </c>
      <c r="G44" s="276">
        <f t="shared" si="221"/>
        <v>0.11763087903976691</v>
      </c>
      <c r="H44" s="276">
        <f t="shared" si="221"/>
        <v>0.10634936338661093</v>
      </c>
      <c r="I44" s="276">
        <f t="shared" si="221"/>
        <v>0.10005974832710593</v>
      </c>
      <c r="J44" s="276">
        <f t="shared" si="221"/>
        <v>0.10284483993752706</v>
      </c>
      <c r="K44" s="276">
        <f t="shared" si="221"/>
        <v>8.5972881186249003E-2</v>
      </c>
      <c r="L44" s="276">
        <f t="shared" si="221"/>
        <v>8.1552613223949785E-2</v>
      </c>
      <c r="M44" s="276">
        <f t="shared" si="221"/>
        <v>7.8904971943472318E-2</v>
      </c>
      <c r="N44" s="283"/>
      <c r="O44" s="276">
        <f t="shared" ref="O44:S44" si="222">ABS(O43/O$14)</f>
        <v>7.6469125569830099E-2</v>
      </c>
      <c r="P44" s="276">
        <f t="shared" si="222"/>
        <v>0.13527233629488331</v>
      </c>
      <c r="Q44" s="276">
        <f t="shared" si="222"/>
        <v>0.16705983469545946</v>
      </c>
      <c r="R44" s="276">
        <f t="shared" si="222"/>
        <v>0.13891236874533397</v>
      </c>
      <c r="S44" s="276">
        <f t="shared" si="222"/>
        <v>0.10453220715519043</v>
      </c>
      <c r="T44" s="276"/>
      <c r="U44" s="325">
        <v>9.8100000000000007E-2</v>
      </c>
      <c r="V44" s="325">
        <v>9.0300000000000005E-2</v>
      </c>
      <c r="W44" s="325">
        <v>8.4000000000000005E-2</v>
      </c>
      <c r="X44" s="325">
        <v>7.8100000000000003E-2</v>
      </c>
      <c r="Y44" s="325">
        <v>7.2599999999999998E-2</v>
      </c>
      <c r="Z44" s="325">
        <v>6.7500000000000004E-2</v>
      </c>
      <c r="AA44" s="325">
        <v>6.2700000000000006E-2</v>
      </c>
      <c r="AB44" s="325">
        <v>5.8200000000000002E-2</v>
      </c>
      <c r="AC44" s="325">
        <v>5.3999999999999999E-2</v>
      </c>
      <c r="AD44" s="325">
        <v>5.0099999999999999E-2</v>
      </c>
      <c r="AH44" s="845"/>
      <c r="AI44" s="825"/>
      <c r="AJ44" s="825"/>
      <c r="AK44" s="825"/>
      <c r="AL44" s="825"/>
      <c r="AM44" s="826"/>
    </row>
    <row r="45" spans="1:72">
      <c r="B45" s="296" t="s">
        <v>208</v>
      </c>
      <c r="C45" s="288">
        <f>C$39+C$41+C$43</f>
        <v>29.419</v>
      </c>
      <c r="D45" s="288">
        <f t="shared" ref="D45:M45" si="223">D$39+D$41+D$43</f>
        <v>29.057000000000002</v>
      </c>
      <c r="E45" s="288">
        <f t="shared" si="223"/>
        <v>29.12</v>
      </c>
      <c r="F45" s="288">
        <f t="shared" si="223"/>
        <v>29.125999999999998</v>
      </c>
      <c r="G45" s="288">
        <f t="shared" si="223"/>
        <v>28.307000000000002</v>
      </c>
      <c r="H45" s="288">
        <f t="shared" si="223"/>
        <v>27.645</v>
      </c>
      <c r="I45" s="288">
        <f t="shared" si="223"/>
        <v>27.534999999999997</v>
      </c>
      <c r="J45" s="288">
        <f t="shared" si="223"/>
        <v>27.878999999999998</v>
      </c>
      <c r="K45" s="288">
        <f t="shared" si="223"/>
        <v>26.262</v>
      </c>
      <c r="L45" s="288">
        <f t="shared" si="223"/>
        <v>25.834</v>
      </c>
      <c r="M45" s="288">
        <f t="shared" si="223"/>
        <v>25.213999999999999</v>
      </c>
      <c r="N45" s="290"/>
      <c r="O45" s="288">
        <f>O$39+O$41+O$43</f>
        <v>13.467000000000001</v>
      </c>
      <c r="P45" s="288">
        <f t="shared" ref="P45:R45" si="224">P$39+P$41+P$43</f>
        <v>36.483000000000004</v>
      </c>
      <c r="Q45" s="288">
        <f t="shared" si="224"/>
        <v>104.548</v>
      </c>
      <c r="R45" s="288">
        <f t="shared" si="224"/>
        <v>115.26100000000001</v>
      </c>
      <c r="S45" s="288">
        <f>S$39+S$41+S$43</f>
        <v>109.628</v>
      </c>
      <c r="T45" s="288"/>
      <c r="U45" s="288">
        <f t="shared" ref="U45:AD45" si="225">U$39+U$41+U$43</f>
        <v>123.52999807260002</v>
      </c>
      <c r="V45" s="288">
        <f t="shared" si="225"/>
        <v>135.2693316698907</v>
      </c>
      <c r="W45" s="288">
        <f t="shared" si="225"/>
        <v>148.70216947254431</v>
      </c>
      <c r="X45" s="288">
        <f t="shared" si="225"/>
        <v>161.64077260208563</v>
      </c>
      <c r="Y45" s="288">
        <f t="shared" si="225"/>
        <v>172.19699979709458</v>
      </c>
      <c r="Z45" s="288">
        <f t="shared" si="225"/>
        <v>181.29614964166396</v>
      </c>
      <c r="AA45" s="288">
        <f t="shared" si="225"/>
        <v>188.83907671578763</v>
      </c>
      <c r="AB45" s="288">
        <f t="shared" si="225"/>
        <v>194.25472416622279</v>
      </c>
      <c r="AC45" s="288">
        <f t="shared" si="225"/>
        <v>197.95929073935071</v>
      </c>
      <c r="AD45" s="288">
        <f t="shared" si="225"/>
        <v>199.01095925828656</v>
      </c>
      <c r="AH45" s="845"/>
      <c r="AI45" s="825"/>
      <c r="AJ45" s="825"/>
      <c r="AK45" s="825"/>
      <c r="AL45" s="825"/>
      <c r="AM45" s="826"/>
    </row>
    <row r="46" spans="1:72">
      <c r="B46" s="275" t="s">
        <v>193</v>
      </c>
      <c r="C46" s="276">
        <f t="shared" ref="C46" si="226">ABS(C45/C$14)</f>
        <v>0.16919139636530942</v>
      </c>
      <c r="D46" s="276">
        <f t="shared" ref="D46" si="227">ABS(D45/D$14)</f>
        <v>0.15809115004307153</v>
      </c>
      <c r="E46" s="276">
        <f t="shared" ref="E46" si="228">ABS(E45/E$14)</f>
        <v>0.15427431676309908</v>
      </c>
      <c r="F46" s="276">
        <f t="shared" ref="F46" si="229">ABS(F45/F$14)</f>
        <v>0.15814180851305856</v>
      </c>
      <c r="G46" s="276">
        <f t="shared" ref="G46" si="230">ABS(G45/G$14)</f>
        <v>0.13524684374405693</v>
      </c>
      <c r="H46" s="276">
        <f t="shared" ref="H46" si="231">ABS(H45/H$14)</f>
        <v>0.11997666397971267</v>
      </c>
      <c r="I46" s="276">
        <f t="shared" ref="I46" si="232">ABS(I45/I$14)</f>
        <v>0.11484556774434604</v>
      </c>
      <c r="J46" s="276">
        <f t="shared" ref="J46" si="233">ABS(J45/J$14)</f>
        <v>0.121127594635559</v>
      </c>
      <c r="K46" s="276">
        <f t="shared" ref="K46" si="234">ABS(K45/K$14)</f>
        <v>9.8616283280771849E-2</v>
      </c>
      <c r="L46" s="276">
        <f t="shared" ref="L46" si="235">ABS(L45/L$14)</f>
        <v>9.3173103220746456E-2</v>
      </c>
      <c r="M46" s="276">
        <f t="shared" ref="M46" si="236">ABS(M45/M$14)</f>
        <v>9.0002712625320558E-2</v>
      </c>
      <c r="N46" s="283"/>
      <c r="O46" s="276">
        <f t="shared" ref="O46" si="237">ABS(O45/O$14)</f>
        <v>0.1116203895565686</v>
      </c>
      <c r="P46" s="276">
        <f t="shared" ref="P46" si="238">ABS(P45/P$14)</f>
        <v>0.16380578349197517</v>
      </c>
      <c r="Q46" s="276">
        <f t="shared" ref="Q46" si="239">ABS(Q45/Q$14)</f>
        <v>0.19023408266611005</v>
      </c>
      <c r="R46" s="276">
        <f t="shared" ref="R46" si="240">ABS(R45/R$14)</f>
        <v>0.15767414308742775</v>
      </c>
      <c r="S46" s="276">
        <f t="shared" ref="S46:AD46" si="241">ABS(S45/S$14)</f>
        <v>0.12056704829148658</v>
      </c>
      <c r="T46" s="276"/>
      <c r="U46" s="276">
        <f t="shared" si="241"/>
        <v>0.11340000000000001</v>
      </c>
      <c r="V46" s="276">
        <f t="shared" si="241"/>
        <v>0.1046</v>
      </c>
      <c r="W46" s="276">
        <f t="shared" si="241"/>
        <v>9.7400000000000014E-2</v>
      </c>
      <c r="X46" s="276">
        <f t="shared" si="241"/>
        <v>9.0699999999999989E-2</v>
      </c>
      <c r="Y46" s="276">
        <f t="shared" si="241"/>
        <v>8.3699999999999997E-2</v>
      </c>
      <c r="Z46" s="276">
        <f t="shared" si="241"/>
        <v>7.7499999999999999E-2</v>
      </c>
      <c r="AA46" s="276">
        <f t="shared" si="241"/>
        <v>7.1800000000000003E-2</v>
      </c>
      <c r="AB46" s="276">
        <f t="shared" si="241"/>
        <v>6.6400000000000001E-2</v>
      </c>
      <c r="AC46" s="276">
        <f t="shared" si="241"/>
        <v>6.1799999999999994E-2</v>
      </c>
      <c r="AD46" s="276">
        <f t="shared" si="241"/>
        <v>5.7599999999999998E-2</v>
      </c>
      <c r="AH46" s="845"/>
      <c r="AI46" s="825"/>
      <c r="AJ46" s="825"/>
      <c r="AK46" s="825"/>
      <c r="AL46" s="825"/>
      <c r="AM46" s="826"/>
    </row>
    <row r="47" spans="1:72" s="298" customFormat="1">
      <c r="A47" s="163"/>
      <c r="B47" s="296" t="s">
        <v>209</v>
      </c>
      <c r="C47" s="288">
        <f>C18-C19-C25-C27-C37</f>
        <v>-75.766000000000005</v>
      </c>
      <c r="D47" s="288">
        <f t="shared" ref="D47:M47" si="242">D18-D19-D25-D27-D37</f>
        <v>-57.782970186607557</v>
      </c>
      <c r="E47" s="288">
        <f t="shared" si="242"/>
        <v>-48.863315416200095</v>
      </c>
      <c r="F47" s="288">
        <f t="shared" si="242"/>
        <v>-54.48653032471541</v>
      </c>
      <c r="G47" s="288">
        <f t="shared" si="242"/>
        <v>-29.837215522865947</v>
      </c>
      <c r="H47" s="288">
        <f t="shared" si="242"/>
        <v>-24.70919098885263</v>
      </c>
      <c r="I47" s="288">
        <f t="shared" si="242"/>
        <v>-24.234250646862076</v>
      </c>
      <c r="J47" s="288">
        <f t="shared" si="242"/>
        <v>-14.248747675246351</v>
      </c>
      <c r="K47" s="288">
        <f t="shared" si="242"/>
        <v>-17.600094498450318</v>
      </c>
      <c r="L47" s="288">
        <f t="shared" si="242"/>
        <v>-11.955141209347929</v>
      </c>
      <c r="M47" s="288">
        <f t="shared" si="242"/>
        <v>-8.7738881572118466</v>
      </c>
      <c r="N47" s="288"/>
      <c r="O47" s="288">
        <f>O18-O19-O25-O27-O37</f>
        <v>-37.374000000000017</v>
      </c>
      <c r="P47" s="288">
        <f t="shared" ref="P47:S47" si="243">P18-P19-P25-P27-P37</f>
        <v>-60.548926163267588</v>
      </c>
      <c r="Q47" s="288">
        <f t="shared" si="243"/>
        <v>-170.37345320643328</v>
      </c>
      <c r="R47" s="288">
        <f t="shared" si="243"/>
        <v>-972.59438046856144</v>
      </c>
      <c r="S47" s="288">
        <f t="shared" si="243"/>
        <v>-95.59199999999997</v>
      </c>
      <c r="T47" s="288"/>
      <c r="U47" s="288">
        <f>U18-U19-U25-U27-U37</f>
        <v>-127.56051829190005</v>
      </c>
      <c r="V47" s="288">
        <f t="shared" ref="V47:AD47" si="244">V18-V19-V25-V27-V37</f>
        <v>-122.85455553192759</v>
      </c>
      <c r="W47" s="288">
        <f t="shared" si="244"/>
        <v>138.08197900220739</v>
      </c>
      <c r="X47" s="288">
        <f t="shared" si="244"/>
        <v>183.80846189844976</v>
      </c>
      <c r="Y47" s="288">
        <f t="shared" si="244"/>
        <v>228.55743619731766</v>
      </c>
      <c r="Z47" s="288">
        <f t="shared" si="244"/>
        <v>259.54838500910216</v>
      </c>
      <c r="AA47" s="288">
        <f t="shared" si="244"/>
        <v>313.21744033310495</v>
      </c>
      <c r="AB47" s="288">
        <f t="shared" si="244"/>
        <v>353.46613306060249</v>
      </c>
      <c r="AC47" s="288">
        <f t="shared" si="244"/>
        <v>379.67146689895389</v>
      </c>
      <c r="AD47" s="288">
        <f t="shared" si="244"/>
        <v>393.35605449080117</v>
      </c>
      <c r="AE47" s="163"/>
      <c r="AF47" s="163"/>
      <c r="AG47" s="163"/>
      <c r="AH47" s="845"/>
      <c r="AI47" s="825"/>
      <c r="AJ47" s="825"/>
      <c r="AK47" s="825"/>
      <c r="AL47" s="825"/>
      <c r="AM47" s="826"/>
      <c r="AN47" s="163"/>
      <c r="AO47" s="163"/>
      <c r="AP47" s="163"/>
      <c r="AQ47" s="163"/>
      <c r="AR47" s="163"/>
      <c r="AS47" s="163"/>
      <c r="AT47" s="163"/>
      <c r="AU47" s="163"/>
      <c r="AV47" s="163"/>
      <c r="AW47" s="163"/>
      <c r="AX47" s="163"/>
      <c r="AY47" s="163"/>
      <c r="AZ47" s="163"/>
      <c r="BA47" s="163"/>
      <c r="BB47" s="163"/>
      <c r="BC47" s="163"/>
      <c r="BD47" s="163"/>
      <c r="BE47" s="163"/>
      <c r="BF47" s="163"/>
      <c r="BG47" s="163"/>
      <c r="BH47" s="163"/>
      <c r="BI47" s="163"/>
      <c r="BJ47" s="163"/>
      <c r="BK47" s="163"/>
      <c r="BL47" s="163"/>
      <c r="BM47" s="163"/>
      <c r="BN47" s="163"/>
      <c r="BO47" s="163"/>
      <c r="BP47" s="163"/>
      <c r="BQ47" s="163"/>
      <c r="BR47" s="163"/>
      <c r="BS47" s="163"/>
      <c r="BT47" s="163"/>
    </row>
    <row r="48" spans="1:72">
      <c r="B48" s="212" t="s">
        <v>210</v>
      </c>
      <c r="C48" s="274">
        <f>C18-C25-C27</f>
        <v>-22.580000000000005</v>
      </c>
      <c r="D48" s="274">
        <f t="shared" ref="D48:M48" si="245">D18-D25-D27</f>
        <v>-8.5009701866075513</v>
      </c>
      <c r="E48" s="274">
        <f t="shared" si="245"/>
        <v>-4.1953154162000956</v>
      </c>
      <c r="F48" s="274">
        <f t="shared" si="245"/>
        <v>-17.653530324715422</v>
      </c>
      <c r="G48" s="274">
        <f t="shared" si="245"/>
        <v>7.4187844771340528</v>
      </c>
      <c r="H48" s="274">
        <f t="shared" si="245"/>
        <v>9.6198090111473658</v>
      </c>
      <c r="I48" s="274">
        <f t="shared" si="245"/>
        <v>9.4667493531379314</v>
      </c>
      <c r="J48" s="274">
        <f t="shared" si="245"/>
        <v>13.872252324753624</v>
      </c>
      <c r="K48" s="274">
        <f t="shared" si="245"/>
        <v>9.9549055015496819</v>
      </c>
      <c r="L48" s="274">
        <f t="shared" si="245"/>
        <v>17.279858790652067</v>
      </c>
      <c r="M48" s="274">
        <f t="shared" si="245"/>
        <v>26.047111842788158</v>
      </c>
      <c r="N48" s="274"/>
      <c r="O48" s="274">
        <f>O18-O25-O27</f>
        <v>6.0679999999999836</v>
      </c>
      <c r="P48" s="274">
        <f t="shared" ref="P48:S48" si="246">P18-P25-P27</f>
        <v>8.6560738367324088</v>
      </c>
      <c r="Q48" s="274">
        <f t="shared" si="246"/>
        <v>1.8785467935667244</v>
      </c>
      <c r="R48" s="274">
        <f t="shared" si="246"/>
        <v>-41.849380468561385</v>
      </c>
      <c r="S48" s="274">
        <f t="shared" si="246"/>
        <v>37.815000000000012</v>
      </c>
      <c r="T48" s="274"/>
      <c r="U48" s="274">
        <f t="shared" ref="U48:AD48" si="247">U18-U19-U25-U27</f>
        <v>-127.56051829190005</v>
      </c>
      <c r="V48" s="274">
        <f t="shared" si="247"/>
        <v>-122.85455553192759</v>
      </c>
      <c r="W48" s="274">
        <f t="shared" si="247"/>
        <v>138.08197900220739</v>
      </c>
      <c r="X48" s="274">
        <f t="shared" si="247"/>
        <v>183.80846189844976</v>
      </c>
      <c r="Y48" s="274">
        <f t="shared" si="247"/>
        <v>228.55743619731766</v>
      </c>
      <c r="Z48" s="274">
        <f t="shared" si="247"/>
        <v>259.54838500910216</v>
      </c>
      <c r="AA48" s="274">
        <f t="shared" si="247"/>
        <v>313.21744033310495</v>
      </c>
      <c r="AB48" s="274">
        <f t="shared" si="247"/>
        <v>353.46613306060249</v>
      </c>
      <c r="AC48" s="274">
        <f t="shared" si="247"/>
        <v>379.67146689895389</v>
      </c>
      <c r="AD48" s="274">
        <f t="shared" si="247"/>
        <v>393.35605449080117</v>
      </c>
      <c r="AH48" s="857" t="s">
        <v>617</v>
      </c>
      <c r="AI48" s="858"/>
      <c r="AJ48" s="858"/>
      <c r="AK48" s="858"/>
      <c r="AL48" s="858"/>
      <c r="AM48" s="859"/>
    </row>
    <row r="49" spans="1:72">
      <c r="B49" s="212" t="s">
        <v>211</v>
      </c>
      <c r="C49" s="333">
        <f>C48/C14</f>
        <v>-0.12985967333793424</v>
      </c>
      <c r="D49" s="333">
        <f t="shared" ref="D49:M49" si="248">D48/D14</f>
        <v>-4.6251442106296316E-2</v>
      </c>
      <c r="E49" s="333">
        <f t="shared" si="248"/>
        <v>-2.2226285008240605E-2</v>
      </c>
      <c r="F49" s="333">
        <f t="shared" si="248"/>
        <v>-9.5851171193800017E-2</v>
      </c>
      <c r="G49" s="333">
        <f t="shared" si="248"/>
        <v>3.5445903308361337E-2</v>
      </c>
      <c r="H49" s="333">
        <f t="shared" si="248"/>
        <v>4.1749053835393006E-2</v>
      </c>
      <c r="I49" s="333">
        <f t="shared" si="248"/>
        <v>3.9484808576522479E-2</v>
      </c>
      <c r="J49" s="333">
        <f t="shared" si="248"/>
        <v>6.02716222344757E-2</v>
      </c>
      <c r="K49" s="333">
        <f t="shared" si="248"/>
        <v>3.7381607683121529E-2</v>
      </c>
      <c r="L49" s="333">
        <f t="shared" si="248"/>
        <v>6.2321671701685691E-2</v>
      </c>
      <c r="M49" s="333">
        <f t="shared" si="248"/>
        <v>9.2976549611566844E-2</v>
      </c>
      <c r="N49" s="333"/>
      <c r="O49" s="333">
        <f t="shared" ref="O49:S49" si="249">O48/O14</f>
        <v>5.0294239535847364E-2</v>
      </c>
      <c r="P49" s="333">
        <f t="shared" si="249"/>
        <v>3.886508666475727E-2</v>
      </c>
      <c r="Q49" s="333">
        <f t="shared" si="249"/>
        <v>3.4181775454291642E-3</v>
      </c>
      <c r="R49" s="333">
        <f t="shared" si="249"/>
        <v>-5.7248897754835999E-2</v>
      </c>
      <c r="S49" s="333">
        <f t="shared" si="249"/>
        <v>4.1588307103500623E-2</v>
      </c>
      <c r="T49" s="276"/>
      <c r="U49" s="333">
        <f t="shared" ref="U49:AD49" si="250">U48/U14</f>
        <v>-0.11710000000000004</v>
      </c>
      <c r="V49" s="333">
        <f t="shared" si="250"/>
        <v>-9.500000000000007E-2</v>
      </c>
      <c r="W49" s="333">
        <f t="shared" si="250"/>
        <v>9.0443769600134838E-2</v>
      </c>
      <c r="X49" s="333">
        <f t="shared" si="250"/>
        <v>0.10313875160217023</v>
      </c>
      <c r="Y49" s="333">
        <f t="shared" si="250"/>
        <v>0.11109518419169498</v>
      </c>
      <c r="Z49" s="333">
        <f t="shared" si="250"/>
        <v>0.11095105923630028</v>
      </c>
      <c r="AA49" s="333">
        <f t="shared" si="250"/>
        <v>0.11909088207290931</v>
      </c>
      <c r="AB49" s="333">
        <f t="shared" si="250"/>
        <v>0.12082152100013134</v>
      </c>
      <c r="AC49" s="333">
        <f t="shared" si="250"/>
        <v>0.11852788806588299</v>
      </c>
      <c r="AD49" s="333">
        <f t="shared" si="250"/>
        <v>0.11384955292469263</v>
      </c>
      <c r="AH49" s="845" t="s">
        <v>618</v>
      </c>
      <c r="AI49" s="825"/>
      <c r="AJ49" s="825"/>
      <c r="AK49" s="825"/>
      <c r="AL49" s="825"/>
      <c r="AM49" s="826"/>
    </row>
    <row r="50" spans="1:72">
      <c r="B50" s="296" t="s">
        <v>208</v>
      </c>
      <c r="C50" s="329">
        <f t="shared" ref="C50:M50" si="251">C45</f>
        <v>29.419</v>
      </c>
      <c r="D50" s="329">
        <f t="shared" si="251"/>
        <v>29.057000000000002</v>
      </c>
      <c r="E50" s="329">
        <f t="shared" si="251"/>
        <v>29.12</v>
      </c>
      <c r="F50" s="329">
        <f t="shared" si="251"/>
        <v>29.125999999999998</v>
      </c>
      <c r="G50" s="329">
        <f t="shared" si="251"/>
        <v>28.307000000000002</v>
      </c>
      <c r="H50" s="329">
        <f t="shared" si="251"/>
        <v>27.645</v>
      </c>
      <c r="I50" s="329">
        <f t="shared" si="251"/>
        <v>27.534999999999997</v>
      </c>
      <c r="J50" s="329">
        <f t="shared" si="251"/>
        <v>27.878999999999998</v>
      </c>
      <c r="K50" s="329">
        <f t="shared" si="251"/>
        <v>26.262</v>
      </c>
      <c r="L50" s="329">
        <f t="shared" si="251"/>
        <v>25.834</v>
      </c>
      <c r="M50" s="329">
        <f t="shared" si="251"/>
        <v>25.213999999999999</v>
      </c>
      <c r="N50" s="331"/>
      <c r="O50" s="329">
        <f>O45</f>
        <v>13.467000000000001</v>
      </c>
      <c r="P50" s="329">
        <f t="shared" ref="P50:S50" si="252">P45</f>
        <v>36.483000000000004</v>
      </c>
      <c r="Q50" s="329">
        <f t="shared" si="252"/>
        <v>104.548</v>
      </c>
      <c r="R50" s="329">
        <f t="shared" si="252"/>
        <v>115.26100000000001</v>
      </c>
      <c r="S50" s="329">
        <f t="shared" si="252"/>
        <v>109.628</v>
      </c>
      <c r="T50" s="288"/>
      <c r="U50" s="329" cm="1">
        <f t="array" ref="U50:AD50">U45:AD45</f>
        <v>123.52999807260002</v>
      </c>
      <c r="V50" s="329">
        <v>135.2693316698907</v>
      </c>
      <c r="W50" s="329">
        <v>148.70216947254431</v>
      </c>
      <c r="X50" s="329">
        <v>161.64077260208563</v>
      </c>
      <c r="Y50" s="329">
        <v>172.19699979709458</v>
      </c>
      <c r="Z50" s="329">
        <v>181.29614964166396</v>
      </c>
      <c r="AA50" s="329">
        <v>188.83907671578763</v>
      </c>
      <c r="AB50" s="329">
        <v>194.25472416622279</v>
      </c>
      <c r="AC50" s="329">
        <v>197.95929073935071</v>
      </c>
      <c r="AD50" s="329">
        <v>199.01095925828656</v>
      </c>
      <c r="AH50" s="845"/>
      <c r="AI50" s="825"/>
      <c r="AJ50" s="825"/>
      <c r="AK50" s="825"/>
      <c r="AL50" s="825"/>
      <c r="AM50" s="826"/>
    </row>
    <row r="51" spans="1:72">
      <c r="B51" s="275" t="s">
        <v>193</v>
      </c>
      <c r="C51" s="330">
        <f t="shared" ref="C51" si="253">ABS(C50/C$14)</f>
        <v>0.16919139636530942</v>
      </c>
      <c r="D51" s="330">
        <f t="shared" ref="D51" si="254">ABS(D50/D$14)</f>
        <v>0.15809115004307153</v>
      </c>
      <c r="E51" s="330">
        <f t="shared" ref="E51" si="255">ABS(E50/E$14)</f>
        <v>0.15427431676309908</v>
      </c>
      <c r="F51" s="330">
        <f t="shared" ref="F51" si="256">ABS(F50/F$14)</f>
        <v>0.15814180851305856</v>
      </c>
      <c r="G51" s="330">
        <f t="shared" ref="G51" si="257">ABS(G50/G$14)</f>
        <v>0.13524684374405693</v>
      </c>
      <c r="H51" s="330">
        <f t="shared" ref="H51" si="258">ABS(H50/H$14)</f>
        <v>0.11997666397971267</v>
      </c>
      <c r="I51" s="330">
        <f t="shared" ref="I51" si="259">ABS(I50/I$14)</f>
        <v>0.11484556774434604</v>
      </c>
      <c r="J51" s="330">
        <f t="shared" ref="J51" si="260">ABS(J50/J$14)</f>
        <v>0.121127594635559</v>
      </c>
      <c r="K51" s="330">
        <f t="shared" ref="K51" si="261">ABS(K50/K$14)</f>
        <v>9.8616283280771849E-2</v>
      </c>
      <c r="L51" s="330">
        <f t="shared" ref="L51" si="262">ABS(L50/L$14)</f>
        <v>9.3173103220746456E-2</v>
      </c>
      <c r="M51" s="330">
        <f t="shared" ref="M51" si="263">ABS(M50/M$14)</f>
        <v>9.0002712625320558E-2</v>
      </c>
      <c r="N51" s="332"/>
      <c r="O51" s="330">
        <f t="shared" ref="O51" si="264">ABS(O50/O$14)</f>
        <v>0.1116203895565686</v>
      </c>
      <c r="P51" s="330">
        <f t="shared" ref="P51" si="265">ABS(P50/P$14)</f>
        <v>0.16380578349197517</v>
      </c>
      <c r="Q51" s="330">
        <f t="shared" ref="Q51" si="266">ABS(Q50/Q$14)</f>
        <v>0.19023408266611005</v>
      </c>
      <c r="R51" s="330">
        <f t="shared" ref="R51" si="267">ABS(R50/R$14)</f>
        <v>0.15767414308742775</v>
      </c>
      <c r="S51" s="330">
        <f t="shared" ref="S51:AD51" si="268">ABS(S50/S$14)</f>
        <v>0.12056704829148658</v>
      </c>
      <c r="T51" s="276"/>
      <c r="U51" s="330">
        <f t="shared" si="268"/>
        <v>0.11340000000000001</v>
      </c>
      <c r="V51" s="330">
        <f t="shared" si="268"/>
        <v>0.1046</v>
      </c>
      <c r="W51" s="330">
        <f t="shared" si="268"/>
        <v>9.7400000000000014E-2</v>
      </c>
      <c r="X51" s="330">
        <f t="shared" si="268"/>
        <v>9.0699999999999989E-2</v>
      </c>
      <c r="Y51" s="330">
        <f t="shared" si="268"/>
        <v>8.3699999999999997E-2</v>
      </c>
      <c r="Z51" s="330">
        <f t="shared" si="268"/>
        <v>7.7499999999999999E-2</v>
      </c>
      <c r="AA51" s="330">
        <f t="shared" si="268"/>
        <v>7.1800000000000003E-2</v>
      </c>
      <c r="AB51" s="330">
        <f t="shared" si="268"/>
        <v>6.6400000000000001E-2</v>
      </c>
      <c r="AC51" s="330">
        <f t="shared" si="268"/>
        <v>6.1799999999999994E-2</v>
      </c>
      <c r="AD51" s="330">
        <f t="shared" si="268"/>
        <v>5.7599999999999998E-2</v>
      </c>
      <c r="AH51" s="845"/>
      <c r="AI51" s="825"/>
      <c r="AJ51" s="825"/>
      <c r="AK51" s="825"/>
      <c r="AL51" s="825"/>
      <c r="AM51" s="826"/>
    </row>
    <row r="52" spans="1:72" s="298" customFormat="1">
      <c r="A52" s="163"/>
      <c r="B52" s="296" t="s">
        <v>212</v>
      </c>
      <c r="C52" s="288">
        <f>C48-C45</f>
        <v>-51.999000000000009</v>
      </c>
      <c r="D52" s="288">
        <f t="shared" ref="D52:M52" si="269">D48-D45</f>
        <v>-37.557970186607555</v>
      </c>
      <c r="E52" s="288">
        <f t="shared" si="269"/>
        <v>-33.315315416200093</v>
      </c>
      <c r="F52" s="288">
        <f t="shared" si="269"/>
        <v>-46.779530324715424</v>
      </c>
      <c r="G52" s="288">
        <f t="shared" si="269"/>
        <v>-20.888215522865949</v>
      </c>
      <c r="H52" s="288">
        <f t="shared" si="269"/>
        <v>-18.025190988852636</v>
      </c>
      <c r="I52" s="288">
        <f t="shared" si="269"/>
        <v>-18.068250646862065</v>
      </c>
      <c r="J52" s="288">
        <f t="shared" si="269"/>
        <v>-14.006747675246373</v>
      </c>
      <c r="K52" s="288">
        <f t="shared" si="269"/>
        <v>-16.307094498450319</v>
      </c>
      <c r="L52" s="288">
        <f t="shared" si="269"/>
        <v>-8.5541412093479323</v>
      </c>
      <c r="M52" s="288">
        <f t="shared" si="269"/>
        <v>0.83311184278815986</v>
      </c>
      <c r="N52" s="288"/>
      <c r="O52" s="288">
        <f>O48-O45</f>
        <v>-7.3990000000000169</v>
      </c>
      <c r="P52" s="288">
        <f t="shared" ref="P52:S52" si="270">P48-P45</f>
        <v>-27.826926163267593</v>
      </c>
      <c r="Q52" s="288">
        <f t="shared" si="270"/>
        <v>-102.66945320643327</v>
      </c>
      <c r="R52" s="288">
        <f t="shared" si="270"/>
        <v>-157.1103804685614</v>
      </c>
      <c r="S52" s="288">
        <f t="shared" si="270"/>
        <v>-71.812999999999988</v>
      </c>
      <c r="T52" s="288"/>
      <c r="U52" s="288">
        <f t="shared" ref="U52:AD52" si="271">U48-U45</f>
        <v>-251.09051636450008</v>
      </c>
      <c r="V52" s="288">
        <f t="shared" si="271"/>
        <v>-258.12388720181832</v>
      </c>
      <c r="W52" s="288">
        <f t="shared" si="271"/>
        <v>-10.620190470336922</v>
      </c>
      <c r="X52" s="288">
        <f t="shared" si="271"/>
        <v>22.167689296364131</v>
      </c>
      <c r="Y52" s="288">
        <f t="shared" si="271"/>
        <v>56.36043640022308</v>
      </c>
      <c r="Z52" s="288">
        <f t="shared" si="271"/>
        <v>78.252235367438203</v>
      </c>
      <c r="AA52" s="288">
        <f t="shared" si="271"/>
        <v>124.37836361731732</v>
      </c>
      <c r="AB52" s="288">
        <f t="shared" si="271"/>
        <v>159.2114088943797</v>
      </c>
      <c r="AC52" s="288">
        <f t="shared" si="271"/>
        <v>181.71217615960319</v>
      </c>
      <c r="AD52" s="288">
        <f t="shared" si="271"/>
        <v>194.34509523251461</v>
      </c>
      <c r="AE52" s="163"/>
      <c r="AF52" s="163"/>
      <c r="AG52" s="163"/>
      <c r="AH52" s="845"/>
      <c r="AI52" s="825"/>
      <c r="AJ52" s="825"/>
      <c r="AK52" s="825"/>
      <c r="AL52" s="825"/>
      <c r="AM52" s="826"/>
      <c r="AN52" s="163"/>
      <c r="AO52" s="163"/>
      <c r="AP52" s="163"/>
      <c r="AQ52" s="163"/>
      <c r="AR52" s="163"/>
      <c r="AS52" s="163"/>
      <c r="AT52" s="163"/>
      <c r="AU52" s="163"/>
      <c r="AV52" s="163"/>
      <c r="AW52" s="163"/>
      <c r="AX52" s="163"/>
      <c r="AY52" s="163"/>
      <c r="AZ52" s="163"/>
      <c r="BA52" s="163"/>
      <c r="BB52" s="163"/>
      <c r="BC52" s="163"/>
      <c r="BD52" s="163"/>
      <c r="BE52" s="163"/>
      <c r="BF52" s="163"/>
      <c r="BG52" s="163"/>
      <c r="BH52" s="163"/>
      <c r="BI52" s="163"/>
      <c r="BJ52" s="163"/>
      <c r="BK52" s="163"/>
      <c r="BL52" s="163"/>
      <c r="BM52" s="163"/>
      <c r="BN52" s="163"/>
      <c r="BO52" s="163"/>
      <c r="BP52" s="163"/>
      <c r="BQ52" s="163"/>
      <c r="BR52" s="163"/>
      <c r="BS52" s="163"/>
      <c r="BT52" s="163"/>
    </row>
    <row r="53" spans="1:72">
      <c r="B53" s="212" t="s">
        <v>213</v>
      </c>
      <c r="C53" s="333">
        <f>C52/C$14</f>
        <v>-0.29905106970324369</v>
      </c>
      <c r="D53" s="333">
        <f t="shared" ref="D53:M53" si="272">D52/D$14</f>
        <v>-0.20434259214936784</v>
      </c>
      <c r="E53" s="333">
        <f t="shared" si="272"/>
        <v>-0.17650060177133967</v>
      </c>
      <c r="F53" s="333">
        <f t="shared" si="272"/>
        <v>-0.25399297970685863</v>
      </c>
      <c r="G53" s="333">
        <f t="shared" si="272"/>
        <v>-9.9800940435695609E-2</v>
      </c>
      <c r="H53" s="333">
        <f t="shared" si="272"/>
        <v>-7.8227610144319684E-2</v>
      </c>
      <c r="I53" s="333">
        <f t="shared" si="272"/>
        <v>-7.536075916782356E-2</v>
      </c>
      <c r="J53" s="333">
        <f t="shared" si="272"/>
        <v>-6.0855972401083293E-2</v>
      </c>
      <c r="K53" s="333">
        <f t="shared" si="272"/>
        <v>-6.123467559765032E-2</v>
      </c>
      <c r="L53" s="333">
        <f t="shared" si="272"/>
        <v>-3.0851431519060765E-2</v>
      </c>
      <c r="M53" s="333">
        <f t="shared" si="272"/>
        <v>2.9738369862462913E-3</v>
      </c>
      <c r="N53" s="333"/>
      <c r="O53" s="333">
        <f t="shared" ref="O53:S53" si="273">O52/O$14</f>
        <v>-6.132615002072124E-2</v>
      </c>
      <c r="P53" s="333">
        <f t="shared" si="273"/>
        <v>-0.12494069682721788</v>
      </c>
      <c r="Q53" s="333">
        <f t="shared" si="273"/>
        <v>-0.18681590512068089</v>
      </c>
      <c r="R53" s="333">
        <f t="shared" si="273"/>
        <v>-0.21492304084226377</v>
      </c>
      <c r="S53" s="333">
        <f t="shared" si="273"/>
        <v>-7.8978741187985951E-2</v>
      </c>
      <c r="T53" s="333"/>
      <c r="U53" s="333">
        <f t="shared" ref="U53:AD53" si="274">U52/U$14</f>
        <v>-0.23050000000000004</v>
      </c>
      <c r="V53" s="333">
        <f t="shared" si="274"/>
        <v>-0.19960000000000008</v>
      </c>
      <c r="W53" s="333">
        <f t="shared" si="274"/>
        <v>-6.9562303998651782E-3</v>
      </c>
      <c r="X53" s="333">
        <f t="shared" si="274"/>
        <v>1.243875160217023E-2</v>
      </c>
      <c r="Y53" s="333">
        <f t="shared" si="274"/>
        <v>2.7395184191694993E-2</v>
      </c>
      <c r="Z53" s="333">
        <f t="shared" si="274"/>
        <v>3.3451059236300276E-2</v>
      </c>
      <c r="AA53" s="333">
        <f t="shared" si="274"/>
        <v>4.7290882072909296E-2</v>
      </c>
      <c r="AB53" s="333">
        <f t="shared" si="274"/>
        <v>5.4421521000131333E-2</v>
      </c>
      <c r="AC53" s="333">
        <f t="shared" si="274"/>
        <v>5.6727888065882998E-2</v>
      </c>
      <c r="AD53" s="333">
        <f t="shared" si="274"/>
        <v>5.6249552924692643E-2</v>
      </c>
      <c r="AH53" s="845"/>
      <c r="AI53" s="825"/>
      <c r="AJ53" s="825"/>
      <c r="AK53" s="825"/>
      <c r="AL53" s="825"/>
      <c r="AM53" s="826"/>
    </row>
    <row r="54" spans="1:72" s="298" customFormat="1">
      <c r="A54" s="163"/>
      <c r="B54" s="286" t="s">
        <v>630</v>
      </c>
      <c r="C54" s="299">
        <v>0</v>
      </c>
      <c r="D54" s="288">
        <v>0</v>
      </c>
      <c r="E54" s="288">
        <v>0</v>
      </c>
      <c r="F54" s="288">
        <v>0.20100000000000001</v>
      </c>
      <c r="G54" s="288">
        <v>0</v>
      </c>
      <c r="H54" s="288">
        <v>0</v>
      </c>
      <c r="I54" s="288">
        <v>0</v>
      </c>
      <c r="J54" s="288">
        <v>-5.21</v>
      </c>
      <c r="K54" s="288">
        <v>0</v>
      </c>
      <c r="L54" s="288">
        <v>0</v>
      </c>
      <c r="M54" s="288">
        <v>0</v>
      </c>
      <c r="N54" s="288"/>
      <c r="O54" s="288">
        <v>5.8999999999999997E-2</v>
      </c>
      <c r="P54" s="288">
        <v>3.7999999999999999E-2</v>
      </c>
      <c r="Q54" s="288">
        <v>1.077</v>
      </c>
      <c r="R54" s="288">
        <v>0.20100000000000001</v>
      </c>
      <c r="S54" s="288">
        <v>5.21</v>
      </c>
      <c r="T54" s="288"/>
      <c r="U54" s="337">
        <f>ABS(U52*U55)</f>
        <v>19.107988295338455</v>
      </c>
      <c r="V54" s="337">
        <f t="shared" ref="V54:AD54" si="275">ABS(V52*V55)</f>
        <v>21.656594136232556</v>
      </c>
      <c r="W54" s="337">
        <f t="shared" si="275"/>
        <v>0.91758445663711019</v>
      </c>
      <c r="X54" s="337">
        <f t="shared" si="275"/>
        <v>2.0283435706173178</v>
      </c>
      <c r="Y54" s="337">
        <f t="shared" si="275"/>
        <v>5.636043640022308</v>
      </c>
      <c r="Z54" s="337">
        <f t="shared" si="275"/>
        <v>9.7815294209297754</v>
      </c>
      <c r="AA54" s="337">
        <f t="shared" si="275"/>
        <v>16.791079088337838</v>
      </c>
      <c r="AB54" s="337">
        <f t="shared" si="275"/>
        <v>23.085654289685056</v>
      </c>
      <c r="AC54" s="337">
        <f t="shared" si="275"/>
        <v>31.799630827930557</v>
      </c>
      <c r="AD54" s="337">
        <f t="shared" si="275"/>
        <v>38.869019046502927</v>
      </c>
      <c r="AE54" s="163"/>
      <c r="AF54" s="163"/>
      <c r="AG54" s="163"/>
      <c r="AH54" s="845"/>
      <c r="AI54" s="825"/>
      <c r="AJ54" s="825"/>
      <c r="AK54" s="825"/>
      <c r="AL54" s="825"/>
      <c r="AM54" s="826"/>
      <c r="AN54" s="163"/>
      <c r="AO54" s="163"/>
      <c r="AP54" s="163"/>
      <c r="AQ54" s="163"/>
      <c r="AR54" s="163"/>
      <c r="AS54" s="163"/>
      <c r="AT54" s="163"/>
      <c r="AU54" s="163"/>
      <c r="AV54" s="163"/>
      <c r="AW54" s="163"/>
      <c r="AX54" s="163"/>
      <c r="AY54" s="163"/>
      <c r="AZ54" s="163"/>
      <c r="BA54" s="163"/>
      <c r="BB54" s="163"/>
      <c r="BC54" s="163"/>
      <c r="BD54" s="163"/>
      <c r="BE54" s="163"/>
      <c r="BF54" s="163"/>
      <c r="BG54" s="163"/>
      <c r="BH54" s="163"/>
      <c r="BI54" s="163"/>
      <c r="BJ54" s="163"/>
      <c r="BK54" s="163"/>
      <c r="BL54" s="163"/>
      <c r="BM54" s="163"/>
      <c r="BN54" s="163"/>
      <c r="BO54" s="163"/>
      <c r="BP54" s="163"/>
      <c r="BQ54" s="163"/>
      <c r="BR54" s="163"/>
      <c r="BS54" s="163"/>
      <c r="BT54" s="163"/>
    </row>
    <row r="55" spans="1:72">
      <c r="B55" s="275" t="s">
        <v>214</v>
      </c>
      <c r="C55" s="276">
        <f>ABS(C54/C$52)</f>
        <v>0</v>
      </c>
      <c r="D55" s="276">
        <f t="shared" ref="D55:M55" si="276">ABS(D54/D$52)</f>
        <v>0</v>
      </c>
      <c r="E55" s="276">
        <f t="shared" si="276"/>
        <v>0</v>
      </c>
      <c r="F55" s="276">
        <f t="shared" si="276"/>
        <v>4.2967511346261632E-3</v>
      </c>
      <c r="G55" s="276">
        <f t="shared" si="276"/>
        <v>0</v>
      </c>
      <c r="H55" s="276">
        <f t="shared" si="276"/>
        <v>0</v>
      </c>
      <c r="I55" s="276">
        <f t="shared" si="276"/>
        <v>0</v>
      </c>
      <c r="J55" s="276">
        <f t="shared" si="276"/>
        <v>0.37196357932594498</v>
      </c>
      <c r="K55" s="276">
        <f t="shared" si="276"/>
        <v>0</v>
      </c>
      <c r="L55" s="276">
        <f t="shared" si="276"/>
        <v>0</v>
      </c>
      <c r="M55" s="276">
        <f t="shared" si="276"/>
        <v>0</v>
      </c>
      <c r="N55" s="276"/>
      <c r="O55" s="276">
        <f>ABS(O54/O$52)</f>
        <v>7.9740505473712472E-3</v>
      </c>
      <c r="P55" s="276">
        <f t="shared" ref="P55:S55" si="277">ABS(P54/P$52)</f>
        <v>1.3655838153680509E-3</v>
      </c>
      <c r="Q55" s="276">
        <f t="shared" si="277"/>
        <v>1.0489975025332219E-2</v>
      </c>
      <c r="R55" s="276">
        <f t="shared" si="277"/>
        <v>1.2793553131279008E-3</v>
      </c>
      <c r="S55" s="276">
        <f t="shared" si="277"/>
        <v>7.2549538384415094E-2</v>
      </c>
      <c r="T55" s="276"/>
      <c r="U55" s="344">
        <v>7.6100000000000001E-2</v>
      </c>
      <c r="V55" s="344">
        <v>8.3900000000000002E-2</v>
      </c>
      <c r="W55" s="344">
        <v>8.6400000000000005E-2</v>
      </c>
      <c r="X55" s="344">
        <v>9.1499999999999998E-2</v>
      </c>
      <c r="Y55" s="344">
        <v>0.1</v>
      </c>
      <c r="Z55" s="344">
        <v>0.125</v>
      </c>
      <c r="AA55" s="344">
        <v>0.13500000000000001</v>
      </c>
      <c r="AB55" s="344">
        <v>0.14499999999999999</v>
      </c>
      <c r="AC55" s="344">
        <v>0.17499999999999999</v>
      </c>
      <c r="AD55" s="344">
        <v>0.2</v>
      </c>
      <c r="AH55" s="871" t="s">
        <v>208</v>
      </c>
      <c r="AI55" s="872"/>
      <c r="AJ55" s="872"/>
      <c r="AK55" s="872"/>
      <c r="AL55" s="872"/>
      <c r="AM55" s="873"/>
    </row>
    <row r="56" spans="1:72" s="298" customFormat="1" ht="14" customHeight="1">
      <c r="A56" s="163"/>
      <c r="B56" s="296" t="s">
        <v>215</v>
      </c>
      <c r="C56" s="288">
        <f>C52-C54</f>
        <v>-51.999000000000009</v>
      </c>
      <c r="D56" s="288">
        <f t="shared" ref="D56:S56" si="278">D52-D54</f>
        <v>-37.557970186607555</v>
      </c>
      <c r="E56" s="288">
        <f t="shared" si="278"/>
        <v>-33.315315416200093</v>
      </c>
      <c r="F56" s="288">
        <f t="shared" si="278"/>
        <v>-46.980530324715424</v>
      </c>
      <c r="G56" s="288">
        <f t="shared" si="278"/>
        <v>-20.888215522865949</v>
      </c>
      <c r="H56" s="288">
        <f t="shared" si="278"/>
        <v>-18.025190988852636</v>
      </c>
      <c r="I56" s="288">
        <f t="shared" si="278"/>
        <v>-18.068250646862065</v>
      </c>
      <c r="J56" s="288">
        <f t="shared" si="278"/>
        <v>-8.7967476752463725</v>
      </c>
      <c r="K56" s="288">
        <f t="shared" si="278"/>
        <v>-16.307094498450319</v>
      </c>
      <c r="L56" s="288">
        <f t="shared" si="278"/>
        <v>-8.5541412093479323</v>
      </c>
      <c r="M56" s="288">
        <f t="shared" si="278"/>
        <v>0.83311184278815986</v>
      </c>
      <c r="N56" s="288"/>
      <c r="O56" s="288">
        <f t="shared" si="278"/>
        <v>-7.4580000000000171</v>
      </c>
      <c r="P56" s="288">
        <f t="shared" si="278"/>
        <v>-27.864926163267594</v>
      </c>
      <c r="Q56" s="288">
        <f t="shared" si="278"/>
        <v>-103.74645320643327</v>
      </c>
      <c r="R56" s="288">
        <f t="shared" si="278"/>
        <v>-157.3113804685614</v>
      </c>
      <c r="S56" s="288">
        <f t="shared" si="278"/>
        <v>-77.022999999999982</v>
      </c>
      <c r="T56" s="327"/>
      <c r="U56" s="327">
        <f t="shared" ref="U56:AD56" si="279">U52-U54</f>
        <v>-270.19850465983853</v>
      </c>
      <c r="V56" s="327">
        <f t="shared" si="279"/>
        <v>-279.78048133805089</v>
      </c>
      <c r="W56" s="327">
        <f t="shared" si="279"/>
        <v>-11.537774926974032</v>
      </c>
      <c r="X56" s="327">
        <f t="shared" si="279"/>
        <v>20.139345725746814</v>
      </c>
      <c r="Y56" s="327">
        <f t="shared" si="279"/>
        <v>50.724392760200772</v>
      </c>
      <c r="Z56" s="327">
        <f t="shared" si="279"/>
        <v>68.470705946508431</v>
      </c>
      <c r="AA56" s="327">
        <f t="shared" si="279"/>
        <v>107.58728452897948</v>
      </c>
      <c r="AB56" s="327">
        <f t="shared" si="279"/>
        <v>136.12575460469463</v>
      </c>
      <c r="AC56" s="327">
        <f t="shared" si="279"/>
        <v>149.91254533167262</v>
      </c>
      <c r="AD56" s="327">
        <f t="shared" si="279"/>
        <v>155.47607618601168</v>
      </c>
      <c r="AE56" s="163"/>
      <c r="AF56" s="163"/>
      <c r="AG56" s="163"/>
      <c r="AH56" s="865" t="s">
        <v>734</v>
      </c>
      <c r="AI56" s="866"/>
      <c r="AJ56" s="866"/>
      <c r="AK56" s="866"/>
      <c r="AL56" s="866"/>
      <c r="AM56" s="867"/>
      <c r="AN56" s="163"/>
      <c r="AO56" s="163"/>
      <c r="AP56" s="163"/>
      <c r="AQ56" s="163"/>
      <c r="AR56" s="163"/>
      <c r="AS56" s="163"/>
      <c r="AT56" s="163"/>
      <c r="AU56" s="163"/>
      <c r="AV56" s="163"/>
      <c r="AW56" s="163"/>
      <c r="AX56" s="163"/>
      <c r="AY56" s="163"/>
      <c r="AZ56" s="163"/>
      <c r="BA56" s="163"/>
      <c r="BB56" s="163"/>
      <c r="BC56" s="163"/>
      <c r="BD56" s="163"/>
      <c r="BE56" s="163"/>
      <c r="BF56" s="163"/>
      <c r="BG56" s="163"/>
      <c r="BH56" s="163"/>
      <c r="BI56" s="163"/>
      <c r="BJ56" s="163"/>
      <c r="BK56" s="163"/>
      <c r="BL56" s="163"/>
      <c r="BM56" s="163"/>
      <c r="BN56" s="163"/>
      <c r="BO56" s="163"/>
      <c r="BP56" s="163"/>
      <c r="BQ56" s="163"/>
      <c r="BR56" s="163"/>
      <c r="BS56" s="163"/>
      <c r="BT56" s="163"/>
    </row>
    <row r="57" spans="1:72" s="298" customFormat="1">
      <c r="A57" s="163"/>
      <c r="B57" s="286" t="s">
        <v>359</v>
      </c>
      <c r="C57" s="341">
        <f>ABS(C126)</f>
        <v>3.08</v>
      </c>
      <c r="D57" s="341">
        <f t="shared" ref="D57:M57" si="280">ABS(D126)</f>
        <v>2.13</v>
      </c>
      <c r="E57" s="341">
        <f t="shared" si="280"/>
        <v>2</v>
      </c>
      <c r="F57" s="341">
        <f t="shared" si="280"/>
        <v>2.0200000000000005</v>
      </c>
      <c r="G57" s="341">
        <f t="shared" si="280"/>
        <v>1.07</v>
      </c>
      <c r="H57" s="341">
        <f t="shared" si="280"/>
        <v>0.83999999999999986</v>
      </c>
      <c r="I57" s="341">
        <f t="shared" si="280"/>
        <v>2.2800000000000002</v>
      </c>
      <c r="J57" s="341">
        <f t="shared" si="280"/>
        <v>3.3199999999999994</v>
      </c>
      <c r="K57" s="341">
        <f t="shared" si="280"/>
        <v>0.85</v>
      </c>
      <c r="L57" s="341">
        <f t="shared" si="280"/>
        <v>1.0499999999999998</v>
      </c>
      <c r="M57" s="341">
        <f t="shared" si="280"/>
        <v>0.94</v>
      </c>
      <c r="N57" s="329"/>
      <c r="O57" s="329">
        <f>ABS(O126)</f>
        <v>3.61</v>
      </c>
      <c r="P57" s="329">
        <f t="shared" ref="P57:S57" si="281">ABS(P126)</f>
        <v>1.79</v>
      </c>
      <c r="Q57" s="329">
        <f t="shared" si="281"/>
        <v>10.65</v>
      </c>
      <c r="R57" s="329">
        <f t="shared" si="281"/>
        <v>9.23</v>
      </c>
      <c r="S57" s="329">
        <f t="shared" si="281"/>
        <v>7.51</v>
      </c>
      <c r="T57" s="297"/>
      <c r="U57" s="310">
        <f>U$14*U58</f>
        <v>9.4771691643000011</v>
      </c>
      <c r="V57" s="310">
        <f t="shared" ref="V57:AD57" si="282">V$14*V58</f>
        <v>11.76817321411095</v>
      </c>
      <c r="W57" s="310">
        <f t="shared" si="282"/>
        <v>14.656476662591633</v>
      </c>
      <c r="X57" s="310">
        <f t="shared" si="282"/>
        <v>17.821474377297204</v>
      </c>
      <c r="Y57" s="310">
        <f t="shared" si="282"/>
        <v>21.601774168094305</v>
      </c>
      <c r="Z57" s="310">
        <f t="shared" si="282"/>
        <v>25.732356723332948</v>
      </c>
      <c r="AA57" s="310">
        <f t="shared" si="282"/>
        <v>30.508820193636993</v>
      </c>
      <c r="AB57" s="310">
        <f t="shared" si="282"/>
        <v>35.691380042589124</v>
      </c>
      <c r="AC57" s="310">
        <f t="shared" si="282"/>
        <v>41.001277046338018</v>
      </c>
      <c r="AD57" s="310">
        <f t="shared" si="282"/>
        <v>47.679708988964492</v>
      </c>
      <c r="AE57" s="163"/>
      <c r="AF57" s="163"/>
      <c r="AG57" s="163"/>
      <c r="AH57" s="865"/>
      <c r="AI57" s="866"/>
      <c r="AJ57" s="866"/>
      <c r="AK57" s="866"/>
      <c r="AL57" s="866"/>
      <c r="AM57" s="867"/>
      <c r="AN57" s="163"/>
      <c r="AO57" s="163"/>
      <c r="AP57" s="163"/>
      <c r="AQ57" s="163"/>
      <c r="AR57" s="163"/>
      <c r="AS57" s="163"/>
      <c r="AT57" s="163"/>
      <c r="AU57" s="163"/>
      <c r="AV57" s="163"/>
      <c r="AW57" s="163"/>
      <c r="AX57" s="163"/>
      <c r="AY57" s="163"/>
      <c r="AZ57" s="163"/>
      <c r="BA57" s="163"/>
      <c r="BB57" s="163"/>
      <c r="BC57" s="163"/>
      <c r="BD57" s="163"/>
      <c r="BE57" s="163"/>
      <c r="BF57" s="163"/>
      <c r="BG57" s="163"/>
      <c r="BH57" s="163"/>
      <c r="BI57" s="163"/>
      <c r="BJ57" s="163"/>
      <c r="BK57" s="163"/>
      <c r="BL57" s="163"/>
      <c r="BM57" s="163"/>
      <c r="BN57" s="163"/>
      <c r="BO57" s="163"/>
      <c r="BP57" s="163"/>
      <c r="BQ57" s="163"/>
      <c r="BR57" s="163"/>
      <c r="BS57" s="163"/>
      <c r="BT57" s="163"/>
    </row>
    <row r="58" spans="1:72">
      <c r="B58" s="275" t="s">
        <v>216</v>
      </c>
      <c r="C58" s="330">
        <f t="shared" ref="C58:S58" si="283">ABS(C57/C$14)</f>
        <v>1.7713365539452498E-2</v>
      </c>
      <c r="D58" s="330">
        <f t="shared" si="283"/>
        <v>1.1588744522550239E-2</v>
      </c>
      <c r="E58" s="330">
        <f t="shared" si="283"/>
        <v>1.0595763513949112E-2</v>
      </c>
      <c r="F58" s="330">
        <f t="shared" si="283"/>
        <v>1.0967741989850252E-2</v>
      </c>
      <c r="G58" s="330">
        <f t="shared" si="283"/>
        <v>5.1123087153757346E-3</v>
      </c>
      <c r="H58" s="330">
        <f t="shared" si="283"/>
        <v>3.6455199038870909E-3</v>
      </c>
      <c r="I58" s="330">
        <f t="shared" si="283"/>
        <v>9.5096384404252422E-3</v>
      </c>
      <c r="J58" s="330">
        <f t="shared" si="283"/>
        <v>1.442460684350428E-2</v>
      </c>
      <c r="K58" s="330">
        <f t="shared" si="283"/>
        <v>3.1918300505923412E-3</v>
      </c>
      <c r="L58" s="330">
        <f t="shared" si="283"/>
        <v>3.7869380808927679E-3</v>
      </c>
      <c r="M58" s="330">
        <f t="shared" si="283"/>
        <v>3.3553799424050654E-3</v>
      </c>
      <c r="N58" s="274"/>
      <c r="O58" s="330">
        <f t="shared" si="283"/>
        <v>2.9921259842519685E-2</v>
      </c>
      <c r="P58" s="330">
        <f t="shared" si="283"/>
        <v>8.0369583765215451E-3</v>
      </c>
      <c r="Q58" s="330">
        <f t="shared" si="283"/>
        <v>1.9378591464151128E-2</v>
      </c>
      <c r="R58" s="330">
        <f t="shared" si="283"/>
        <v>1.2626407377143684E-2</v>
      </c>
      <c r="S58" s="330">
        <f t="shared" si="283"/>
        <v>8.2593729035380023E-3</v>
      </c>
      <c r="T58" s="297"/>
      <c r="U58" s="659">
        <v>8.6999999999999994E-3</v>
      </c>
      <c r="V58" s="325">
        <v>9.1000000000000004E-3</v>
      </c>
      <c r="W58" s="325">
        <v>9.5999999999999992E-3</v>
      </c>
      <c r="X58" s="325">
        <v>0.01</v>
      </c>
      <c r="Y58" s="325">
        <v>1.0500000000000001E-2</v>
      </c>
      <c r="Z58" s="325">
        <v>1.0999999999999999E-2</v>
      </c>
      <c r="AA58" s="325">
        <v>1.1599999999999999E-2</v>
      </c>
      <c r="AB58" s="325">
        <v>1.2200000000000001E-2</v>
      </c>
      <c r="AC58" s="325">
        <v>1.2800000000000001E-2</v>
      </c>
      <c r="AD58" s="325">
        <v>1.38E-2</v>
      </c>
      <c r="AH58" s="865"/>
      <c r="AI58" s="866"/>
      <c r="AJ58" s="866"/>
      <c r="AK58" s="866"/>
      <c r="AL58" s="866"/>
      <c r="AM58" s="867"/>
    </row>
    <row r="59" spans="1:72">
      <c r="B59" s="286" t="s">
        <v>629</v>
      </c>
      <c r="C59" s="288"/>
      <c r="D59" s="288"/>
      <c r="E59" s="288"/>
      <c r="F59" s="288"/>
      <c r="G59" s="288"/>
      <c r="H59" s="288"/>
      <c r="I59" s="288"/>
      <c r="J59" s="288"/>
      <c r="K59" s="288"/>
      <c r="L59" s="288"/>
      <c r="M59" s="288"/>
      <c r="N59" s="288"/>
      <c r="O59" s="288"/>
      <c r="P59" s="329" cm="1">
        <f t="array" ref="P59:S59">'NWC Schedule'!C25:F25</f>
        <v>-24.684999999999995</v>
      </c>
      <c r="Q59" s="329">
        <v>-4.6510000000000105</v>
      </c>
      <c r="R59" s="329">
        <v>28.910000000000011</v>
      </c>
      <c r="S59" s="329">
        <v>8.7210000000000036</v>
      </c>
      <c r="T59" s="290"/>
      <c r="U59" s="329" cm="1">
        <f t="array" ref="U59:AD59">'NWC Schedule'!G25:P25</f>
        <v>76.991019292739722</v>
      </c>
      <c r="V59" s="329">
        <v>1.7064716719666393</v>
      </c>
      <c r="W59" s="329">
        <v>-5.3137469189564399</v>
      </c>
      <c r="X59" s="329">
        <v>1.0878006835782799</v>
      </c>
      <c r="Y59" s="329">
        <v>-8.2269063720110438</v>
      </c>
      <c r="Z59" s="329">
        <v>-2.2318505965868951</v>
      </c>
      <c r="AA59" s="329">
        <v>-3.5027892601514452</v>
      </c>
      <c r="AB59" s="329">
        <v>-4.7825021224601016</v>
      </c>
      <c r="AC59" s="329">
        <v>-1.9212314592047335</v>
      </c>
      <c r="AD59" s="329">
        <v>0.91071539981402339</v>
      </c>
      <c r="AH59" s="865"/>
      <c r="AI59" s="866"/>
      <c r="AJ59" s="866"/>
      <c r="AK59" s="866"/>
      <c r="AL59" s="866"/>
      <c r="AM59" s="867"/>
    </row>
    <row r="60" spans="1:72">
      <c r="B60" s="275" t="s">
        <v>216</v>
      </c>
      <c r="C60" s="274"/>
      <c r="D60" s="274"/>
      <c r="E60" s="274"/>
      <c r="F60" s="274"/>
      <c r="G60" s="274"/>
      <c r="H60" s="274"/>
      <c r="I60" s="274"/>
      <c r="J60" s="274"/>
      <c r="K60" s="274"/>
      <c r="L60" s="274"/>
      <c r="M60" s="274"/>
      <c r="N60" s="274"/>
      <c r="O60" s="274"/>
      <c r="P60" s="276">
        <f>P59/P14</f>
        <v>-0.11083369694102474</v>
      </c>
      <c r="Q60" s="660">
        <v>6.9199999999999998E-2</v>
      </c>
      <c r="R60" s="660">
        <v>6.9199999999999998E-2</v>
      </c>
      <c r="S60" s="660">
        <v>6.9199999999999998E-2</v>
      </c>
      <c r="T60" s="297"/>
      <c r="U60" s="333">
        <f>ABS(U59/U14)</f>
        <v>7.0677420254353945E-2</v>
      </c>
      <c r="V60" s="333">
        <f t="shared" ref="V60:AD60" si="284">ABS(V59/V14)</f>
        <v>1.3195669312783462E-3</v>
      </c>
      <c r="W60" s="333">
        <f t="shared" si="284"/>
        <v>3.4805070547536095E-3</v>
      </c>
      <c r="X60" s="333">
        <f t="shared" si="284"/>
        <v>6.1038759226567151E-4</v>
      </c>
      <c r="Y60" s="333">
        <f t="shared" si="284"/>
        <v>3.9988621413190421E-3</v>
      </c>
      <c r="Z60" s="333">
        <f t="shared" si="284"/>
        <v>9.5406560799752487E-4</v>
      </c>
      <c r="AA60" s="333">
        <f t="shared" si="284"/>
        <v>1.3318232288192895E-3</v>
      </c>
      <c r="AB60" s="333">
        <f t="shared" si="284"/>
        <v>1.6347511871042987E-3</v>
      </c>
      <c r="AC60" s="333">
        <f t="shared" si="284"/>
        <v>5.9978040805967953E-4</v>
      </c>
      <c r="AD60" s="333">
        <f t="shared" si="284"/>
        <v>2.6358953911279884E-4</v>
      </c>
      <c r="AH60" s="865"/>
      <c r="AI60" s="866"/>
      <c r="AJ60" s="866"/>
      <c r="AK60" s="866"/>
      <c r="AL60" s="866"/>
      <c r="AM60" s="867"/>
    </row>
    <row r="61" spans="1:72">
      <c r="B61" s="342" t="s">
        <v>208</v>
      </c>
      <c r="C61" s="274">
        <f>C50</f>
        <v>29.419</v>
      </c>
      <c r="D61" s="274">
        <f t="shared" ref="D61:M61" si="285">D50</f>
        <v>29.057000000000002</v>
      </c>
      <c r="E61" s="274">
        <f t="shared" si="285"/>
        <v>29.12</v>
      </c>
      <c r="F61" s="274">
        <f t="shared" si="285"/>
        <v>29.125999999999998</v>
      </c>
      <c r="G61" s="274">
        <f t="shared" si="285"/>
        <v>28.307000000000002</v>
      </c>
      <c r="H61" s="274">
        <f t="shared" si="285"/>
        <v>27.645</v>
      </c>
      <c r="I61" s="274">
        <f t="shared" si="285"/>
        <v>27.534999999999997</v>
      </c>
      <c r="J61" s="274">
        <f t="shared" si="285"/>
        <v>27.878999999999998</v>
      </c>
      <c r="K61" s="274">
        <f t="shared" si="285"/>
        <v>26.262</v>
      </c>
      <c r="L61" s="274">
        <f t="shared" si="285"/>
        <v>25.834</v>
      </c>
      <c r="M61" s="274">
        <f t="shared" si="285"/>
        <v>25.213999999999999</v>
      </c>
      <c r="N61" s="274"/>
      <c r="O61" s="274">
        <f t="shared" ref="O61:S61" si="286">O50</f>
        <v>13.467000000000001</v>
      </c>
      <c r="P61" s="274">
        <f t="shared" si="286"/>
        <v>36.483000000000004</v>
      </c>
      <c r="Q61" s="274">
        <f t="shared" si="286"/>
        <v>104.548</v>
      </c>
      <c r="R61" s="274">
        <f t="shared" si="286"/>
        <v>115.26100000000001</v>
      </c>
      <c r="S61" s="274">
        <f t="shared" si="286"/>
        <v>109.628</v>
      </c>
      <c r="U61" s="691">
        <f t="shared" ref="U61:AD61" si="287">U50</f>
        <v>123.52999807260002</v>
      </c>
      <c r="V61" s="691">
        <f t="shared" si="287"/>
        <v>135.2693316698907</v>
      </c>
      <c r="W61" s="691">
        <f t="shared" si="287"/>
        <v>148.70216947254431</v>
      </c>
      <c r="X61" s="691">
        <f t="shared" si="287"/>
        <v>161.64077260208563</v>
      </c>
      <c r="Y61" s="691">
        <f t="shared" si="287"/>
        <v>172.19699979709458</v>
      </c>
      <c r="Z61" s="691">
        <f t="shared" si="287"/>
        <v>181.29614964166396</v>
      </c>
      <c r="AA61" s="691">
        <f t="shared" si="287"/>
        <v>188.83907671578763</v>
      </c>
      <c r="AB61" s="691">
        <f t="shared" si="287"/>
        <v>194.25472416622279</v>
      </c>
      <c r="AC61" s="691">
        <f t="shared" si="287"/>
        <v>197.95929073935071</v>
      </c>
      <c r="AD61" s="691">
        <f t="shared" si="287"/>
        <v>199.01095925828656</v>
      </c>
      <c r="AH61" s="865"/>
      <c r="AI61" s="866"/>
      <c r="AJ61" s="866"/>
      <c r="AK61" s="866"/>
      <c r="AL61" s="866"/>
      <c r="AM61" s="867"/>
    </row>
    <row r="62" spans="1:72">
      <c r="B62" s="343" t="s">
        <v>216</v>
      </c>
      <c r="C62" s="274">
        <f>C51</f>
        <v>0.16919139636530942</v>
      </c>
      <c r="D62" s="274">
        <f t="shared" ref="D62:M62" si="288">D51</f>
        <v>0.15809115004307153</v>
      </c>
      <c r="E62" s="274">
        <f t="shared" si="288"/>
        <v>0.15427431676309908</v>
      </c>
      <c r="F62" s="274">
        <f t="shared" si="288"/>
        <v>0.15814180851305856</v>
      </c>
      <c r="G62" s="274">
        <f t="shared" si="288"/>
        <v>0.13524684374405693</v>
      </c>
      <c r="H62" s="274">
        <f t="shared" si="288"/>
        <v>0.11997666397971267</v>
      </c>
      <c r="I62" s="274">
        <f t="shared" si="288"/>
        <v>0.11484556774434604</v>
      </c>
      <c r="J62" s="274">
        <f t="shared" si="288"/>
        <v>0.121127594635559</v>
      </c>
      <c r="K62" s="274">
        <f t="shared" si="288"/>
        <v>9.8616283280771849E-2</v>
      </c>
      <c r="L62" s="274">
        <f t="shared" si="288"/>
        <v>9.3173103220746456E-2</v>
      </c>
      <c r="M62" s="274">
        <f t="shared" si="288"/>
        <v>9.0002712625320558E-2</v>
      </c>
      <c r="N62" s="274"/>
      <c r="O62" s="274">
        <f t="shared" ref="O62:S62" si="289">O51</f>
        <v>0.1116203895565686</v>
      </c>
      <c r="P62" s="274">
        <f t="shared" si="289"/>
        <v>0.16380578349197517</v>
      </c>
      <c r="Q62" s="274">
        <f t="shared" si="289"/>
        <v>0.19023408266611005</v>
      </c>
      <c r="R62" s="274">
        <f t="shared" si="289"/>
        <v>0.15767414308742775</v>
      </c>
      <c r="S62" s="274">
        <f t="shared" si="289"/>
        <v>0.12056704829148658</v>
      </c>
      <c r="T62" s="297"/>
      <c r="U62" s="330">
        <f t="shared" ref="U62:AD62" si="290">U51</f>
        <v>0.11340000000000001</v>
      </c>
      <c r="V62" s="330">
        <f t="shared" si="290"/>
        <v>0.1046</v>
      </c>
      <c r="W62" s="330">
        <f t="shared" si="290"/>
        <v>9.7400000000000014E-2</v>
      </c>
      <c r="X62" s="330">
        <f t="shared" si="290"/>
        <v>9.0699999999999989E-2</v>
      </c>
      <c r="Y62" s="330">
        <f t="shared" si="290"/>
        <v>8.3699999999999997E-2</v>
      </c>
      <c r="Z62" s="330">
        <f t="shared" si="290"/>
        <v>7.7499999999999999E-2</v>
      </c>
      <c r="AA62" s="330">
        <f t="shared" si="290"/>
        <v>7.1800000000000003E-2</v>
      </c>
      <c r="AB62" s="330">
        <f t="shared" si="290"/>
        <v>6.6400000000000001E-2</v>
      </c>
      <c r="AC62" s="330">
        <f t="shared" si="290"/>
        <v>6.1799999999999994E-2</v>
      </c>
      <c r="AD62" s="330">
        <f t="shared" si="290"/>
        <v>5.7599999999999998E-2</v>
      </c>
      <c r="AH62" s="865" t="s">
        <v>636</v>
      </c>
      <c r="AI62" s="866"/>
      <c r="AJ62" s="866"/>
      <c r="AK62" s="866"/>
      <c r="AL62" s="866"/>
      <c r="AM62" s="867"/>
    </row>
    <row r="63" spans="1:72">
      <c r="B63" s="214" t="s">
        <v>217</v>
      </c>
      <c r="C63" s="301">
        <v>2.0099999999999998</v>
      </c>
      <c r="D63" s="301">
        <v>4.8499999999999996</v>
      </c>
      <c r="E63" s="301">
        <v>8.3000000000000007</v>
      </c>
      <c r="F63" s="301">
        <v>10</v>
      </c>
      <c r="G63" s="301">
        <v>10</v>
      </c>
      <c r="H63" s="301">
        <v>11</v>
      </c>
      <c r="I63" s="301">
        <v>11</v>
      </c>
      <c r="J63" s="301">
        <v>11</v>
      </c>
      <c r="K63" s="301">
        <v>10</v>
      </c>
      <c r="L63" s="301">
        <v>10</v>
      </c>
      <c r="M63" s="301">
        <v>8</v>
      </c>
      <c r="N63" s="301"/>
      <c r="O63" s="301">
        <v>0</v>
      </c>
      <c r="P63" s="301">
        <v>0</v>
      </c>
      <c r="Q63" s="301">
        <v>2.988</v>
      </c>
      <c r="R63" s="301">
        <v>24.812000000000001</v>
      </c>
      <c r="S63" s="301">
        <v>42.530999999999999</v>
      </c>
      <c r="T63" s="328"/>
      <c r="U63" s="280"/>
      <c r="V63" s="280"/>
      <c r="W63" s="280"/>
      <c r="X63" s="280"/>
      <c r="Y63" s="280"/>
      <c r="Z63" s="280"/>
      <c r="AA63" s="280"/>
      <c r="AB63" s="280"/>
      <c r="AC63" s="280"/>
      <c r="AD63" s="280"/>
      <c r="AH63" s="865"/>
      <c r="AI63" s="866"/>
      <c r="AJ63" s="866"/>
      <c r="AK63" s="866"/>
      <c r="AL63" s="866"/>
      <c r="AM63" s="867"/>
    </row>
    <row r="64" spans="1:72" s="305" customFormat="1" ht="15" thickBot="1">
      <c r="A64" s="163"/>
      <c r="B64" s="302" t="s">
        <v>218</v>
      </c>
      <c r="C64" s="303">
        <f>C56+C63</f>
        <v>-49.989000000000011</v>
      </c>
      <c r="D64" s="303">
        <f t="shared" ref="D64:M64" si="291">D56+D63</f>
        <v>-32.707970186607554</v>
      </c>
      <c r="E64" s="303">
        <f t="shared" si="291"/>
        <v>-25.015315416200092</v>
      </c>
      <c r="F64" s="303">
        <f t="shared" si="291"/>
        <v>-36.980530324715424</v>
      </c>
      <c r="G64" s="303">
        <f t="shared" si="291"/>
        <v>-10.888215522865949</v>
      </c>
      <c r="H64" s="303">
        <f t="shared" si="291"/>
        <v>-7.0251909888526356</v>
      </c>
      <c r="I64" s="303">
        <f t="shared" si="291"/>
        <v>-7.0682506468620652</v>
      </c>
      <c r="J64" s="303">
        <f t="shared" si="291"/>
        <v>2.2032523247536275</v>
      </c>
      <c r="K64" s="303">
        <f t="shared" si="291"/>
        <v>-6.3070944984503186</v>
      </c>
      <c r="L64" s="303">
        <f t="shared" si="291"/>
        <v>1.4458587906520677</v>
      </c>
      <c r="M64" s="303">
        <f t="shared" si="291"/>
        <v>8.8331118427881599</v>
      </c>
      <c r="N64" s="303"/>
      <c r="O64" s="303">
        <f t="shared" ref="O64:S64" si="292">O56+O63</f>
        <v>-7.4580000000000171</v>
      </c>
      <c r="P64" s="303">
        <f t="shared" si="292"/>
        <v>-27.864926163267594</v>
      </c>
      <c r="Q64" s="303">
        <f t="shared" si="292"/>
        <v>-100.75845320643327</v>
      </c>
      <c r="R64" s="303">
        <f t="shared" si="292"/>
        <v>-132.49938046856138</v>
      </c>
      <c r="S64" s="303">
        <f t="shared" si="292"/>
        <v>-34.491999999999983</v>
      </c>
      <c r="T64" s="282" t="s">
        <v>322</v>
      </c>
      <c r="U64" s="381">
        <f>U56-U57-U59+U61</f>
        <v>-233.13669504427824</v>
      </c>
      <c r="V64" s="381">
        <f t="shared" ref="V64:AD64" si="293">V56-V57-V59+V61</f>
        <v>-157.9857945542378</v>
      </c>
      <c r="W64" s="381">
        <f t="shared" si="293"/>
        <v>127.82166480193509</v>
      </c>
      <c r="X64" s="381">
        <f t="shared" si="293"/>
        <v>162.87084326695697</v>
      </c>
      <c r="Y64" s="381">
        <f t="shared" si="293"/>
        <v>209.54652476121208</v>
      </c>
      <c r="Z64" s="381">
        <f t="shared" si="293"/>
        <v>226.26634946142633</v>
      </c>
      <c r="AA64" s="381">
        <f t="shared" si="293"/>
        <v>269.42033031128153</v>
      </c>
      <c r="AB64" s="381">
        <f t="shared" si="293"/>
        <v>299.47160085078838</v>
      </c>
      <c r="AC64" s="381">
        <f t="shared" si="293"/>
        <v>308.79179048389005</v>
      </c>
      <c r="AD64" s="381">
        <f t="shared" si="293"/>
        <v>305.89661105551971</v>
      </c>
      <c r="AE64" s="163"/>
      <c r="AF64" s="163"/>
      <c r="AG64" s="163"/>
      <c r="AH64" s="865"/>
      <c r="AI64" s="866"/>
      <c r="AJ64" s="866"/>
      <c r="AK64" s="866"/>
      <c r="AL64" s="866"/>
      <c r="AM64" s="867"/>
      <c r="AN64" s="163"/>
      <c r="AO64" s="163"/>
      <c r="AP64" s="163"/>
      <c r="AQ64" s="163"/>
      <c r="AR64" s="163"/>
      <c r="AS64" s="163"/>
      <c r="AT64" s="163"/>
      <c r="AU64" s="163"/>
      <c r="AV64" s="163"/>
      <c r="AW64" s="163"/>
      <c r="AX64" s="163"/>
      <c r="AY64" s="163"/>
      <c r="AZ64" s="163"/>
      <c r="BA64" s="163"/>
      <c r="BB64" s="163"/>
      <c r="BC64" s="163"/>
      <c r="BD64" s="163"/>
      <c r="BE64" s="163"/>
      <c r="BF64" s="163"/>
      <c r="BG64" s="163"/>
      <c r="BH64" s="163"/>
      <c r="BI64" s="163"/>
      <c r="BJ64" s="163"/>
      <c r="BK64" s="163"/>
      <c r="BL64" s="163"/>
      <c r="BM64" s="163"/>
      <c r="BN64" s="163"/>
      <c r="BO64" s="163"/>
      <c r="BP64" s="163"/>
      <c r="BQ64" s="163"/>
      <c r="BR64" s="163"/>
      <c r="BS64" s="163"/>
      <c r="BT64" s="163"/>
    </row>
    <row r="65" spans="2:39" ht="15" thickTop="1">
      <c r="B65" s="214" t="s">
        <v>219</v>
      </c>
      <c r="C65" s="297">
        <v>149</v>
      </c>
      <c r="D65" s="297">
        <v>149.69999999999999</v>
      </c>
      <c r="E65" s="297">
        <v>151.19999999999999</v>
      </c>
      <c r="F65" s="297">
        <v>151.80000000000001</v>
      </c>
      <c r="G65" s="297">
        <v>152.5</v>
      </c>
      <c r="H65" s="297">
        <v>153.5</v>
      </c>
      <c r="I65" s="297">
        <v>154.19999999999999</v>
      </c>
      <c r="J65" s="297">
        <v>154.9</v>
      </c>
      <c r="K65" s="297">
        <v>154.69999999999999</v>
      </c>
      <c r="L65" s="297">
        <v>153.6</v>
      </c>
      <c r="M65" s="297">
        <v>152.97</v>
      </c>
      <c r="N65" s="297"/>
      <c r="O65" s="274">
        <v>85.9</v>
      </c>
      <c r="P65" s="274">
        <v>105.2</v>
      </c>
      <c r="Q65" s="274">
        <v>141.6</v>
      </c>
      <c r="R65" s="274">
        <v>150.4</v>
      </c>
      <c r="S65" s="274">
        <v>153.80000000000001</v>
      </c>
      <c r="T65" s="693" t="s">
        <v>638</v>
      </c>
      <c r="U65" s="692">
        <f>U64/(1+$U$67)^U66</f>
        <v>-211.75508586438465</v>
      </c>
      <c r="V65" s="692">
        <f t="shared" ref="V65:AD65" si="294">V64/(1+$U$67)^V66</f>
        <v>-130.33602365888981</v>
      </c>
      <c r="W65" s="692">
        <f t="shared" si="294"/>
        <v>95.779841161984606</v>
      </c>
      <c r="X65" s="692">
        <f t="shared" si="294"/>
        <v>110.85012878911569</v>
      </c>
      <c r="Y65" s="692">
        <f t="shared" si="294"/>
        <v>129.53780508046248</v>
      </c>
      <c r="Z65" s="692">
        <f t="shared" si="294"/>
        <v>127.04549090774614</v>
      </c>
      <c r="AA65" s="692">
        <f t="shared" si="294"/>
        <v>137.40193984030765</v>
      </c>
      <c r="AB65" s="692">
        <f t="shared" si="294"/>
        <v>138.72072768702276</v>
      </c>
      <c r="AC65" s="692">
        <f t="shared" si="294"/>
        <v>129.91959980265909</v>
      </c>
      <c r="AD65" s="692">
        <f t="shared" si="294"/>
        <v>116.89792661618927</v>
      </c>
      <c r="AH65" s="865"/>
      <c r="AI65" s="866"/>
      <c r="AJ65" s="866"/>
      <c r="AK65" s="866"/>
      <c r="AL65" s="866"/>
      <c r="AM65" s="867"/>
    </row>
    <row r="66" spans="2:39">
      <c r="B66" s="214" t="s">
        <v>220</v>
      </c>
      <c r="C66" s="306">
        <f>C64/C65</f>
        <v>-0.33549664429530207</v>
      </c>
      <c r="D66" s="306">
        <f t="shared" ref="D66:M66" si="295">D64/D65</f>
        <v>-0.2184901148069977</v>
      </c>
      <c r="E66" s="306">
        <f t="shared" si="295"/>
        <v>-0.16544520777910116</v>
      </c>
      <c r="F66" s="306">
        <f t="shared" si="295"/>
        <v>-0.24361350675043097</v>
      </c>
      <c r="G66" s="306">
        <f t="shared" si="295"/>
        <v>-7.1398134576170155E-2</v>
      </c>
      <c r="H66" s="306">
        <f t="shared" si="295"/>
        <v>-4.5766716539756586E-2</v>
      </c>
      <c r="I66" s="306">
        <f t="shared" si="295"/>
        <v>-4.5838201341517934E-2</v>
      </c>
      <c r="J66" s="306">
        <f t="shared" si="295"/>
        <v>1.4223707713064089E-2</v>
      </c>
      <c r="K66" s="306">
        <f t="shared" si="295"/>
        <v>-4.0769841618941947E-2</v>
      </c>
      <c r="L66" s="306">
        <f t="shared" si="295"/>
        <v>9.4131431683077329E-3</v>
      </c>
      <c r="M66" s="306">
        <f t="shared" si="295"/>
        <v>5.774407951093783E-2</v>
      </c>
      <c r="N66" s="306"/>
      <c r="O66" s="306">
        <f t="shared" ref="O66:S66" si="296">O64/O65</f>
        <v>-8.6821885913853508E-2</v>
      </c>
      <c r="P66" s="306">
        <f t="shared" si="296"/>
        <v>-0.26487572398543341</v>
      </c>
      <c r="Q66" s="306">
        <f t="shared" si="296"/>
        <v>-0.71157099722057404</v>
      </c>
      <c r="R66" s="306">
        <f t="shared" si="296"/>
        <v>-0.88097992332820063</v>
      </c>
      <c r="S66" s="306">
        <f t="shared" si="296"/>
        <v>-0.22426527958387504</v>
      </c>
      <c r="T66" s="307"/>
      <c r="U66" s="163">
        <v>1</v>
      </c>
      <c r="V66" s="163">
        <v>2</v>
      </c>
      <c r="W66" s="163">
        <v>3</v>
      </c>
      <c r="X66" s="163">
        <v>4</v>
      </c>
      <c r="Y66" s="163">
        <v>5</v>
      </c>
      <c r="Z66" s="163">
        <v>6</v>
      </c>
      <c r="AA66" s="163">
        <v>7</v>
      </c>
      <c r="AB66" s="163">
        <v>8</v>
      </c>
      <c r="AC66" s="163">
        <v>9</v>
      </c>
      <c r="AD66" s="163">
        <v>10</v>
      </c>
      <c r="AH66" s="865"/>
      <c r="AI66" s="866"/>
      <c r="AJ66" s="866"/>
      <c r="AK66" s="866"/>
      <c r="AL66" s="866"/>
      <c r="AM66" s="867"/>
    </row>
    <row r="67" spans="2:39">
      <c r="B67" s="214" t="s">
        <v>221</v>
      </c>
      <c r="C67" s="308">
        <f t="shared" ref="C67:M67" si="297">C18/C14</f>
        <v>0.44582470669427188</v>
      </c>
      <c r="D67" s="308">
        <f t="shared" si="297"/>
        <v>0.44379467016886803</v>
      </c>
      <c r="E67" s="308">
        <f t="shared" si="297"/>
        <v>0.45596052237628282</v>
      </c>
      <c r="F67" s="308">
        <f t="shared" si="297"/>
        <v>0.47186521616201282</v>
      </c>
      <c r="G67" s="308">
        <f t="shared" si="297"/>
        <v>0.42101909333716675</v>
      </c>
      <c r="H67" s="308">
        <f t="shared" si="297"/>
        <v>0.41797538772583581</v>
      </c>
      <c r="I67" s="308">
        <f t="shared" si="297"/>
        <v>0.42349902401948386</v>
      </c>
      <c r="J67" s="308">
        <f t="shared" si="297"/>
        <v>0.43296522917296876</v>
      </c>
      <c r="K67" s="308">
        <f t="shared" si="297"/>
        <v>0.40714573130880138</v>
      </c>
      <c r="L67" s="308">
        <f t="shared" si="297"/>
        <v>0.4124872129149037</v>
      </c>
      <c r="M67" s="308">
        <f t="shared" si="297"/>
        <v>0.4136652028303659</v>
      </c>
      <c r="N67" s="308"/>
      <c r="O67" s="308">
        <f>O18/O14</f>
        <v>0.67119767923746365</v>
      </c>
      <c r="P67" s="308">
        <f>P18/P14</f>
        <v>0.57767804195775618</v>
      </c>
      <c r="Q67" s="308">
        <f>Q18/Q14</f>
        <v>0.49561074611617911</v>
      </c>
      <c r="R67" s="308">
        <f>R18/R14</f>
        <v>0.45479364461965166</v>
      </c>
      <c r="S67" s="308">
        <f>S18/S14</f>
        <v>0.42369153276804472</v>
      </c>
      <c r="T67" s="383" t="s">
        <v>290</v>
      </c>
      <c r="U67" s="384">
        <f>'LSPD WACC'!F44</f>
        <v>0.10097329701723003</v>
      </c>
      <c r="AH67" s="865"/>
      <c r="AI67" s="866"/>
      <c r="AJ67" s="866"/>
      <c r="AK67" s="866"/>
      <c r="AL67" s="866"/>
      <c r="AM67" s="867"/>
    </row>
    <row r="68" spans="2:39">
      <c r="B68" s="214" t="s">
        <v>222</v>
      </c>
      <c r="C68" s="308">
        <f t="shared" ref="C68:M68" si="298">C48/C14</f>
        <v>-0.12985967333793424</v>
      </c>
      <c r="D68" s="308">
        <f t="shared" si="298"/>
        <v>-4.6251442106296316E-2</v>
      </c>
      <c r="E68" s="308">
        <f t="shared" si="298"/>
        <v>-2.2226285008240605E-2</v>
      </c>
      <c r="F68" s="308">
        <f t="shared" si="298"/>
        <v>-9.5851171193800017E-2</v>
      </c>
      <c r="G68" s="308">
        <f t="shared" si="298"/>
        <v>3.5445903308361337E-2</v>
      </c>
      <c r="H68" s="308">
        <f t="shared" si="298"/>
        <v>4.1749053835393006E-2</v>
      </c>
      <c r="I68" s="308">
        <f t="shared" si="298"/>
        <v>3.9484808576522479E-2</v>
      </c>
      <c r="J68" s="308">
        <f t="shared" si="298"/>
        <v>6.02716222344757E-2</v>
      </c>
      <c r="K68" s="308">
        <f t="shared" si="298"/>
        <v>3.7381607683121529E-2</v>
      </c>
      <c r="L68" s="308">
        <f t="shared" si="298"/>
        <v>6.2321671701685691E-2</v>
      </c>
      <c r="M68" s="308">
        <f t="shared" si="298"/>
        <v>9.2976549611566844E-2</v>
      </c>
      <c r="N68" s="308"/>
      <c r="O68" s="308">
        <f>O48/O14</f>
        <v>5.0294239535847364E-2</v>
      </c>
      <c r="P68" s="308">
        <f>P48/P14</f>
        <v>3.886508666475727E-2</v>
      </c>
      <c r="Q68" s="308">
        <f>Q48/Q14</f>
        <v>3.4181775454291642E-3</v>
      </c>
      <c r="R68" s="308">
        <f>R48/R14</f>
        <v>-5.7248897754835999E-2</v>
      </c>
      <c r="S68" s="308">
        <f>S48/S14</f>
        <v>4.1588307103500623E-2</v>
      </c>
      <c r="T68" s="383" t="s">
        <v>639</v>
      </c>
      <c r="U68" s="617">
        <f>SUM(U65:AD65)</f>
        <v>644.06235036221312</v>
      </c>
      <c r="AH68" s="865" t="s">
        <v>635</v>
      </c>
      <c r="AI68" s="866"/>
      <c r="AJ68" s="866"/>
      <c r="AK68" s="866"/>
      <c r="AL68" s="866"/>
      <c r="AM68" s="867"/>
    </row>
    <row r="69" spans="2:39">
      <c r="B69" s="214" t="s">
        <v>223</v>
      </c>
      <c r="C69" s="308">
        <f t="shared" ref="C69:M69" si="299">C63/C14</f>
        <v>1.1559696342305036E-2</v>
      </c>
      <c r="D69" s="308">
        <f t="shared" si="299"/>
        <v>2.6387516870595616E-2</v>
      </c>
      <c r="E69" s="308">
        <f t="shared" si="299"/>
        <v>4.397241858288882E-2</v>
      </c>
      <c r="F69" s="308">
        <f t="shared" si="299"/>
        <v>5.4295752425001231E-2</v>
      </c>
      <c r="G69" s="308">
        <f t="shared" si="299"/>
        <v>4.7778586125006864E-2</v>
      </c>
      <c r="H69" s="308">
        <f t="shared" si="299"/>
        <v>4.773895112233096E-2</v>
      </c>
      <c r="I69" s="308">
        <f t="shared" si="299"/>
        <v>4.5879834580998972E-2</v>
      </c>
      <c r="J69" s="308">
        <f t="shared" si="299"/>
        <v>4.7792372071851538E-2</v>
      </c>
      <c r="K69" s="308">
        <f t="shared" si="299"/>
        <v>3.7550941771674604E-2</v>
      </c>
      <c r="L69" s="308">
        <f t="shared" si="299"/>
        <v>3.6066076960883507E-2</v>
      </c>
      <c r="M69" s="308">
        <f t="shared" si="299"/>
        <v>2.8556425041745239E-2</v>
      </c>
      <c r="N69" s="308"/>
      <c r="O69" s="308">
        <f>O63/O14</f>
        <v>0</v>
      </c>
      <c r="P69" s="308">
        <f>P63/P14</f>
        <v>0</v>
      </c>
      <c r="Q69" s="308">
        <f>Q63/Q14</f>
        <v>5.4369231262801476E-3</v>
      </c>
      <c r="R69" s="308">
        <f>R63/R14</f>
        <v>3.3942190665405103E-2</v>
      </c>
      <c r="S69" s="308">
        <f>S63/S14</f>
        <v>4.6774885347586524E-2</v>
      </c>
      <c r="T69" s="854" t="s">
        <v>640</v>
      </c>
      <c r="U69" s="855"/>
      <c r="V69" s="856"/>
      <c r="AH69" s="865"/>
      <c r="AI69" s="866"/>
      <c r="AJ69" s="866"/>
      <c r="AK69" s="866"/>
      <c r="AL69" s="866"/>
      <c r="AM69" s="867"/>
    </row>
    <row r="70" spans="2:39">
      <c r="B70" s="214" t="s">
        <v>224</v>
      </c>
      <c r="C70" s="308">
        <f t="shared" ref="C70:M70" si="300">C55</f>
        <v>0</v>
      </c>
      <c r="D70" s="308">
        <f t="shared" si="300"/>
        <v>0</v>
      </c>
      <c r="E70" s="308">
        <f t="shared" si="300"/>
        <v>0</v>
      </c>
      <c r="F70" s="308">
        <f t="shared" si="300"/>
        <v>4.2967511346261632E-3</v>
      </c>
      <c r="G70" s="308">
        <f t="shared" si="300"/>
        <v>0</v>
      </c>
      <c r="H70" s="308">
        <f t="shared" si="300"/>
        <v>0</v>
      </c>
      <c r="I70" s="308">
        <f t="shared" si="300"/>
        <v>0</v>
      </c>
      <c r="J70" s="308">
        <f t="shared" si="300"/>
        <v>0.37196357932594498</v>
      </c>
      <c r="K70" s="308">
        <f t="shared" si="300"/>
        <v>0</v>
      </c>
      <c r="L70" s="308">
        <f t="shared" si="300"/>
        <v>0</v>
      </c>
      <c r="M70" s="308">
        <f t="shared" si="300"/>
        <v>0</v>
      </c>
      <c r="N70" s="308"/>
      <c r="O70" s="308">
        <f>O55</f>
        <v>7.9740505473712472E-3</v>
      </c>
      <c r="P70" s="308">
        <f>P55</f>
        <v>1.3655838153680509E-3</v>
      </c>
      <c r="Q70" s="308">
        <f>Q55</f>
        <v>1.0489975025332219E-2</v>
      </c>
      <c r="R70" s="308">
        <f>R55</f>
        <v>1.2793553131279008E-3</v>
      </c>
      <c r="S70" s="308">
        <f>S55</f>
        <v>7.2549538384415094E-2</v>
      </c>
      <c r="T70" s="532" t="s">
        <v>641</v>
      </c>
      <c r="V70" s="540">
        <v>0.03</v>
      </c>
      <c r="AH70" s="865"/>
      <c r="AI70" s="866"/>
      <c r="AJ70" s="866"/>
      <c r="AK70" s="866"/>
      <c r="AL70" s="866"/>
      <c r="AM70" s="867"/>
    </row>
    <row r="71" spans="2:39">
      <c r="B71" s="214" t="s">
        <v>209</v>
      </c>
      <c r="C71" s="274">
        <f t="shared" ref="C71:M71" si="301">C48+C110+C111</f>
        <v>6.5699999999999932</v>
      </c>
      <c r="D71" s="274">
        <f t="shared" si="301"/>
        <v>20.429029813392454</v>
      </c>
      <c r="E71" s="274">
        <f t="shared" si="301"/>
        <v>24.61468458379991</v>
      </c>
      <c r="F71" s="274">
        <f t="shared" si="301"/>
        <v>10.726469675284568</v>
      </c>
      <c r="G71" s="274">
        <f t="shared" si="301"/>
        <v>35.618784477134056</v>
      </c>
      <c r="H71" s="274">
        <f t="shared" si="301"/>
        <v>36.749809011147363</v>
      </c>
      <c r="I71" s="274">
        <f t="shared" si="301"/>
        <v>36.676749353137929</v>
      </c>
      <c r="J71" s="274">
        <f t="shared" si="301"/>
        <v>40.972252324753619</v>
      </c>
      <c r="K71" s="274">
        <f t="shared" si="301"/>
        <v>36.224905501549678</v>
      </c>
      <c r="L71" s="274">
        <f t="shared" si="301"/>
        <v>43.109858790652069</v>
      </c>
      <c r="M71" s="274">
        <f t="shared" si="301"/>
        <v>51.257111842788163</v>
      </c>
      <c r="N71" s="274"/>
      <c r="O71" s="274">
        <f>O48+O110+O111</f>
        <v>19.537999999999982</v>
      </c>
      <c r="P71" s="274">
        <f>P48+P110+P111</f>
        <v>45.146073836732405</v>
      </c>
      <c r="Q71" s="274">
        <f>Q48+Q110+Q111</f>
        <v>106.42854679356672</v>
      </c>
      <c r="R71" s="274">
        <f>R48+R110+R111</f>
        <v>73.420619531438618</v>
      </c>
      <c r="S71" s="274">
        <f>S48+S110+S111</f>
        <v>147.45500000000001</v>
      </c>
      <c r="T71" s="533" t="s">
        <v>294</v>
      </c>
      <c r="V71" s="541">
        <f>'LSPD WACC'!F72</f>
        <v>9.4935770112407197E-2</v>
      </c>
      <c r="W71" s="304"/>
      <c r="X71" s="304"/>
      <c r="Y71" s="304"/>
      <c r="Z71" s="304"/>
      <c r="AA71" s="304"/>
      <c r="AH71" s="865"/>
      <c r="AI71" s="866"/>
      <c r="AJ71" s="866"/>
      <c r="AK71" s="866"/>
      <c r="AL71" s="866"/>
      <c r="AM71" s="867"/>
    </row>
    <row r="72" spans="2:39">
      <c r="B72" s="214" t="s">
        <v>225</v>
      </c>
      <c r="C72" s="309">
        <f>ABS(C52/C63)</f>
        <v>25.870149253731352</v>
      </c>
      <c r="D72" s="309">
        <f t="shared" ref="D72:M72" si="302">ABS(D52/D63)</f>
        <v>7.7439113786819709</v>
      </c>
      <c r="E72" s="309">
        <f t="shared" si="302"/>
        <v>4.0138934236385655</v>
      </c>
      <c r="F72" s="309">
        <f t="shared" si="302"/>
        <v>4.6779530324715424</v>
      </c>
      <c r="G72" s="309">
        <f t="shared" si="302"/>
        <v>2.0888215522865949</v>
      </c>
      <c r="H72" s="309">
        <f t="shared" si="302"/>
        <v>1.6386537262593306</v>
      </c>
      <c r="I72" s="309">
        <f t="shared" si="302"/>
        <v>1.642568240623824</v>
      </c>
      <c r="J72" s="309">
        <f t="shared" si="302"/>
        <v>1.2733406977496704</v>
      </c>
      <c r="K72" s="309">
        <f t="shared" si="302"/>
        <v>1.6307094498450319</v>
      </c>
      <c r="L72" s="309">
        <f t="shared" si="302"/>
        <v>0.85541412093479319</v>
      </c>
      <c r="M72" s="309">
        <f t="shared" si="302"/>
        <v>0.10413898034851998</v>
      </c>
      <c r="N72" s="309"/>
      <c r="O72" s="309" t="e">
        <f t="shared" ref="O72:S72" si="303">ABS(O52/O63)</f>
        <v>#DIV/0!</v>
      </c>
      <c r="P72" s="309" t="e">
        <f t="shared" si="303"/>
        <v>#DIV/0!</v>
      </c>
      <c r="Q72" s="309">
        <f t="shared" si="303"/>
        <v>34.360593442581418</v>
      </c>
      <c r="R72" s="309">
        <f t="shared" si="303"/>
        <v>6.3320321001354749</v>
      </c>
      <c r="S72" s="309">
        <f t="shared" si="303"/>
        <v>1.6884860454727137</v>
      </c>
      <c r="T72" s="849" t="s">
        <v>642</v>
      </c>
      <c r="U72" s="850"/>
      <c r="V72" s="542">
        <f>AD64*(1+V70)</f>
        <v>315.07350938718531</v>
      </c>
      <c r="AH72" s="865"/>
      <c r="AI72" s="866"/>
      <c r="AJ72" s="866"/>
      <c r="AK72" s="866"/>
      <c r="AL72" s="866"/>
      <c r="AM72" s="867"/>
    </row>
    <row r="73" spans="2:39">
      <c r="B73" s="214"/>
      <c r="C73" s="297"/>
      <c r="D73" s="297"/>
      <c r="E73" s="297"/>
      <c r="F73" s="297"/>
      <c r="G73" s="297"/>
      <c r="H73" s="297"/>
      <c r="I73" s="297"/>
      <c r="J73" s="297"/>
      <c r="K73" s="297"/>
      <c r="L73" s="297"/>
      <c r="M73" s="297"/>
      <c r="N73" s="297"/>
      <c r="O73" s="297"/>
      <c r="P73" s="297"/>
      <c r="Q73" s="297"/>
      <c r="R73" s="304"/>
      <c r="S73" s="304"/>
      <c r="T73" s="534" t="s">
        <v>643</v>
      </c>
      <c r="V73" s="543">
        <f>V72/(V71-V70)</f>
        <v>4852.0793522857539</v>
      </c>
      <c r="AH73" s="868"/>
      <c r="AI73" s="869"/>
      <c r="AJ73" s="869"/>
      <c r="AK73" s="869"/>
      <c r="AL73" s="869"/>
      <c r="AM73" s="870"/>
    </row>
    <row r="74" spans="2:39">
      <c r="B74" s="214"/>
      <c r="D74" s="300"/>
      <c r="E74" s="300"/>
      <c r="F74" s="300"/>
      <c r="G74" s="300"/>
      <c r="H74" s="300"/>
      <c r="I74" s="300"/>
      <c r="J74" s="300"/>
      <c r="K74" s="300"/>
      <c r="L74" s="310"/>
      <c r="M74" s="300"/>
      <c r="N74" s="300"/>
      <c r="O74" s="300"/>
      <c r="P74" s="300"/>
      <c r="Q74" s="300"/>
      <c r="T74" s="535" t="s">
        <v>311</v>
      </c>
      <c r="V74" s="543">
        <f>V73/(1+U67)^AD66</f>
        <v>1854.2147757121825</v>
      </c>
      <c r="AH74" s="857" t="s">
        <v>634</v>
      </c>
      <c r="AI74" s="858"/>
      <c r="AJ74" s="858"/>
      <c r="AK74" s="858"/>
      <c r="AL74" s="858"/>
      <c r="AM74" s="859"/>
    </row>
    <row r="75" spans="2:39">
      <c r="B75" s="214" t="s">
        <v>226</v>
      </c>
      <c r="C75" s="310">
        <v>914.79</v>
      </c>
      <c r="D75" s="310">
        <v>862.58</v>
      </c>
      <c r="E75" s="310">
        <v>838.12</v>
      </c>
      <c r="F75" s="310">
        <v>800.15</v>
      </c>
      <c r="G75" s="310">
        <v>780.28</v>
      </c>
      <c r="H75" s="310">
        <v>761.49</v>
      </c>
      <c r="I75" s="310">
        <v>749.41</v>
      </c>
      <c r="J75" s="310">
        <v>722.1</v>
      </c>
      <c r="K75" s="310">
        <v>673.95</v>
      </c>
      <c r="L75" s="310">
        <v>659.02</v>
      </c>
      <c r="M75" s="310">
        <v>661.57</v>
      </c>
      <c r="N75" s="310"/>
      <c r="O75" s="310">
        <v>210.97</v>
      </c>
      <c r="P75" s="310">
        <v>807.15</v>
      </c>
      <c r="Q75" s="310">
        <v>953.65</v>
      </c>
      <c r="R75" s="310">
        <v>800.15</v>
      </c>
      <c r="S75" s="310">
        <f>J75</f>
        <v>722.1</v>
      </c>
      <c r="T75" s="536" t="s">
        <v>644</v>
      </c>
      <c r="V75" s="540">
        <f>V74/V78</f>
        <v>0.74219739530087914</v>
      </c>
      <c r="AH75" s="845" t="s">
        <v>637</v>
      </c>
      <c r="AI75" s="825"/>
      <c r="AJ75" s="825"/>
      <c r="AK75" s="825"/>
      <c r="AL75" s="825"/>
      <c r="AM75" s="826"/>
    </row>
    <row r="76" spans="2:39">
      <c r="B76" s="214" t="s">
        <v>227</v>
      </c>
      <c r="C76" s="310">
        <v>51.09</v>
      </c>
      <c r="D76" s="310">
        <v>57.12</v>
      </c>
      <c r="E76" s="310">
        <v>68.58</v>
      </c>
      <c r="F76" s="310">
        <v>84.33</v>
      </c>
      <c r="G76" s="310">
        <v>81.97</v>
      </c>
      <c r="H76" s="310">
        <v>100.48</v>
      </c>
      <c r="I76" s="310">
        <v>113.45</v>
      </c>
      <c r="J76" s="310">
        <v>62.28</v>
      </c>
      <c r="K76" s="310">
        <v>46.38</v>
      </c>
      <c r="L76" s="310">
        <v>49.19</v>
      </c>
      <c r="M76" s="310">
        <v>43.66</v>
      </c>
      <c r="N76" s="310"/>
      <c r="O76" s="310">
        <v>10.88</v>
      </c>
      <c r="P76" s="310">
        <v>24.77</v>
      </c>
      <c r="Q76" s="310">
        <v>45.77</v>
      </c>
      <c r="R76" s="310">
        <v>84.33</v>
      </c>
      <c r="S76" s="310">
        <f t="shared" ref="S76:S79" si="304">J76</f>
        <v>62.28</v>
      </c>
      <c r="T76" s="535" t="s">
        <v>638</v>
      </c>
      <c r="V76" s="543">
        <f>U68</f>
        <v>644.06235036221312</v>
      </c>
      <c r="AH76" s="845"/>
      <c r="AI76" s="825"/>
      <c r="AJ76" s="825"/>
      <c r="AK76" s="825"/>
      <c r="AL76" s="825"/>
      <c r="AM76" s="826"/>
    </row>
    <row r="77" spans="2:39">
      <c r="B77" s="214" t="s">
        <v>228</v>
      </c>
      <c r="C77" s="310">
        <v>0</v>
      </c>
      <c r="D77" s="310">
        <v>0</v>
      </c>
      <c r="E77" s="310">
        <v>0</v>
      </c>
      <c r="F77" s="310">
        <v>0</v>
      </c>
      <c r="G77" s="310">
        <v>0</v>
      </c>
      <c r="H77" s="310">
        <v>0</v>
      </c>
      <c r="I77" s="310">
        <v>0</v>
      </c>
      <c r="J77" s="310">
        <v>74.239999999999995</v>
      </c>
      <c r="K77" s="310">
        <v>87.54</v>
      </c>
      <c r="L77" s="310">
        <v>105.44</v>
      </c>
      <c r="M77" s="310">
        <v>101.32</v>
      </c>
      <c r="N77" s="310"/>
      <c r="O77" s="310">
        <v>0</v>
      </c>
      <c r="P77" s="310">
        <v>0</v>
      </c>
      <c r="Q77" s="310">
        <v>0</v>
      </c>
      <c r="R77" s="310">
        <v>0</v>
      </c>
      <c r="S77" s="310">
        <f t="shared" si="304"/>
        <v>74.239999999999995</v>
      </c>
      <c r="T77" s="537" t="s">
        <v>644</v>
      </c>
      <c r="U77" s="382"/>
      <c r="V77" s="544">
        <f>V76/V78</f>
        <v>0.25780260469912086</v>
      </c>
      <c r="AH77" s="845"/>
      <c r="AI77" s="825"/>
      <c r="AJ77" s="825"/>
      <c r="AK77" s="825"/>
      <c r="AL77" s="825"/>
      <c r="AM77" s="826"/>
    </row>
    <row r="78" spans="2:39">
      <c r="B78" s="214" t="s">
        <v>229</v>
      </c>
      <c r="C78" s="310">
        <v>8.58</v>
      </c>
      <c r="D78" s="310">
        <v>10.01</v>
      </c>
      <c r="E78" s="310">
        <v>10.14</v>
      </c>
      <c r="F78" s="310">
        <v>12.84</v>
      </c>
      <c r="G78" s="310">
        <v>14.65</v>
      </c>
      <c r="H78" s="310">
        <v>18.059999999999999</v>
      </c>
      <c r="I78" s="310">
        <v>18.59</v>
      </c>
      <c r="J78" s="310">
        <v>16.489999999999998</v>
      </c>
      <c r="K78" s="310">
        <v>18.260000000000002</v>
      </c>
      <c r="L78" s="310">
        <v>19.25</v>
      </c>
      <c r="M78" s="310">
        <v>15.87</v>
      </c>
      <c r="N78" s="310"/>
      <c r="O78" s="310">
        <v>0.93</v>
      </c>
      <c r="P78" s="310">
        <v>1.57</v>
      </c>
      <c r="Q78" s="310">
        <v>7.54</v>
      </c>
      <c r="R78" s="310">
        <v>12.84</v>
      </c>
      <c r="S78" s="310">
        <f t="shared" si="304"/>
        <v>16.489999999999998</v>
      </c>
      <c r="T78" s="860" t="s">
        <v>312</v>
      </c>
      <c r="U78" s="861"/>
      <c r="V78" s="543">
        <f>V74+V76</f>
        <v>2498.2771260743957</v>
      </c>
      <c r="AH78" s="845"/>
      <c r="AI78" s="825"/>
      <c r="AJ78" s="825"/>
      <c r="AK78" s="825"/>
      <c r="AL78" s="825"/>
      <c r="AM78" s="826"/>
    </row>
    <row r="79" spans="2:39">
      <c r="B79" s="311" t="s">
        <v>230</v>
      </c>
      <c r="C79" s="312">
        <v>30.06</v>
      </c>
      <c r="D79" s="312">
        <v>31.53</v>
      </c>
      <c r="E79" s="312">
        <v>33.93</v>
      </c>
      <c r="F79" s="312">
        <v>37.01</v>
      </c>
      <c r="G79" s="312">
        <v>39.31</v>
      </c>
      <c r="H79" s="312">
        <v>38.54</v>
      </c>
      <c r="I79" s="312">
        <v>44.15</v>
      </c>
      <c r="J79" s="312">
        <v>42.79</v>
      </c>
      <c r="K79" s="312">
        <v>47.39</v>
      </c>
      <c r="L79" s="312">
        <v>47.69</v>
      </c>
      <c r="M79" s="312">
        <v>55.9</v>
      </c>
      <c r="N79" s="312"/>
      <c r="O79" s="312">
        <v>10.43</v>
      </c>
      <c r="P79" s="312">
        <v>24.17</v>
      </c>
      <c r="Q79" s="312">
        <v>35.54</v>
      </c>
      <c r="R79" s="312">
        <v>37.01</v>
      </c>
      <c r="S79" s="312">
        <f t="shared" si="304"/>
        <v>42.79</v>
      </c>
      <c r="T79" s="538"/>
      <c r="V79" s="545"/>
      <c r="AH79" s="845"/>
      <c r="AI79" s="825"/>
      <c r="AJ79" s="825"/>
      <c r="AK79" s="825"/>
      <c r="AL79" s="825"/>
      <c r="AM79" s="826"/>
    </row>
    <row r="80" spans="2:39">
      <c r="B80" s="214" t="s">
        <v>231</v>
      </c>
      <c r="C80" s="266">
        <f t="shared" ref="C80:J80" si="305">SUM(C75:C79)</f>
        <v>1004.52</v>
      </c>
      <c r="D80" s="266">
        <f t="shared" si="305"/>
        <v>961.24</v>
      </c>
      <c r="E80" s="266">
        <f t="shared" si="305"/>
        <v>950.77</v>
      </c>
      <c r="F80" s="266">
        <f t="shared" si="305"/>
        <v>934.33</v>
      </c>
      <c r="G80" s="266">
        <f t="shared" si="305"/>
        <v>916.21</v>
      </c>
      <c r="H80" s="266">
        <f t="shared" si="305"/>
        <v>918.56999999999994</v>
      </c>
      <c r="I80" s="266">
        <f t="shared" si="305"/>
        <v>925.6</v>
      </c>
      <c r="J80" s="266">
        <f t="shared" si="305"/>
        <v>917.9</v>
      </c>
      <c r="K80" s="266">
        <f>SUM(K75:K79)</f>
        <v>873.52</v>
      </c>
      <c r="L80" s="266">
        <f>SUM(L75:L79)</f>
        <v>880.59000000000015</v>
      </c>
      <c r="M80" s="266">
        <f t="shared" ref="M80:S80" si="306">SUM(M75:M79)</f>
        <v>878.31999999999994</v>
      </c>
      <c r="N80" s="266"/>
      <c r="O80" s="266">
        <f t="shared" si="306"/>
        <v>233.21</v>
      </c>
      <c r="P80" s="266">
        <f t="shared" si="306"/>
        <v>857.66</v>
      </c>
      <c r="Q80" s="266">
        <f t="shared" si="306"/>
        <v>1042.5</v>
      </c>
      <c r="R80" s="266">
        <f t="shared" si="306"/>
        <v>934.33</v>
      </c>
      <c r="S80" s="266">
        <f t="shared" si="306"/>
        <v>917.9</v>
      </c>
      <c r="T80" s="862" t="s">
        <v>5</v>
      </c>
      <c r="U80" s="863"/>
      <c r="V80" s="864"/>
      <c r="AH80" s="845"/>
      <c r="AI80" s="825"/>
      <c r="AJ80" s="825"/>
      <c r="AK80" s="825"/>
      <c r="AL80" s="825"/>
      <c r="AM80" s="826"/>
    </row>
    <row r="81" spans="2:43">
      <c r="B81" s="214"/>
      <c r="C81" s="266"/>
      <c r="D81" s="266"/>
      <c r="E81" s="266"/>
      <c r="F81" s="266"/>
      <c r="G81" s="266"/>
      <c r="H81" s="266"/>
      <c r="I81" s="266"/>
      <c r="J81" s="266"/>
      <c r="K81" s="266"/>
      <c r="L81" s="266"/>
      <c r="M81" s="266"/>
      <c r="N81" s="266"/>
      <c r="O81" s="266"/>
      <c r="P81" s="266"/>
      <c r="Q81" s="266"/>
      <c r="R81" s="266"/>
      <c r="S81" s="266"/>
      <c r="T81" s="839" t="s">
        <v>640</v>
      </c>
      <c r="U81" s="840"/>
      <c r="V81" s="841"/>
      <c r="AH81" s="842" t="s">
        <v>633</v>
      </c>
      <c r="AI81" s="843"/>
      <c r="AJ81" s="843"/>
      <c r="AK81" s="843"/>
      <c r="AL81" s="843"/>
      <c r="AM81" s="844"/>
    </row>
    <row r="82" spans="2:43">
      <c r="B82" s="214" t="s">
        <v>232</v>
      </c>
      <c r="C82" s="310">
        <v>23.88</v>
      </c>
      <c r="D82" s="310">
        <v>22.94</v>
      </c>
      <c r="E82" s="310">
        <v>22.31</v>
      </c>
      <c r="F82" s="310">
        <v>20.97</v>
      </c>
      <c r="G82" s="310">
        <v>18.989999999999998</v>
      </c>
      <c r="H82" s="310">
        <v>18.79</v>
      </c>
      <c r="I82" s="310">
        <v>17.88</v>
      </c>
      <c r="J82" s="310">
        <v>17.079999999999998</v>
      </c>
      <c r="K82" s="310">
        <v>17.57</v>
      </c>
      <c r="L82" s="310">
        <v>15.69</v>
      </c>
      <c r="M82" s="310">
        <v>14.5</v>
      </c>
      <c r="N82" s="310"/>
      <c r="O82" s="310">
        <v>15.96</v>
      </c>
      <c r="P82" s="310">
        <v>21.21</v>
      </c>
      <c r="Q82" s="310">
        <v>25.54</v>
      </c>
      <c r="R82" s="310">
        <v>20.97</v>
      </c>
      <c r="S82" s="310">
        <f>J82</f>
        <v>17.079999999999998</v>
      </c>
      <c r="T82" s="532"/>
      <c r="V82" s="540"/>
      <c r="AH82" s="845" t="s">
        <v>795</v>
      </c>
      <c r="AI82" s="825"/>
      <c r="AJ82" s="825"/>
      <c r="AK82" s="825"/>
      <c r="AL82" s="825"/>
      <c r="AM82" s="826"/>
    </row>
    <row r="83" spans="2:43">
      <c r="B83" s="214" t="s">
        <v>233</v>
      </c>
      <c r="C83" s="310">
        <v>17.690000000000001</v>
      </c>
      <c r="D83" s="310">
        <v>18.77</v>
      </c>
      <c r="E83" s="310">
        <v>19.59</v>
      </c>
      <c r="F83" s="310">
        <v>19.489999999999998</v>
      </c>
      <c r="G83" s="310">
        <v>19.09</v>
      </c>
      <c r="H83" s="310">
        <v>18.52</v>
      </c>
      <c r="I83" s="310">
        <v>19.28</v>
      </c>
      <c r="J83" s="310">
        <v>20.5</v>
      </c>
      <c r="K83" s="310">
        <v>19.3</v>
      </c>
      <c r="L83" s="310">
        <v>18.53</v>
      </c>
      <c r="M83" s="310">
        <v>17.54</v>
      </c>
      <c r="N83" s="310"/>
      <c r="O83" s="310">
        <v>7.99</v>
      </c>
      <c r="P83" s="310">
        <v>8.34</v>
      </c>
      <c r="Q83" s="310">
        <v>16.46</v>
      </c>
      <c r="R83" s="310">
        <v>19.489999999999998</v>
      </c>
      <c r="S83" s="310">
        <f t="shared" ref="S83:S86" si="307">J83</f>
        <v>20.5</v>
      </c>
      <c r="T83" s="533" t="s">
        <v>312</v>
      </c>
      <c r="V83" s="546">
        <f>V78</f>
        <v>2498.2771260743957</v>
      </c>
      <c r="AH83" s="845"/>
      <c r="AI83" s="825"/>
      <c r="AJ83" s="825"/>
      <c r="AK83" s="825"/>
      <c r="AL83" s="825"/>
      <c r="AM83" s="826"/>
    </row>
    <row r="84" spans="2:43">
      <c r="B84" s="214" t="s">
        <v>234</v>
      </c>
      <c r="C84" s="310">
        <v>382.84</v>
      </c>
      <c r="D84" s="310">
        <v>357.18</v>
      </c>
      <c r="E84" s="310">
        <v>334.6</v>
      </c>
      <c r="F84" s="310">
        <v>311.45</v>
      </c>
      <c r="G84" s="310">
        <v>289.19</v>
      </c>
      <c r="H84" s="310">
        <v>267.87</v>
      </c>
      <c r="I84" s="310">
        <v>247.11</v>
      </c>
      <c r="J84" s="310">
        <v>227.03</v>
      </c>
      <c r="K84" s="310">
        <v>207.42</v>
      </c>
      <c r="L84" s="310">
        <v>191.24</v>
      </c>
      <c r="M84" s="310">
        <v>174.3</v>
      </c>
      <c r="N84" s="310"/>
      <c r="O84" s="310">
        <v>62.82</v>
      </c>
      <c r="P84" s="310">
        <v>234.49</v>
      </c>
      <c r="Q84" s="310">
        <v>409.57</v>
      </c>
      <c r="R84" s="310">
        <v>311.45</v>
      </c>
      <c r="S84" s="310">
        <f t="shared" si="307"/>
        <v>227.03</v>
      </c>
      <c r="T84" s="849" t="s">
        <v>621</v>
      </c>
      <c r="U84" s="850"/>
      <c r="V84" s="547">
        <f>'LSPD WACC'!C32</f>
        <v>-648.6</v>
      </c>
      <c r="AH84" s="845"/>
      <c r="AI84" s="825"/>
      <c r="AJ84" s="825"/>
      <c r="AK84" s="825"/>
      <c r="AL84" s="825"/>
      <c r="AM84" s="826"/>
    </row>
    <row r="85" spans="2:43">
      <c r="B85" s="214" t="s">
        <v>235</v>
      </c>
      <c r="C85" s="310">
        <v>26.47</v>
      </c>
      <c r="D85" s="310">
        <v>26.45</v>
      </c>
      <c r="E85" s="310">
        <v>29.23</v>
      </c>
      <c r="F85" s="310">
        <v>31.54</v>
      </c>
      <c r="G85" s="310">
        <v>34.82</v>
      </c>
      <c r="H85" s="310">
        <v>39.56</v>
      </c>
      <c r="I85" s="310">
        <v>42</v>
      </c>
      <c r="J85" s="310">
        <v>42.87</v>
      </c>
      <c r="K85" s="310">
        <v>41.14</v>
      </c>
      <c r="L85" s="310">
        <v>39.76</v>
      </c>
      <c r="M85" s="310">
        <v>41.22</v>
      </c>
      <c r="N85" s="310"/>
      <c r="O85" s="310">
        <v>11.75</v>
      </c>
      <c r="P85" s="310">
        <v>11.5</v>
      </c>
      <c r="Q85" s="310">
        <v>21.4</v>
      </c>
      <c r="R85" s="310">
        <v>31.54</v>
      </c>
      <c r="S85" s="310">
        <f t="shared" si="307"/>
        <v>42.87</v>
      </c>
      <c r="T85" s="539" t="s">
        <v>316</v>
      </c>
      <c r="V85" s="543">
        <f>V83-V84</f>
        <v>3146.8771260743956</v>
      </c>
      <c r="AH85" s="845"/>
      <c r="AI85" s="825"/>
      <c r="AJ85" s="825"/>
      <c r="AK85" s="825"/>
      <c r="AL85" s="825"/>
      <c r="AM85" s="826"/>
    </row>
    <row r="86" spans="2:43">
      <c r="B86" s="311" t="s">
        <v>236</v>
      </c>
      <c r="C86" s="312">
        <v>0.15</v>
      </c>
      <c r="D86" s="312">
        <v>0.14000000000000001</v>
      </c>
      <c r="E86" s="312">
        <v>0.14000000000000001</v>
      </c>
      <c r="F86" s="312">
        <v>0.3</v>
      </c>
      <c r="G86" s="312">
        <v>0.37</v>
      </c>
      <c r="H86" s="312">
        <v>0.18</v>
      </c>
      <c r="I86" s="312">
        <v>0.71</v>
      </c>
      <c r="J86" s="312">
        <v>0.6</v>
      </c>
      <c r="K86" s="312">
        <v>0.32</v>
      </c>
      <c r="L86" s="312">
        <v>0.56000000000000005</v>
      </c>
      <c r="M86" s="312">
        <v>0.51</v>
      </c>
      <c r="N86" s="312"/>
      <c r="O86" s="312">
        <v>0.11</v>
      </c>
      <c r="P86" s="312">
        <v>0.17</v>
      </c>
      <c r="Q86" s="312">
        <v>0.15</v>
      </c>
      <c r="R86" s="312">
        <v>0.3</v>
      </c>
      <c r="S86" s="312">
        <f t="shared" si="307"/>
        <v>0.6</v>
      </c>
      <c r="T86" s="535"/>
      <c r="V86" s="545"/>
      <c r="AH86" s="845"/>
      <c r="AI86" s="825"/>
      <c r="AJ86" s="825"/>
      <c r="AK86" s="825"/>
      <c r="AL86" s="825"/>
      <c r="AM86" s="826"/>
    </row>
    <row r="87" spans="2:43" ht="15" thickBot="1">
      <c r="B87" s="214" t="s">
        <v>237</v>
      </c>
      <c r="C87" s="310">
        <f t="shared" ref="C87:J87" si="308">SUM(C82:C86)</f>
        <v>451.03</v>
      </c>
      <c r="D87" s="310">
        <f t="shared" si="308"/>
        <v>425.47999999999996</v>
      </c>
      <c r="E87" s="310">
        <f t="shared" si="308"/>
        <v>405.87</v>
      </c>
      <c r="F87" s="310">
        <f t="shared" si="308"/>
        <v>383.75</v>
      </c>
      <c r="G87" s="310">
        <f t="shared" si="308"/>
        <v>362.46</v>
      </c>
      <c r="H87" s="310">
        <f t="shared" si="308"/>
        <v>344.92</v>
      </c>
      <c r="I87" s="310">
        <f t="shared" si="308"/>
        <v>326.97999999999996</v>
      </c>
      <c r="J87" s="310">
        <f t="shared" si="308"/>
        <v>308.08000000000004</v>
      </c>
      <c r="K87" s="310">
        <f>SUM(K82:K86)</f>
        <v>285.75</v>
      </c>
      <c r="L87" s="310">
        <f>SUM(L82:L86)</f>
        <v>265.78000000000003</v>
      </c>
      <c r="M87" s="310">
        <f t="shared" ref="M87:S87" si="309">SUM(M82:M86)</f>
        <v>248.07</v>
      </c>
      <c r="N87" s="310"/>
      <c r="O87" s="310">
        <f t="shared" si="309"/>
        <v>98.63000000000001</v>
      </c>
      <c r="P87" s="310">
        <f t="shared" si="309"/>
        <v>275.71000000000004</v>
      </c>
      <c r="Q87" s="310">
        <f t="shared" si="309"/>
        <v>473.11999999999995</v>
      </c>
      <c r="R87" s="310">
        <f t="shared" si="309"/>
        <v>383.75</v>
      </c>
      <c r="S87" s="310">
        <f t="shared" si="309"/>
        <v>308.08000000000004</v>
      </c>
      <c r="T87" s="536" t="s">
        <v>318</v>
      </c>
      <c r="V87" s="543">
        <f>'Company Summary'!C15</f>
        <v>152.97</v>
      </c>
      <c r="AH87" s="846"/>
      <c r="AI87" s="847"/>
      <c r="AJ87" s="847"/>
      <c r="AK87" s="847"/>
      <c r="AL87" s="847"/>
      <c r="AM87" s="848"/>
    </row>
    <row r="88" spans="2:43">
      <c r="B88" s="212" t="s">
        <v>238</v>
      </c>
      <c r="C88" s="313">
        <f t="shared" ref="C88:K88" si="310">+C80+C87</f>
        <v>1455.55</v>
      </c>
      <c r="D88" s="313">
        <f t="shared" si="310"/>
        <v>1386.72</v>
      </c>
      <c r="E88" s="313">
        <f t="shared" si="310"/>
        <v>1356.6399999999999</v>
      </c>
      <c r="F88" s="313">
        <f t="shared" si="310"/>
        <v>1318.08</v>
      </c>
      <c r="G88" s="313">
        <f t="shared" si="310"/>
        <v>1278.67</v>
      </c>
      <c r="H88" s="313">
        <f t="shared" si="310"/>
        <v>1263.49</v>
      </c>
      <c r="I88" s="313">
        <f t="shared" si="310"/>
        <v>1252.58</v>
      </c>
      <c r="J88" s="313">
        <f t="shared" si="310"/>
        <v>1225.98</v>
      </c>
      <c r="K88" s="313">
        <f t="shared" si="310"/>
        <v>1159.27</v>
      </c>
      <c r="L88" s="313">
        <f>+L80+L87</f>
        <v>1146.3700000000001</v>
      </c>
      <c r="M88" s="313">
        <f t="shared" ref="M88" si="311">+M80+M87</f>
        <v>1126.3899999999999</v>
      </c>
      <c r="N88" s="313"/>
      <c r="O88" s="313">
        <f t="shared" ref="O88" si="312">+O80+O87</f>
        <v>331.84000000000003</v>
      </c>
      <c r="P88" s="313">
        <f t="shared" ref="P88" si="313">+P80+P87</f>
        <v>1133.3699999999999</v>
      </c>
      <c r="Q88" s="313">
        <f t="shared" ref="Q88" si="314">+Q80+Q87</f>
        <v>1515.62</v>
      </c>
      <c r="R88" s="313">
        <f t="shared" ref="R88" si="315">+R80+R87</f>
        <v>1318.08</v>
      </c>
      <c r="S88" s="313">
        <f t="shared" ref="S88" si="316">+S80+S87</f>
        <v>1225.98</v>
      </c>
      <c r="T88" s="535" t="s">
        <v>5</v>
      </c>
      <c r="V88" s="548">
        <f>V85/V87</f>
        <v>20.571858051084497</v>
      </c>
    </row>
    <row r="89" spans="2:43">
      <c r="B89" s="214"/>
      <c r="C89" s="310"/>
      <c r="D89" s="310"/>
      <c r="E89" s="310"/>
      <c r="F89" s="310"/>
      <c r="G89" s="310"/>
      <c r="H89" s="310"/>
      <c r="I89" s="310"/>
      <c r="J89" s="310"/>
      <c r="K89" s="310"/>
      <c r="L89" s="310"/>
      <c r="M89" s="310"/>
      <c r="N89" s="310"/>
      <c r="O89" s="310"/>
      <c r="P89" s="310"/>
      <c r="Q89" s="310"/>
      <c r="R89" s="310"/>
      <c r="S89" s="310"/>
      <c r="T89" s="537" t="s">
        <v>3</v>
      </c>
      <c r="U89" s="382"/>
      <c r="V89" s="549">
        <f>'Company Summary'!C20</f>
        <v>13.15</v>
      </c>
    </row>
    <row r="90" spans="2:43">
      <c r="B90" s="214" t="s">
        <v>239</v>
      </c>
      <c r="C90" s="310">
        <v>71.569999999999993</v>
      </c>
      <c r="D90" s="310">
        <v>73.459999999999994</v>
      </c>
      <c r="E90" s="310">
        <v>69.75</v>
      </c>
      <c r="F90" s="310">
        <v>68.83</v>
      </c>
      <c r="G90" s="310">
        <v>60.74</v>
      </c>
      <c r="H90" s="310">
        <v>71.05</v>
      </c>
      <c r="I90" s="310">
        <v>77.67</v>
      </c>
      <c r="J90" s="310">
        <v>68.680000000000007</v>
      </c>
      <c r="K90" s="310">
        <v>65.489999999999995</v>
      </c>
      <c r="L90" s="310">
        <v>73</v>
      </c>
      <c r="M90" s="310">
        <v>77.2</v>
      </c>
      <c r="N90" s="310"/>
      <c r="O90" s="310">
        <v>30.81</v>
      </c>
      <c r="P90" s="310">
        <v>65.05</v>
      </c>
      <c r="Q90" s="310">
        <v>78.31</v>
      </c>
      <c r="R90" s="310">
        <v>68.83</v>
      </c>
      <c r="S90" s="310">
        <f>J90</f>
        <v>68.680000000000007</v>
      </c>
      <c r="T90" s="851" t="s">
        <v>645</v>
      </c>
      <c r="U90" s="852"/>
      <c r="V90" s="550">
        <f>(V88-V89)/V89</f>
        <v>0.56439985179349783</v>
      </c>
    </row>
    <row r="91" spans="2:43">
      <c r="B91" s="214" t="s">
        <v>132</v>
      </c>
      <c r="C91" s="310">
        <v>7.33</v>
      </c>
      <c r="D91" s="310">
        <v>6.81</v>
      </c>
      <c r="E91" s="310">
        <v>6.92</v>
      </c>
      <c r="F91" s="310">
        <v>6.62</v>
      </c>
      <c r="G91" s="310">
        <v>6.77</v>
      </c>
      <c r="H91" s="310">
        <v>6.7</v>
      </c>
      <c r="I91" s="310">
        <v>6.86</v>
      </c>
      <c r="J91" s="310">
        <v>6.94</v>
      </c>
      <c r="K91" s="310">
        <v>7.07</v>
      </c>
      <c r="L91" s="310">
        <v>6.88</v>
      </c>
      <c r="M91" s="310">
        <v>6.19</v>
      </c>
      <c r="N91" s="310"/>
      <c r="O91" s="310">
        <v>3.3</v>
      </c>
      <c r="P91" s="310">
        <v>5.12</v>
      </c>
      <c r="Q91" s="310">
        <v>7.63</v>
      </c>
      <c r="R91" s="310">
        <v>6.62</v>
      </c>
      <c r="S91" s="310">
        <f t="shared" ref="S91:S93" si="317">J91</f>
        <v>6.94</v>
      </c>
    </row>
    <row r="92" spans="2:43">
      <c r="B92" s="214" t="s">
        <v>240</v>
      </c>
      <c r="C92" s="310">
        <v>6.64</v>
      </c>
      <c r="D92" s="310">
        <v>6.67</v>
      </c>
      <c r="E92" s="310">
        <v>6.63</v>
      </c>
      <c r="F92" s="310">
        <v>6.92</v>
      </c>
      <c r="G92" s="310">
        <v>3.1</v>
      </c>
      <c r="H92" s="310">
        <v>2.46</v>
      </c>
      <c r="I92" s="310">
        <v>1.25</v>
      </c>
      <c r="J92" s="310">
        <v>1.71</v>
      </c>
      <c r="K92" s="310">
        <v>1.24</v>
      </c>
      <c r="L92" s="310">
        <v>1.8</v>
      </c>
      <c r="M92" s="310">
        <v>0.75</v>
      </c>
      <c r="N92" s="310"/>
      <c r="O92" s="310">
        <v>0.08</v>
      </c>
      <c r="P92" s="310">
        <v>0.11</v>
      </c>
      <c r="Q92" s="310">
        <v>6.72</v>
      </c>
      <c r="R92" s="310">
        <v>6.92</v>
      </c>
      <c r="S92" s="310">
        <f t="shared" si="317"/>
        <v>1.71</v>
      </c>
    </row>
    <row r="93" spans="2:43">
      <c r="B93" s="311" t="s">
        <v>241</v>
      </c>
      <c r="C93" s="312">
        <v>65.650000000000006</v>
      </c>
      <c r="D93" s="312">
        <v>62.93</v>
      </c>
      <c r="E93" s="312">
        <v>61.64</v>
      </c>
      <c r="F93" s="312">
        <v>68.09</v>
      </c>
      <c r="G93" s="312">
        <v>67.47</v>
      </c>
      <c r="H93" s="312">
        <v>63.03</v>
      </c>
      <c r="I93" s="312">
        <v>63.12</v>
      </c>
      <c r="J93" s="312">
        <v>67.34</v>
      </c>
      <c r="K93" s="312">
        <v>67.23</v>
      </c>
      <c r="L93" s="312">
        <v>63.25</v>
      </c>
      <c r="M93" s="312">
        <v>59.91</v>
      </c>
      <c r="N93" s="312"/>
      <c r="O93" s="312">
        <v>36.619999999999997</v>
      </c>
      <c r="P93" s="312">
        <v>43.12</v>
      </c>
      <c r="Q93" s="312">
        <v>65.19</v>
      </c>
      <c r="R93" s="312">
        <v>68.09</v>
      </c>
      <c r="S93" s="312">
        <f t="shared" si="317"/>
        <v>67.34</v>
      </c>
      <c r="AD93" s="853" t="s">
        <v>739</v>
      </c>
      <c r="AE93" s="853"/>
      <c r="AF93" s="853"/>
      <c r="AG93" s="853"/>
      <c r="AH93" s="853"/>
      <c r="AI93" s="853"/>
      <c r="AJ93" s="853"/>
      <c r="AK93" s="853"/>
      <c r="AL93" s="853"/>
      <c r="AM93" s="853"/>
      <c r="AN93" s="853"/>
      <c r="AO93" s="853"/>
      <c r="AP93" s="853"/>
      <c r="AQ93" s="853"/>
    </row>
    <row r="94" spans="2:43">
      <c r="B94" s="214" t="s">
        <v>242</v>
      </c>
      <c r="C94" s="310">
        <f t="shared" ref="C94:K94" si="318">SUM(C90:C93)</f>
        <v>151.19</v>
      </c>
      <c r="D94" s="310">
        <f t="shared" si="318"/>
        <v>149.87</v>
      </c>
      <c r="E94" s="310">
        <f t="shared" si="318"/>
        <v>144.94</v>
      </c>
      <c r="F94" s="310">
        <f t="shared" si="318"/>
        <v>150.46</v>
      </c>
      <c r="G94" s="310">
        <f t="shared" si="318"/>
        <v>138.07999999999998</v>
      </c>
      <c r="H94" s="310">
        <f t="shared" si="318"/>
        <v>143.24</v>
      </c>
      <c r="I94" s="310">
        <f t="shared" si="318"/>
        <v>148.9</v>
      </c>
      <c r="J94" s="310">
        <f t="shared" si="318"/>
        <v>144.67000000000002</v>
      </c>
      <c r="K94" s="310">
        <f t="shared" si="318"/>
        <v>141.03</v>
      </c>
      <c r="L94" s="310">
        <f t="shared" ref="L94" si="319">SUM(L90:L93)</f>
        <v>144.93</v>
      </c>
      <c r="M94" s="310">
        <f t="shared" ref="M94" si="320">SUM(M90:M93)</f>
        <v>144.05000000000001</v>
      </c>
      <c r="N94" s="310"/>
      <c r="O94" s="310">
        <f t="shared" ref="O94" si="321">SUM(O90:O93)</f>
        <v>70.81</v>
      </c>
      <c r="P94" s="310">
        <f t="shared" ref="P94" si="322">SUM(P90:P93)</f>
        <v>113.4</v>
      </c>
      <c r="Q94" s="310">
        <f t="shared" ref="Q94" si="323">SUM(Q90:Q93)</f>
        <v>157.85</v>
      </c>
      <c r="R94" s="310">
        <f t="shared" ref="R94" si="324">SUM(R90:R93)</f>
        <v>150.46</v>
      </c>
      <c r="S94" s="310">
        <f t="shared" ref="S94" si="325">SUM(S90:S93)</f>
        <v>144.67000000000002</v>
      </c>
    </row>
    <row r="95" spans="2:43">
      <c r="B95" s="214"/>
      <c r="C95" s="266"/>
      <c r="D95" s="266"/>
      <c r="E95" s="266"/>
      <c r="F95" s="266"/>
      <c r="G95" s="266"/>
      <c r="H95" s="266"/>
      <c r="I95" s="266"/>
      <c r="J95" s="266"/>
      <c r="K95" s="266"/>
      <c r="L95" s="266"/>
      <c r="M95" s="266"/>
      <c r="N95" s="266"/>
      <c r="O95" s="266"/>
      <c r="P95" s="266"/>
      <c r="Q95" s="266"/>
      <c r="R95" s="266"/>
      <c r="S95" s="266"/>
      <c r="AE95" s="838" t="s">
        <v>290</v>
      </c>
      <c r="AF95" s="838"/>
      <c r="AG95" s="838"/>
      <c r="AH95" s="838"/>
      <c r="AI95" s="838"/>
      <c r="AJ95" s="838"/>
      <c r="AK95" s="838"/>
      <c r="AL95" s="838"/>
      <c r="AM95" s="838"/>
      <c r="AN95" s="838"/>
      <c r="AO95" s="838"/>
      <c r="AP95" s="838"/>
      <c r="AQ95" s="838"/>
    </row>
    <row r="96" spans="2:43" ht="16" customHeight="1" thickBot="1">
      <c r="B96" s="214" t="s">
        <v>243</v>
      </c>
      <c r="C96" s="310">
        <v>1.89</v>
      </c>
      <c r="D96" s="310">
        <v>1.6</v>
      </c>
      <c r="E96" s="310">
        <v>1.64</v>
      </c>
      <c r="F96" s="310">
        <v>1.23</v>
      </c>
      <c r="G96" s="310">
        <v>1.28</v>
      </c>
      <c r="H96" s="310">
        <v>1.29</v>
      </c>
      <c r="I96" s="310">
        <v>0.89</v>
      </c>
      <c r="J96" s="310">
        <v>0.85</v>
      </c>
      <c r="K96" s="310">
        <v>0.77</v>
      </c>
      <c r="L96" s="310">
        <v>0.64</v>
      </c>
      <c r="M96" s="310">
        <v>0.79</v>
      </c>
      <c r="N96" s="310"/>
      <c r="O96" s="310">
        <v>5.47</v>
      </c>
      <c r="P96" s="310">
        <v>2.8</v>
      </c>
      <c r="Q96" s="310">
        <v>2.12</v>
      </c>
      <c r="R96" s="310">
        <v>1.23</v>
      </c>
      <c r="S96" s="310">
        <f>J96</f>
        <v>0.85</v>
      </c>
      <c r="AE96" s="300"/>
      <c r="AF96" s="300"/>
      <c r="AG96" s="300"/>
      <c r="AH96" s="300"/>
      <c r="AI96" s="300"/>
      <c r="AJ96" s="300"/>
      <c r="AK96" s="300"/>
      <c r="AL96" s="300"/>
      <c r="AM96" s="300"/>
      <c r="AN96" s="300"/>
      <c r="AO96" s="300"/>
      <c r="AP96" s="300"/>
      <c r="AQ96" s="300"/>
    </row>
    <row r="97" spans="2:43" ht="15" thickBot="1">
      <c r="B97" s="214" t="s">
        <v>136</v>
      </c>
      <c r="C97" s="310">
        <v>20.85</v>
      </c>
      <c r="D97" s="310">
        <v>19.350000000000001</v>
      </c>
      <c r="E97" s="310">
        <v>19.48</v>
      </c>
      <c r="F97" s="310">
        <v>18.57</v>
      </c>
      <c r="G97" s="310">
        <v>17.690000000000001</v>
      </c>
      <c r="H97" s="310">
        <v>16.95</v>
      </c>
      <c r="I97" s="310">
        <v>16.59</v>
      </c>
      <c r="J97" s="310">
        <v>16.27</v>
      </c>
      <c r="K97" s="310">
        <v>16.2</v>
      </c>
      <c r="L97" s="310">
        <v>15.08</v>
      </c>
      <c r="M97" s="310">
        <v>12.97</v>
      </c>
      <c r="N97" s="310"/>
      <c r="O97" s="310">
        <v>13.55</v>
      </c>
      <c r="P97" s="310">
        <v>20.56</v>
      </c>
      <c r="Q97" s="310">
        <v>23.04</v>
      </c>
      <c r="R97" s="310">
        <v>18.57</v>
      </c>
      <c r="S97" s="310">
        <f t="shared" ref="S97:S99" si="326">J97</f>
        <v>16.27</v>
      </c>
      <c r="AD97" s="579">
        <f>V88</f>
        <v>20.571858051084497</v>
      </c>
      <c r="AE97" s="580">
        <f t="shared" ref="AE97:AI97" si="327">AF97-0.0025</f>
        <v>8.5999999999999993E-2</v>
      </c>
      <c r="AF97" s="580">
        <f t="shared" si="327"/>
        <v>8.8499999999999995E-2</v>
      </c>
      <c r="AG97" s="580">
        <f t="shared" si="327"/>
        <v>9.0999999999999998E-2</v>
      </c>
      <c r="AH97" s="580">
        <f t="shared" si="327"/>
        <v>9.35E-2</v>
      </c>
      <c r="AI97" s="580">
        <f t="shared" si="327"/>
        <v>9.6000000000000002E-2</v>
      </c>
      <c r="AJ97" s="580">
        <f>AK97-0.0025</f>
        <v>9.8500000000000004E-2</v>
      </c>
      <c r="AK97" s="577">
        <v>0.10100000000000001</v>
      </c>
      <c r="AL97" s="580">
        <f>AK97+0.0025</f>
        <v>0.10350000000000001</v>
      </c>
      <c r="AM97" s="580">
        <f t="shared" ref="AM97:AQ97" si="328">AL97+0.0025</f>
        <v>0.10600000000000001</v>
      </c>
      <c r="AN97" s="580">
        <f t="shared" si="328"/>
        <v>0.10850000000000001</v>
      </c>
      <c r="AO97" s="580">
        <f t="shared" si="328"/>
        <v>0.11100000000000002</v>
      </c>
      <c r="AP97" s="580">
        <f t="shared" si="328"/>
        <v>0.11350000000000002</v>
      </c>
      <c r="AQ97" s="580">
        <f t="shared" si="328"/>
        <v>0.11600000000000002</v>
      </c>
    </row>
    <row r="98" spans="2:43">
      <c r="B98" s="214" t="s">
        <v>244</v>
      </c>
      <c r="C98" s="310">
        <v>0</v>
      </c>
      <c r="D98" s="310">
        <v>0</v>
      </c>
      <c r="E98" s="310">
        <v>0</v>
      </c>
      <c r="F98" s="310">
        <v>1.03</v>
      </c>
      <c r="G98" s="310">
        <v>1.17</v>
      </c>
      <c r="H98" s="310">
        <v>1.1200000000000001</v>
      </c>
      <c r="I98" s="310">
        <v>1.97</v>
      </c>
      <c r="J98" s="310">
        <v>0.97</v>
      </c>
      <c r="K98" s="310">
        <v>0.79</v>
      </c>
      <c r="L98" s="310">
        <v>1.25</v>
      </c>
      <c r="M98" s="310">
        <v>1.1399999999999999</v>
      </c>
      <c r="N98" s="310"/>
      <c r="O98" s="310">
        <v>8.1999999999999993</v>
      </c>
      <c r="P98" s="310">
        <v>0</v>
      </c>
      <c r="Q98" s="310">
        <v>1</v>
      </c>
      <c r="R98" s="310">
        <v>1.03</v>
      </c>
      <c r="S98" s="310">
        <f t="shared" si="326"/>
        <v>0.97</v>
      </c>
      <c r="AD98" s="581">
        <f>AD99+0.0025</f>
        <v>4.0000000000000008E-2</v>
      </c>
      <c r="AE98" s="582">
        <f t="dataTable" ref="AE98:AQ106" dt2D="1" dtr="1" r1="U67" r2="V70" ca="1"/>
        <v>25.614830971899842</v>
      </c>
      <c r="AF98" s="582">
        <v>25.136918175708075</v>
      </c>
      <c r="AG98" s="582">
        <v>24.67043961270657</v>
      </c>
      <c r="AH98" s="582">
        <v>24.215093701078306</v>
      </c>
      <c r="AI98" s="582">
        <v>23.770587535511389</v>
      </c>
      <c r="AJ98" s="582">
        <v>23.336636617446612</v>
      </c>
      <c r="AK98" s="582">
        <v>22.912964594322926</v>
      </c>
      <c r="AL98" s="582">
        <v>22.499303007501382</v>
      </c>
      <c r="AM98" s="582">
        <v>22.095391048558678</v>
      </c>
      <c r="AN98" s="582">
        <v>21.700975323654216</v>
      </c>
      <c r="AO98" s="582">
        <v>21.315809625684942</v>
      </c>
      <c r="AP98" s="582">
        <v>20.939654713953921</v>
      </c>
      <c r="AQ98" s="582">
        <v>20.572278101087583</v>
      </c>
    </row>
    <row r="99" spans="2:43">
      <c r="B99" s="311" t="s">
        <v>245</v>
      </c>
      <c r="C99" s="312">
        <v>4.46</v>
      </c>
      <c r="D99" s="312">
        <v>1.61</v>
      </c>
      <c r="E99" s="312">
        <v>0.22</v>
      </c>
      <c r="F99" s="312">
        <v>0</v>
      </c>
      <c r="G99" s="312">
        <v>0</v>
      </c>
      <c r="H99" s="312">
        <v>0</v>
      </c>
      <c r="I99" s="312">
        <v>0</v>
      </c>
      <c r="J99" s="312">
        <v>0</v>
      </c>
      <c r="K99" s="312">
        <v>0</v>
      </c>
      <c r="L99" s="312">
        <v>0.38</v>
      </c>
      <c r="M99" s="312">
        <v>0.33</v>
      </c>
      <c r="N99" s="312"/>
      <c r="O99" s="312">
        <v>6.58</v>
      </c>
      <c r="P99" s="312">
        <v>1.36</v>
      </c>
      <c r="Q99" s="312">
        <v>6.83</v>
      </c>
      <c r="R99" s="312">
        <v>0</v>
      </c>
      <c r="S99" s="312">
        <f t="shared" si="326"/>
        <v>0</v>
      </c>
      <c r="AD99" s="581">
        <f t="shared" ref="AD99:AD100" si="329">AD100+0.0025</f>
        <v>3.7500000000000006E-2</v>
      </c>
      <c r="AE99" s="582">
        <v>24.854572736486645</v>
      </c>
      <c r="AF99" s="583">
        <v>24.393941719162044</v>
      </c>
      <c r="AG99" s="583">
        <v>23.944313792692505</v>
      </c>
      <c r="AH99" s="583">
        <v>23.505399082539039</v>
      </c>
      <c r="AI99" s="583">
        <v>23.076916047054439</v>
      </c>
      <c r="AJ99" s="583">
        <v>22.65859121856732</v>
      </c>
      <c r="AK99" s="583">
        <v>22.250158953098705</v>
      </c>
      <c r="AL99" s="583">
        <v>21.851361188404915</v>
      </c>
      <c r="AM99" s="583">
        <v>21.461947210050358</v>
      </c>
      <c r="AN99" s="583">
        <v>21.081673425226413</v>
      </c>
      <c r="AO99" s="583">
        <v>20.7103031440423</v>
      </c>
      <c r="AP99" s="583">
        <v>20.347606368024987</v>
      </c>
      <c r="AQ99" s="582">
        <v>19.993359585574161</v>
      </c>
    </row>
    <row r="100" spans="2:43">
      <c r="B100" s="214" t="s">
        <v>246</v>
      </c>
      <c r="C100" s="310">
        <f t="shared" ref="C100:K100" si="330">SUM(C96:C99)</f>
        <v>27.200000000000003</v>
      </c>
      <c r="D100" s="310">
        <f t="shared" si="330"/>
        <v>22.560000000000002</v>
      </c>
      <c r="E100" s="310">
        <f t="shared" si="330"/>
        <v>21.34</v>
      </c>
      <c r="F100" s="310">
        <f t="shared" si="330"/>
        <v>20.830000000000002</v>
      </c>
      <c r="G100" s="310">
        <f t="shared" si="330"/>
        <v>20.14</v>
      </c>
      <c r="H100" s="310">
        <f t="shared" si="330"/>
        <v>19.36</v>
      </c>
      <c r="I100" s="310">
        <f t="shared" si="330"/>
        <v>19.45</v>
      </c>
      <c r="J100" s="310">
        <f t="shared" si="330"/>
        <v>18.09</v>
      </c>
      <c r="K100" s="310">
        <f t="shared" si="330"/>
        <v>17.759999999999998</v>
      </c>
      <c r="L100" s="310">
        <f>SUM(L96:L99)</f>
        <v>17.349999999999998</v>
      </c>
      <c r="M100" s="310">
        <f t="shared" ref="M100" si="331">SUM(M96:M99)</f>
        <v>15.230000000000002</v>
      </c>
      <c r="N100" s="310"/>
      <c r="O100" s="310">
        <f t="shared" ref="O100" si="332">SUM(O96:O99)</f>
        <v>33.799999999999997</v>
      </c>
      <c r="P100" s="310">
        <f t="shared" ref="P100" si="333">SUM(P96:P99)</f>
        <v>24.72</v>
      </c>
      <c r="Q100" s="310">
        <f t="shared" ref="Q100" si="334">SUM(Q96:Q99)</f>
        <v>32.99</v>
      </c>
      <c r="R100" s="310">
        <f t="shared" ref="R100" si="335">SUM(R96:R99)</f>
        <v>20.830000000000002</v>
      </c>
      <c r="S100" s="310">
        <f t="shared" ref="S100" si="336">SUM(S96:S99)</f>
        <v>18.09</v>
      </c>
      <c r="AD100" s="581">
        <f t="shared" si="329"/>
        <v>3.5000000000000003E-2</v>
      </c>
      <c r="AE100" s="582">
        <v>24.157737247956263</v>
      </c>
      <c r="AF100" s="583">
        <v>23.712946317931774</v>
      </c>
      <c r="AG100" s="584">
        <v>23.278763303457726</v>
      </c>
      <c r="AH100" s="584">
        <v>22.854909060621146</v>
      </c>
      <c r="AI100" s="584">
        <v>22.441112463452633</v>
      </c>
      <c r="AJ100" s="584">
        <v>22.037110154942887</v>
      </c>
      <c r="AK100" s="584">
        <v>21.642646306356845</v>
      </c>
      <c r="AL100" s="584">
        <v>21.257472384551367</v>
      </c>
      <c r="AM100" s="584">
        <v>20.881346927011524</v>
      </c>
      <c r="AN100" s="584">
        <v>20.514035324332731</v>
      </c>
      <c r="AO100" s="585">
        <v>20.155309609885521</v>
      </c>
      <c r="AP100" s="583">
        <v>19.8049482564101</v>
      </c>
      <c r="AQ100" s="582">
        <v>19.462735979296717</v>
      </c>
    </row>
    <row r="101" spans="2:43" ht="15" thickBot="1">
      <c r="B101" s="212" t="s">
        <v>247</v>
      </c>
      <c r="C101" s="313">
        <f t="shared" ref="C101:K101" si="337">C94+C100</f>
        <v>178.39</v>
      </c>
      <c r="D101" s="313">
        <f t="shared" si="337"/>
        <v>172.43</v>
      </c>
      <c r="E101" s="313">
        <f t="shared" si="337"/>
        <v>166.28</v>
      </c>
      <c r="F101" s="313">
        <f t="shared" si="337"/>
        <v>171.29000000000002</v>
      </c>
      <c r="G101" s="313">
        <f t="shared" si="337"/>
        <v>158.21999999999997</v>
      </c>
      <c r="H101" s="313">
        <f t="shared" si="337"/>
        <v>162.60000000000002</v>
      </c>
      <c r="I101" s="313">
        <f t="shared" si="337"/>
        <v>168.35</v>
      </c>
      <c r="J101" s="313">
        <f t="shared" si="337"/>
        <v>162.76000000000002</v>
      </c>
      <c r="K101" s="313">
        <f t="shared" si="337"/>
        <v>158.79</v>
      </c>
      <c r="L101" s="313">
        <f>L94+L100</f>
        <v>162.28</v>
      </c>
      <c r="M101" s="313">
        <f t="shared" ref="M101" si="338">M94+M100</f>
        <v>159.28</v>
      </c>
      <c r="N101" s="313"/>
      <c r="O101" s="313">
        <f t="shared" ref="O101" si="339">O94+O100</f>
        <v>104.61</v>
      </c>
      <c r="P101" s="313">
        <f t="shared" ref="P101" si="340">P94+P100</f>
        <v>138.12</v>
      </c>
      <c r="Q101" s="313">
        <f t="shared" ref="Q101" si="341">Q94+Q100</f>
        <v>190.84</v>
      </c>
      <c r="R101" s="313">
        <f t="shared" ref="R101" si="342">R94+R100</f>
        <v>171.29000000000002</v>
      </c>
      <c r="S101" s="313">
        <f t="shared" ref="S101" si="343">S94+S100</f>
        <v>162.76000000000002</v>
      </c>
      <c r="T101" s="282"/>
      <c r="AD101" s="581">
        <f>AD102+0.0025</f>
        <v>3.2500000000000001E-2</v>
      </c>
      <c r="AE101" s="582">
        <v>23.516705947255701</v>
      </c>
      <c r="AF101" s="583">
        <v>23.086486593926619</v>
      </c>
      <c r="AG101" s="584">
        <v>22.666511627390189</v>
      </c>
      <c r="AH101" s="586">
        <v>22.256511775026258</v>
      </c>
      <c r="AI101" s="586">
        <v>21.856225492431822</v>
      </c>
      <c r="AJ101" s="586">
        <v>21.465398723574573</v>
      </c>
      <c r="AK101" s="586">
        <v>21.08378466893609</v>
      </c>
      <c r="AL101" s="586">
        <v>20.711143561361503</v>
      </c>
      <c r="AM101" s="586">
        <v>20.347242449341433</v>
      </c>
      <c r="AN101" s="586">
        <v>19.991854987463725</v>
      </c>
      <c r="AO101" s="585">
        <v>19.644761233781384</v>
      </c>
      <c r="AP101" s="583">
        <v>19.305747453853623</v>
      </c>
      <c r="AQ101" s="582">
        <v>18.974605931224936</v>
      </c>
    </row>
    <row r="102" spans="2:43" ht="15" thickBot="1">
      <c r="B102" s="300"/>
      <c r="C102" s="266"/>
      <c r="D102" s="266"/>
      <c r="E102" s="266"/>
      <c r="F102" s="266"/>
      <c r="G102" s="266"/>
      <c r="H102" s="266"/>
      <c r="I102" s="266"/>
      <c r="J102" s="266"/>
      <c r="K102" s="266"/>
      <c r="L102" s="266"/>
      <c r="M102" s="266"/>
      <c r="N102" s="266"/>
      <c r="O102" s="266">
        <f>(O75)+(O91+O97)</f>
        <v>227.82</v>
      </c>
      <c r="P102" s="266">
        <f>(P75)+(P91+P97)</f>
        <v>832.82999999999993</v>
      </c>
      <c r="Q102" s="266"/>
      <c r="R102" s="266"/>
      <c r="S102" s="266"/>
      <c r="AC102" s="591" t="s">
        <v>738</v>
      </c>
      <c r="AD102" s="578">
        <v>0.03</v>
      </c>
      <c r="AE102" s="582">
        <v>22.925033520684984</v>
      </c>
      <c r="AF102" s="583">
        <v>22.508263744830376</v>
      </c>
      <c r="AG102" s="584">
        <v>22.101402818420997</v>
      </c>
      <c r="AH102" s="586">
        <v>21.704190580048227</v>
      </c>
      <c r="AI102" s="587">
        <v>21.316374329102857</v>
      </c>
      <c r="AJ102" s="587">
        <v>20.937708594362121</v>
      </c>
      <c r="AK102" s="588">
        <v>20.567954910282104</v>
      </c>
      <c r="AL102" s="587">
        <v>20.20688160072244</v>
      </c>
      <c r="AM102" s="587">
        <v>19.854263569839009</v>
      </c>
      <c r="AN102" s="586">
        <v>19.509882099891545</v>
      </c>
      <c r="AO102" s="585">
        <v>19.17352465572171</v>
      </c>
      <c r="AP102" s="583">
        <v>18.844984695667172</v>
      </c>
      <c r="AQ102" s="582">
        <v>18.52406148868512</v>
      </c>
    </row>
    <row r="103" spans="2:43">
      <c r="B103" s="214" t="s">
        <v>248</v>
      </c>
      <c r="C103" s="310">
        <v>147.53</v>
      </c>
      <c r="D103" s="310">
        <v>171.44</v>
      </c>
      <c r="E103" s="310">
        <v>192.26</v>
      </c>
      <c r="F103" s="310">
        <v>198.02</v>
      </c>
      <c r="G103" s="310">
        <v>197.11</v>
      </c>
      <c r="H103" s="310">
        <v>205.68</v>
      </c>
      <c r="I103" s="310">
        <v>209.17</v>
      </c>
      <c r="J103" s="310">
        <v>213.92</v>
      </c>
      <c r="K103" s="310">
        <v>211.99</v>
      </c>
      <c r="L103" s="310">
        <v>220.06</v>
      </c>
      <c r="M103" s="310">
        <v>195.5</v>
      </c>
      <c r="N103" s="310"/>
      <c r="O103" s="310">
        <v>11.77</v>
      </c>
      <c r="P103" s="310">
        <v>35.880000000000003</v>
      </c>
      <c r="Q103" s="310">
        <v>123.78</v>
      </c>
      <c r="R103" s="310">
        <v>198.02</v>
      </c>
      <c r="S103" s="310">
        <f>J103</f>
        <v>213.92</v>
      </c>
      <c r="AD103" s="581">
        <f>AD102-0.0025</f>
        <v>2.75E-2</v>
      </c>
      <c r="AE103" s="582">
        <v>22.377230425300404</v>
      </c>
      <c r="AF103" s="583">
        <v>21.97291301301939</v>
      </c>
      <c r="AG103" s="584">
        <v>21.57819379112755</v>
      </c>
      <c r="AH103" s="586">
        <v>21.192821033880417</v>
      </c>
      <c r="AI103" s="586">
        <v>20.816550228742773</v>
      </c>
      <c r="AJ103" s="586">
        <v>20.449143852783919</v>
      </c>
      <c r="AK103" s="586">
        <v>20.090371156515005</v>
      </c>
      <c r="AL103" s="586">
        <v>19.740007954904915</v>
      </c>
      <c r="AM103" s="586">
        <v>19.397836425319419</v>
      </c>
      <c r="AN103" s="586">
        <v>19.063644912139271</v>
      </c>
      <c r="AO103" s="585">
        <v>18.73722773782119</v>
      </c>
      <c r="AP103" s="583">
        <v>18.418385020175435</v>
      </c>
      <c r="AQ103" s="582">
        <v>18.106922495641083</v>
      </c>
    </row>
    <row r="104" spans="2:43">
      <c r="B104" s="214" t="s">
        <v>249</v>
      </c>
      <c r="C104" s="310">
        <v>-1026.99</v>
      </c>
      <c r="D104" s="310">
        <v>-1106.93</v>
      </c>
      <c r="E104" s="310">
        <v>-1921.73</v>
      </c>
      <c r="F104" s="310">
        <v>-1996.2</v>
      </c>
      <c r="G104" s="310">
        <v>-2044.9</v>
      </c>
      <c r="H104" s="310">
        <v>-2087.39</v>
      </c>
      <c r="I104" s="310">
        <v>-2127.6</v>
      </c>
      <c r="J104" s="310">
        <v>-2160.16</v>
      </c>
      <c r="K104" s="310">
        <v>-2159.15</v>
      </c>
      <c r="L104" s="310">
        <v>-2189</v>
      </c>
      <c r="M104" s="310">
        <v>-2215.39</v>
      </c>
      <c r="N104" s="310"/>
      <c r="O104" s="310">
        <v>-513.48</v>
      </c>
      <c r="P104" s="310">
        <v>-637.76</v>
      </c>
      <c r="Q104" s="310">
        <v>-926.2</v>
      </c>
      <c r="R104" s="310">
        <v>-1996.2</v>
      </c>
      <c r="S104" s="310">
        <f>J104</f>
        <v>-2160.16</v>
      </c>
      <c r="AD104" s="581">
        <f t="shared" ref="AD104:AD106" si="344">AD103-0.0025</f>
        <v>2.5000000000000001E-2</v>
      </c>
      <c r="AE104" s="582">
        <v>21.868592058816649</v>
      </c>
      <c r="AF104" s="583">
        <v>21.475836738682062</v>
      </c>
      <c r="AG104" s="584">
        <v>21.092391160192683</v>
      </c>
      <c r="AH104" s="584">
        <v>20.718011430167365</v>
      </c>
      <c r="AI104" s="584">
        <v>20.35246063874532</v>
      </c>
      <c r="AJ104" s="584">
        <v>19.995508643031336</v>
      </c>
      <c r="AK104" s="584">
        <v>19.646931857938672</v>
      </c>
      <c r="AL104" s="584">
        <v>19.306513053974808</v>
      </c>
      <c r="AM104" s="584">
        <v>18.974041161723274</v>
      </c>
      <c r="AN104" s="584">
        <v>18.649311082785346</v>
      </c>
      <c r="AO104" s="584">
        <v>18.332123506953298</v>
      </c>
      <c r="AP104" s="583">
        <v>18.022284735396497</v>
      </c>
      <c r="AQ104" s="582">
        <v>17.719606509648624</v>
      </c>
    </row>
    <row r="105" spans="2:43">
      <c r="B105" s="214" t="s">
        <v>250</v>
      </c>
      <c r="C105" s="310">
        <f t="shared" ref="C105:S105" si="345">C88-C101</f>
        <v>1277.1599999999999</v>
      </c>
      <c r="D105" s="310">
        <f t="shared" si="345"/>
        <v>1214.29</v>
      </c>
      <c r="E105" s="310">
        <f t="shared" si="345"/>
        <v>1190.3599999999999</v>
      </c>
      <c r="F105" s="310">
        <f t="shared" si="345"/>
        <v>1146.79</v>
      </c>
      <c r="G105" s="310">
        <f t="shared" si="345"/>
        <v>1120.45</v>
      </c>
      <c r="H105" s="310">
        <f t="shared" si="345"/>
        <v>1100.8899999999999</v>
      </c>
      <c r="I105" s="310">
        <f t="shared" si="345"/>
        <v>1084.23</v>
      </c>
      <c r="J105" s="310">
        <f t="shared" si="345"/>
        <v>1063.22</v>
      </c>
      <c r="K105" s="310">
        <f t="shared" si="345"/>
        <v>1000.48</v>
      </c>
      <c r="L105" s="310">
        <f>L88-L101</f>
        <v>984.09000000000015</v>
      </c>
      <c r="M105" s="310">
        <f t="shared" si="345"/>
        <v>967.1099999999999</v>
      </c>
      <c r="N105" s="310"/>
      <c r="O105" s="310">
        <f t="shared" si="345"/>
        <v>227.23000000000002</v>
      </c>
      <c r="P105" s="310">
        <f t="shared" si="345"/>
        <v>995.24999999999989</v>
      </c>
      <c r="Q105" s="310">
        <f t="shared" si="345"/>
        <v>1324.78</v>
      </c>
      <c r="R105" s="310">
        <f t="shared" si="345"/>
        <v>1146.79</v>
      </c>
      <c r="S105" s="310">
        <f t="shared" si="345"/>
        <v>1063.22</v>
      </c>
      <c r="AD105" s="581">
        <f t="shared" si="344"/>
        <v>2.2500000000000003E-2</v>
      </c>
      <c r="AE105" s="582">
        <v>21.395063305007302</v>
      </c>
      <c r="AF105" s="583">
        <v>21.013071984300009</v>
      </c>
      <c r="AG105" s="583">
        <v>20.640121867150206</v>
      </c>
      <c r="AH105" s="583">
        <v>20.275976352284324</v>
      </c>
      <c r="AI105" s="583">
        <v>19.9204056077287</v>
      </c>
      <c r="AJ105" s="583">
        <v>19.573186361204336</v>
      </c>
      <c r="AK105" s="583">
        <v>19.234101697491774</v>
      </c>
      <c r="AL105" s="583">
        <v>18.902940862519422</v>
      </c>
      <c r="AM105" s="583">
        <v>18.579499073936447</v>
      </c>
      <c r="AN105" s="583">
        <v>18.263577337941541</v>
      </c>
      <c r="AO105" s="583">
        <v>17.954982272146566</v>
      </c>
      <c r="AP105" s="583">
        <v>17.6535259342633</v>
      </c>
      <c r="AQ105" s="582">
        <v>17.359025656408363</v>
      </c>
    </row>
    <row r="106" spans="2:43">
      <c r="B106" s="214"/>
      <c r="C106" s="266"/>
      <c r="D106" s="266"/>
      <c r="E106" s="266"/>
      <c r="F106" s="266"/>
      <c r="G106" s="266"/>
      <c r="H106" s="266"/>
      <c r="I106" s="266"/>
      <c r="J106" s="266"/>
      <c r="K106" s="266"/>
      <c r="L106" s="266"/>
      <c r="M106" s="266"/>
      <c r="N106" s="266"/>
      <c r="O106" s="266"/>
      <c r="P106" s="266"/>
      <c r="Q106" s="266"/>
      <c r="R106" s="266"/>
      <c r="S106" s="266"/>
      <c r="AD106" s="581">
        <f t="shared" si="344"/>
        <v>2.0000000000000004E-2</v>
      </c>
      <c r="AE106" s="582">
        <v>20.953130193245737</v>
      </c>
      <c r="AF106" s="582">
        <v>20.581184656925622</v>
      </c>
      <c r="AG106" s="582">
        <v>20.218029703959331</v>
      </c>
      <c r="AH106" s="582">
        <v>19.863435538436992</v>
      </c>
      <c r="AI106" s="582">
        <v>19.517178934008491</v>
      </c>
      <c r="AJ106" s="582">
        <v>19.179043030577368</v>
      </c>
      <c r="AK106" s="582">
        <v>18.848817137752491</v>
      </c>
      <c r="AL106" s="582">
        <v>18.526296544818443</v>
      </c>
      <c r="AM106" s="582">
        <v>18.211282336993076</v>
      </c>
      <c r="AN106" s="582">
        <v>17.903581217750492</v>
      </c>
      <c r="AO106" s="582">
        <v>17.603005336995452</v>
      </c>
      <c r="AP106" s="582">
        <v>17.309372124883705</v>
      </c>
      <c r="AQ106" s="582">
        <v>17.022504131089818</v>
      </c>
    </row>
    <row r="107" spans="2:43">
      <c r="B107" s="214" t="s">
        <v>251</v>
      </c>
      <c r="C107" s="310">
        <f>C64</f>
        <v>-49.989000000000011</v>
      </c>
      <c r="D107" s="310">
        <f t="shared" ref="D107:M107" si="346">D64</f>
        <v>-32.707970186607554</v>
      </c>
      <c r="E107" s="310">
        <f t="shared" si="346"/>
        <v>-25.015315416200092</v>
      </c>
      <c r="F107" s="310">
        <f t="shared" si="346"/>
        <v>-36.980530324715424</v>
      </c>
      <c r="G107" s="310">
        <f t="shared" si="346"/>
        <v>-10.888215522865949</v>
      </c>
      <c r="H107" s="310">
        <f t="shared" si="346"/>
        <v>-7.0251909888526356</v>
      </c>
      <c r="I107" s="310">
        <f t="shared" si="346"/>
        <v>-7.0682506468620652</v>
      </c>
      <c r="J107" s="310">
        <f t="shared" si="346"/>
        <v>2.2032523247536275</v>
      </c>
      <c r="K107" s="310">
        <f t="shared" si="346"/>
        <v>-6.3070944984503186</v>
      </c>
      <c r="L107" s="310">
        <f t="shared" si="346"/>
        <v>1.4458587906520677</v>
      </c>
      <c r="M107" s="310">
        <f t="shared" si="346"/>
        <v>8.8331118427881599</v>
      </c>
      <c r="N107" s="310"/>
      <c r="O107" s="310">
        <f t="shared" ref="O107:S107" si="347">O64</f>
        <v>-7.4580000000000171</v>
      </c>
      <c r="P107" s="310">
        <f t="shared" si="347"/>
        <v>-27.864926163267594</v>
      </c>
      <c r="Q107" s="310">
        <f t="shared" si="347"/>
        <v>-100.75845320643327</v>
      </c>
      <c r="R107" s="310">
        <f t="shared" si="347"/>
        <v>-132.49938046856138</v>
      </c>
      <c r="S107" s="310">
        <f t="shared" si="347"/>
        <v>-34.491999999999983</v>
      </c>
    </row>
    <row r="108" spans="2:43">
      <c r="B108" s="214" t="s">
        <v>252</v>
      </c>
      <c r="C108" s="310">
        <v>-100.8</v>
      </c>
      <c r="D108" s="310">
        <f>-180.74-C108</f>
        <v>-79.940000000000012</v>
      </c>
      <c r="E108" s="310">
        <f>-995.54-(D108+C108)</f>
        <v>-814.8</v>
      </c>
      <c r="F108" s="310">
        <f>-1070.01-(C108+D108+E108)</f>
        <v>-74.470000000000027</v>
      </c>
      <c r="G108" s="310">
        <v>-48.7</v>
      </c>
      <c r="H108" s="310">
        <f>-91.2-G108</f>
        <v>-42.5</v>
      </c>
      <c r="I108" s="310">
        <f>-131.42-(G108+H108)</f>
        <v>-40.219999999999985</v>
      </c>
      <c r="J108" s="310">
        <f>-163.96-(G108+H108+I108)</f>
        <v>-32.54000000000002</v>
      </c>
      <c r="K108" s="310">
        <v>-35.01</v>
      </c>
      <c r="L108" s="310">
        <f>-64.67-K108</f>
        <v>-29.660000000000004</v>
      </c>
      <c r="M108" s="310">
        <f>-91.25-(K108+L108)</f>
        <v>-26.58</v>
      </c>
      <c r="N108" s="310"/>
      <c r="O108" s="310">
        <v>-53.53</v>
      </c>
      <c r="P108" s="310">
        <v>-124.28</v>
      </c>
      <c r="Q108" s="310">
        <v>-288.43</v>
      </c>
      <c r="R108" s="310">
        <f>SUM(C108:F108)</f>
        <v>-1070.01</v>
      </c>
      <c r="S108" s="310">
        <f>SUM(G108:J108)</f>
        <v>-163.96</v>
      </c>
    </row>
    <row r="109" spans="2:43">
      <c r="B109" s="214" t="s">
        <v>253</v>
      </c>
      <c r="C109" s="310">
        <v>15.6</v>
      </c>
      <c r="D109" s="310">
        <f>26.74-C109</f>
        <v>11.139999999999999</v>
      </c>
      <c r="E109" s="310">
        <f>31.52-(C109+D109)</f>
        <v>4.7800000000000011</v>
      </c>
      <c r="F109" s="310">
        <f>40.22-(C109+D109+E109)</f>
        <v>8.6999999999999993</v>
      </c>
      <c r="G109" s="310">
        <v>2.4700000000000002</v>
      </c>
      <c r="H109" s="310">
        <f>2.95-G109</f>
        <v>0.48</v>
      </c>
      <c r="I109" s="310">
        <f>2.95-(G109+H109)</f>
        <v>0</v>
      </c>
      <c r="J109" s="310">
        <f>2.95-(G109+H109+I109)</f>
        <v>0</v>
      </c>
      <c r="K109" s="310">
        <v>0</v>
      </c>
      <c r="L109" s="310">
        <v>0</v>
      </c>
      <c r="M109" s="310">
        <v>0</v>
      </c>
      <c r="N109" s="310"/>
      <c r="O109" s="310">
        <v>11.09</v>
      </c>
      <c r="P109" s="310">
        <v>4.5199999999999996</v>
      </c>
      <c r="Q109" s="310">
        <v>45.04</v>
      </c>
      <c r="R109" s="310">
        <f>SUM(C109:F109)</f>
        <v>40.22</v>
      </c>
      <c r="S109" s="310">
        <f>SUM(G109:J109)</f>
        <v>2.95</v>
      </c>
      <c r="AK109" s="336" t="s">
        <v>294</v>
      </c>
    </row>
    <row r="110" spans="2:43" ht="15" thickBot="1">
      <c r="B110" s="214" t="s">
        <v>254</v>
      </c>
      <c r="C110" s="310">
        <v>25.88</v>
      </c>
      <c r="D110" s="310">
        <f>51.56-C110</f>
        <v>25.680000000000003</v>
      </c>
      <c r="E110" s="310">
        <f>76.93-(C110+D110)</f>
        <v>25.370000000000005</v>
      </c>
      <c r="F110" s="310">
        <f>101.55-(C110+D110+E110)</f>
        <v>24.61999999999999</v>
      </c>
      <c r="G110" s="310">
        <v>24.51</v>
      </c>
      <c r="H110" s="310">
        <f>48.5-G110</f>
        <v>23.99</v>
      </c>
      <c r="I110" s="310">
        <f>72.17-(G110+H110)</f>
        <v>23.67</v>
      </c>
      <c r="J110" s="310">
        <f>95.05-(G110+H110+I110)</f>
        <v>22.879999999999995</v>
      </c>
      <c r="K110" s="310">
        <v>22.9</v>
      </c>
      <c r="L110" s="310">
        <f>45.51-K110</f>
        <v>22.61</v>
      </c>
      <c r="M110" s="310">
        <f>67.61-(K110+L110)</f>
        <v>22.1</v>
      </c>
      <c r="N110" s="310"/>
      <c r="O110" s="310">
        <v>9.23</v>
      </c>
      <c r="P110" s="310">
        <v>30.13</v>
      </c>
      <c r="Q110" s="310">
        <v>91.81</v>
      </c>
      <c r="R110" s="310">
        <f t="shared" ref="R110:R123" si="348">SUM(C110:F110)</f>
        <v>101.55</v>
      </c>
      <c r="S110" s="310">
        <f t="shared" ref="S110:S123" si="349">SUM(G110:J110)</f>
        <v>95.05</v>
      </c>
    </row>
    <row r="111" spans="2:43" ht="16" customHeight="1" thickBot="1">
      <c r="B111" s="214" t="s">
        <v>255</v>
      </c>
      <c r="C111" s="310">
        <v>3.27</v>
      </c>
      <c r="D111" s="310">
        <f>6.52-C111</f>
        <v>3.2499999999999996</v>
      </c>
      <c r="E111" s="310">
        <f>9.96-(C111+D111)</f>
        <v>3.4400000000000013</v>
      </c>
      <c r="F111" s="310">
        <f>13.72-(C111+D111+E111)</f>
        <v>3.76</v>
      </c>
      <c r="G111" s="310">
        <v>3.69</v>
      </c>
      <c r="H111" s="310">
        <f>6.83-G111</f>
        <v>3.14</v>
      </c>
      <c r="I111" s="310">
        <f>10.37-(G111+H111)</f>
        <v>3.5399999999999991</v>
      </c>
      <c r="J111" s="310">
        <f>14.59-(G111+H111+I111)</f>
        <v>4.2200000000000006</v>
      </c>
      <c r="K111" s="310">
        <v>3.37</v>
      </c>
      <c r="L111" s="310">
        <f>6.59-K111</f>
        <v>3.2199999999999998</v>
      </c>
      <c r="M111" s="310">
        <f>9.7-(K111+L111)</f>
        <v>3.1099999999999994</v>
      </c>
      <c r="N111" s="310"/>
      <c r="O111" s="310">
        <v>4.24</v>
      </c>
      <c r="P111" s="310">
        <v>6.36</v>
      </c>
      <c r="Q111" s="310">
        <v>12.74</v>
      </c>
      <c r="R111" s="310">
        <f t="shared" si="348"/>
        <v>13.72</v>
      </c>
      <c r="S111" s="310">
        <f t="shared" si="349"/>
        <v>14.59</v>
      </c>
      <c r="AD111" s="579">
        <f>V88</f>
        <v>20.571858051084497</v>
      </c>
      <c r="AE111" s="580">
        <f t="shared" ref="AE111:AJ111" si="350">AF111-0.0025</f>
        <v>7.9939999999999983E-2</v>
      </c>
      <c r="AF111" s="580">
        <f t="shared" si="350"/>
        <v>8.2439999999999986E-2</v>
      </c>
      <c r="AG111" s="580">
        <f t="shared" si="350"/>
        <v>8.4939999999999988E-2</v>
      </c>
      <c r="AH111" s="580">
        <f t="shared" si="350"/>
        <v>8.743999999999999E-2</v>
      </c>
      <c r="AI111" s="580">
        <f t="shared" si="350"/>
        <v>8.9939999999999992E-2</v>
      </c>
      <c r="AJ111" s="580">
        <f t="shared" si="350"/>
        <v>9.2439999999999994E-2</v>
      </c>
      <c r="AK111" s="577">
        <f>9.494%</f>
        <v>9.4939999999999997E-2</v>
      </c>
      <c r="AL111" s="580">
        <f t="shared" ref="AL111:AQ111" si="351">AK111+0.0025</f>
        <v>9.7439999999999999E-2</v>
      </c>
      <c r="AM111" s="580">
        <f t="shared" si="351"/>
        <v>9.9940000000000001E-2</v>
      </c>
      <c r="AN111" s="580">
        <f t="shared" si="351"/>
        <v>0.10244</v>
      </c>
      <c r="AO111" s="580">
        <f t="shared" si="351"/>
        <v>0.10494000000000001</v>
      </c>
      <c r="AP111" s="580">
        <f t="shared" si="351"/>
        <v>0.10744000000000001</v>
      </c>
      <c r="AQ111" s="580">
        <f t="shared" si="351"/>
        <v>0.10994000000000001</v>
      </c>
    </row>
    <row r="112" spans="2:43">
      <c r="B112" s="214" t="s">
        <v>256</v>
      </c>
      <c r="C112" s="310">
        <v>-2.35</v>
      </c>
      <c r="D112" s="310">
        <f>-4.89-C112</f>
        <v>-2.5399999999999996</v>
      </c>
      <c r="E112" s="310">
        <f>-6.32-(C112+D112)</f>
        <v>-1.4300000000000006</v>
      </c>
      <c r="F112" s="310">
        <f>-6.69-(C112+D112+E112)</f>
        <v>-0.37000000000000011</v>
      </c>
      <c r="G112" s="310">
        <v>-0.39</v>
      </c>
      <c r="H112" s="310">
        <f>0.11-G112</f>
        <v>0.5</v>
      </c>
      <c r="I112" s="310">
        <f>-0.43-(G112+H112)</f>
        <v>-0.54</v>
      </c>
      <c r="J112" s="310">
        <f>-0.32-(G112+H112+I112)</f>
        <v>0.11000000000000004</v>
      </c>
      <c r="K112" s="310">
        <v>0.3</v>
      </c>
      <c r="L112" s="310">
        <f>-0.07-K112</f>
        <v>-0.37</v>
      </c>
      <c r="M112" s="310">
        <f>0.04-(K112+L112)</f>
        <v>0.11000000000000001</v>
      </c>
      <c r="N112" s="310"/>
      <c r="O112" s="310">
        <v>-3.16</v>
      </c>
      <c r="P112" s="310">
        <v>-5.96</v>
      </c>
      <c r="Q112" s="310">
        <v>-28.02</v>
      </c>
      <c r="R112" s="310">
        <f t="shared" si="348"/>
        <v>-6.69</v>
      </c>
      <c r="S112" s="310">
        <f t="shared" si="349"/>
        <v>-0.32</v>
      </c>
      <c r="AD112" s="581">
        <f>AD113+0.0025</f>
        <v>4.0000000000000008E-2</v>
      </c>
      <c r="AE112" s="582">
        <f t="dataTable" ref="AE112:AQ120" dt2D="1" dtr="1" r1="V71" r2="V70"/>
        <v>28.349181606348161</v>
      </c>
      <c r="AF112" s="582">
        <v>27.177012006476794</v>
      </c>
      <c r="AG112" s="582">
        <v>26.135257359862145</v>
      </c>
      <c r="AH112" s="582">
        <v>25.203299788143646</v>
      </c>
      <c r="AI112" s="582">
        <v>24.364649942868727</v>
      </c>
      <c r="AJ112" s="582">
        <v>23.605962897486535</v>
      </c>
      <c r="AK112" s="582">
        <v>22.916322725546479</v>
      </c>
      <c r="AL112" s="582">
        <v>22.286713905620704</v>
      </c>
      <c r="AM112" s="582">
        <v>21.709625007276991</v>
      </c>
      <c r="AN112" s="582">
        <v>21.178747583816666</v>
      </c>
      <c r="AO112" s="582">
        <v>20.688744615504195</v>
      </c>
      <c r="AP112" s="582">
        <v>20.235070455637192</v>
      </c>
      <c r="AQ112" s="582">
        <v>19.813829392700914</v>
      </c>
    </row>
    <row r="113" spans="2:43">
      <c r="B113" s="214" t="s">
        <v>257</v>
      </c>
      <c r="C113" s="310">
        <v>38.53</v>
      </c>
      <c r="D113" s="310">
        <f>73.59-C113</f>
        <v>35.06</v>
      </c>
      <c r="E113" s="310">
        <f>107.85-(C113+D113)</f>
        <v>34.259999999999991</v>
      </c>
      <c r="F113" s="310">
        <f>129.17-(C113+D113+E113)</f>
        <v>21.319999999999993</v>
      </c>
      <c r="G113" s="310">
        <v>17.82</v>
      </c>
      <c r="H113" s="310">
        <f>41.1-G113</f>
        <v>23.28</v>
      </c>
      <c r="I113" s="310">
        <f>62.5-(G113+H113)</f>
        <v>21.4</v>
      </c>
      <c r="J113" s="310">
        <f>74.91-(G113+H113+I113)</f>
        <v>12.409999999999997</v>
      </c>
      <c r="K113" s="310">
        <v>11.33</v>
      </c>
      <c r="L113" s="310">
        <f>29.66-K113</f>
        <v>18.329999999999998</v>
      </c>
      <c r="M113" s="310">
        <f>42.98-(K113+L113)</f>
        <v>13.32</v>
      </c>
      <c r="N113" s="310"/>
      <c r="O113" s="310">
        <v>8.8699999999999992</v>
      </c>
      <c r="P113" s="310">
        <f>32.74+1.12</f>
        <v>33.86</v>
      </c>
      <c r="Q113" s="310">
        <v>108.92</v>
      </c>
      <c r="R113" s="310">
        <f t="shared" si="348"/>
        <v>129.16999999999999</v>
      </c>
      <c r="S113" s="310">
        <f t="shared" si="349"/>
        <v>74.91</v>
      </c>
      <c r="AD113" s="581">
        <f>AD114+0.0025</f>
        <v>3.7500000000000006E-2</v>
      </c>
      <c r="AE113" s="582">
        <v>27.131996185497115</v>
      </c>
      <c r="AF113" s="583">
        <v>26.092745756782982</v>
      </c>
      <c r="AG113" s="583">
        <v>25.163028467688807</v>
      </c>
      <c r="AH113" s="583">
        <v>24.32639460761888</v>
      </c>
      <c r="AI113" s="583">
        <v>23.569531329172701</v>
      </c>
      <c r="AJ113" s="583">
        <v>22.8815489461075</v>
      </c>
      <c r="AK113" s="583">
        <v>22.253453608921934</v>
      </c>
      <c r="AL113" s="583">
        <v>21.677751943506934</v>
      </c>
      <c r="AM113" s="583">
        <v>21.148150667699156</v>
      </c>
      <c r="AN113" s="583">
        <v>20.659325591137435</v>
      </c>
      <c r="AO113" s="583">
        <v>20.206741994154729</v>
      </c>
      <c r="AP113" s="583">
        <v>19.786513529927429</v>
      </c>
      <c r="AQ113" s="582">
        <v>19.395290343462925</v>
      </c>
    </row>
    <row r="114" spans="2:43">
      <c r="B114" s="214" t="s">
        <v>258</v>
      </c>
      <c r="C114" s="310">
        <v>0.25</v>
      </c>
      <c r="D114" s="310">
        <f>0.29-C114</f>
        <v>3.999999999999998E-2</v>
      </c>
      <c r="E114" s="310">
        <f>0.05-(C114+D114)</f>
        <v>-0.24</v>
      </c>
      <c r="F114" s="310">
        <f>0.1-(C114+D114+E114)</f>
        <v>5.0000000000000017E-2</v>
      </c>
      <c r="G114" s="310">
        <v>0.32</v>
      </c>
      <c r="H114" s="310">
        <f>0.08-G114</f>
        <v>-0.24</v>
      </c>
      <c r="I114" s="310">
        <v>0</v>
      </c>
      <c r="J114" s="310">
        <f>-0.12-(G114+H114+I114)</f>
        <v>-0.2</v>
      </c>
      <c r="K114" s="310">
        <v>3.0000000000000001E-3</v>
      </c>
      <c r="L114" s="310">
        <f>0.008-K114</f>
        <v>5.0000000000000001E-3</v>
      </c>
      <c r="M114" s="310">
        <f>0.1-(K114+L114)</f>
        <v>9.1999999999999998E-2</v>
      </c>
      <c r="N114" s="310"/>
      <c r="O114" s="310">
        <v>0.48</v>
      </c>
      <c r="P114" s="310">
        <v>0.32</v>
      </c>
      <c r="Q114" s="310">
        <v>0.01</v>
      </c>
      <c r="R114" s="310">
        <f t="shared" si="348"/>
        <v>0.1</v>
      </c>
      <c r="S114" s="310">
        <f t="shared" si="349"/>
        <v>-0.12</v>
      </c>
      <c r="AD114" s="581">
        <f>AD115+0.0025</f>
        <v>3.5000000000000003E-2</v>
      </c>
      <c r="AE114" s="582">
        <v>26.050234153703823</v>
      </c>
      <c r="AF114" s="583">
        <v>25.122757147233973</v>
      </c>
      <c r="AG114" s="584">
        <v>24.288139272369026</v>
      </c>
      <c r="AH114" s="584">
        <v>23.533099760858867</v>
      </c>
      <c r="AI114" s="584">
        <v>22.846775166668522</v>
      </c>
      <c r="AJ114" s="584">
        <v>22.220193312223159</v>
      </c>
      <c r="AK114" s="584">
        <v>21.645878879736873</v>
      </c>
      <c r="AL114" s="584">
        <v>21.117553751581646</v>
      </c>
      <c r="AM114" s="584">
        <v>20.629906566770671</v>
      </c>
      <c r="AN114" s="584">
        <v>20.178413532672263</v>
      </c>
      <c r="AO114" s="585">
        <v>19.759197667153948</v>
      </c>
      <c r="AP114" s="583">
        <v>19.36891718716285</v>
      </c>
      <c r="AQ114" s="582">
        <v>19.004676237462057</v>
      </c>
    </row>
    <row r="115" spans="2:43" ht="15" thickBot="1">
      <c r="B115" s="214" t="s">
        <v>259</v>
      </c>
      <c r="C115" s="310">
        <v>-4.92</v>
      </c>
      <c r="D115" s="310">
        <f>-10.43-C115</f>
        <v>-5.51</v>
      </c>
      <c r="E115" s="310">
        <f>-19.69-(C115+D115)</f>
        <v>-9.2600000000000016</v>
      </c>
      <c r="F115" s="310">
        <f>-35.16-(C115+D115+E115)</f>
        <v>-15.469999999999995</v>
      </c>
      <c r="G115" s="310">
        <v>2.63</v>
      </c>
      <c r="H115" s="310">
        <f>-16.29-G115</f>
        <v>-18.919999999999998</v>
      </c>
      <c r="I115" s="310">
        <f>-29.56-(G115+H115)</f>
        <v>-13.27</v>
      </c>
      <c r="J115" s="310">
        <f>-7.57-(G115+H115+I115)</f>
        <v>21.99</v>
      </c>
      <c r="K115" s="310">
        <v>15.58</v>
      </c>
      <c r="L115" s="310">
        <f>13.64-K115</f>
        <v>-1.9399999999999995</v>
      </c>
      <c r="M115" s="310">
        <f>18.92-(K115+L115)</f>
        <v>5.2800000000000011</v>
      </c>
      <c r="N115" s="310"/>
      <c r="O115" s="310">
        <v>2.0699999999999998</v>
      </c>
      <c r="P115" s="310">
        <v>-9.18</v>
      </c>
      <c r="Q115" s="310">
        <v>-5.38</v>
      </c>
      <c r="R115" s="310">
        <f t="shared" si="348"/>
        <v>-35.159999999999997</v>
      </c>
      <c r="S115" s="310">
        <f t="shared" si="349"/>
        <v>-7.57</v>
      </c>
      <c r="AD115" s="581">
        <f>AD116+0.0025</f>
        <v>3.2500000000000001E-2</v>
      </c>
      <c r="AE115" s="582">
        <v>25.082485826779134</v>
      </c>
      <c r="AF115" s="583">
        <v>24.249883937119179</v>
      </c>
      <c r="AG115" s="584">
        <v>23.49666819254503</v>
      </c>
      <c r="AH115" s="586">
        <v>22.812001387229547</v>
      </c>
      <c r="AI115" s="586">
        <v>22.186933015524389</v>
      </c>
      <c r="AJ115" s="586">
        <v>21.614005815966809</v>
      </c>
      <c r="AK115" s="586">
        <v>21.086956835464129</v>
      </c>
      <c r="AL115" s="586">
        <v>20.600487542403911</v>
      </c>
      <c r="AM115" s="586">
        <v>20.150085071189796</v>
      </c>
      <c r="AN115" s="586">
        <v>19.73188180438046</v>
      </c>
      <c r="AO115" s="585">
        <v>19.342544030862772</v>
      </c>
      <c r="AP115" s="583">
        <v>18.979182890219228</v>
      </c>
      <c r="AQ115" s="582">
        <v>18.63928256702426</v>
      </c>
    </row>
    <row r="116" spans="2:43" ht="15" thickBot="1">
      <c r="B116" s="214" t="s">
        <v>260</v>
      </c>
      <c r="C116" s="310">
        <v>0</v>
      </c>
      <c r="D116" s="310">
        <v>0</v>
      </c>
      <c r="E116" s="310">
        <v>0</v>
      </c>
      <c r="F116" s="310">
        <v>0</v>
      </c>
      <c r="G116" s="310">
        <v>0</v>
      </c>
      <c r="H116" s="310">
        <v>0</v>
      </c>
      <c r="I116" s="310">
        <v>0</v>
      </c>
      <c r="J116" s="310">
        <f>-44.74-(G116+H116+I116)</f>
        <v>-44.74</v>
      </c>
      <c r="K116" s="310">
        <v>-13.3</v>
      </c>
      <c r="L116" s="310">
        <f>-31.21-K116</f>
        <v>-17.91</v>
      </c>
      <c r="M116" s="310">
        <f>-27.08-(K116+L116)</f>
        <v>4.1300000000000026</v>
      </c>
      <c r="N116" s="310"/>
      <c r="O116" s="310">
        <v>0</v>
      </c>
      <c r="P116" s="310">
        <v>0</v>
      </c>
      <c r="Q116" s="310">
        <v>0</v>
      </c>
      <c r="R116" s="310">
        <f t="shared" si="348"/>
        <v>0</v>
      </c>
      <c r="S116" s="310">
        <f t="shared" si="349"/>
        <v>-44.74</v>
      </c>
      <c r="AC116" s="336" t="s">
        <v>738</v>
      </c>
      <c r="AD116" s="578">
        <v>0.03</v>
      </c>
      <c r="AE116" s="582">
        <v>24.211628601869332</v>
      </c>
      <c r="AF116" s="583">
        <v>23.4602366242312</v>
      </c>
      <c r="AG116" s="584">
        <v>22.777227607790568</v>
      </c>
      <c r="AH116" s="586">
        <v>22.153672718825622</v>
      </c>
      <c r="AI116" s="587">
        <v>21.582132752196753</v>
      </c>
      <c r="AJ116" s="587">
        <v>21.056359919346622</v>
      </c>
      <c r="AK116" s="588">
        <v>20.571068518037155</v>
      </c>
      <c r="AL116" s="587">
        <v>20.121756609707329</v>
      </c>
      <c r="AM116" s="587">
        <v>19.70456594160698</v>
      </c>
      <c r="AN116" s="586">
        <v>19.316170874562701</v>
      </c>
      <c r="AO116" s="585">
        <v>18.953689542976402</v>
      </c>
      <c r="AP116" s="583">
        <v>18.614612222985297</v>
      </c>
      <c r="AQ116" s="582">
        <v>18.296743141672643</v>
      </c>
    </row>
    <row r="117" spans="2:43">
      <c r="B117" s="214" t="s">
        <v>261</v>
      </c>
      <c r="C117" s="310">
        <v>-1.04</v>
      </c>
      <c r="D117" s="310">
        <f>-2.47-C117</f>
        <v>-1.4300000000000002</v>
      </c>
      <c r="E117" s="310">
        <f>-2.6-(C117+D117)</f>
        <v>-0.12999999999999989</v>
      </c>
      <c r="F117" s="310">
        <f>-5.3-(C117+D117+E117)</f>
        <v>-2.6999999999999997</v>
      </c>
      <c r="G117" s="310">
        <v>-1.81</v>
      </c>
      <c r="H117" s="310">
        <f>-5.22-G117</f>
        <v>-3.4099999999999997</v>
      </c>
      <c r="I117" s="310">
        <f>-5.76-(G117+H117)</f>
        <v>-0.54</v>
      </c>
      <c r="J117" s="310">
        <f>-3.65-(G117+H117+I117)</f>
        <v>2.11</v>
      </c>
      <c r="K117" s="310">
        <v>-1.76</v>
      </c>
      <c r="L117" s="310">
        <f>-2.76-K117</f>
        <v>-0.99999999999999978</v>
      </c>
      <c r="M117" s="310">
        <f>0.62-(K117+L117)</f>
        <v>3.38</v>
      </c>
      <c r="N117" s="310"/>
      <c r="O117" s="310">
        <v>-0.4</v>
      </c>
      <c r="P117" s="310">
        <v>-0.26</v>
      </c>
      <c r="Q117" s="310">
        <v>-5.97</v>
      </c>
      <c r="R117" s="310">
        <f t="shared" si="348"/>
        <v>-5.3</v>
      </c>
      <c r="S117" s="310">
        <f t="shared" si="349"/>
        <v>-3.65</v>
      </c>
      <c r="AC117" s="209"/>
      <c r="AD117" s="581">
        <f>AD116-0.0025</f>
        <v>2.75E-2</v>
      </c>
      <c r="AE117" s="582">
        <v>23.42380505591737</v>
      </c>
      <c r="AF117" s="583">
        <v>22.742453828351593</v>
      </c>
      <c r="AG117" s="584">
        <v>22.120412422126851</v>
      </c>
      <c r="AH117" s="586">
        <v>21.550259688426692</v>
      </c>
      <c r="AI117" s="586">
        <v>21.025763003229113</v>
      </c>
      <c r="AJ117" s="586">
        <v>20.541649493670395</v>
      </c>
      <c r="AK117" s="586">
        <v>20.093428148224866</v>
      </c>
      <c r="AL117" s="586">
        <v>19.677250078833499</v>
      </c>
      <c r="AM117" s="586">
        <v>19.289797718262623</v>
      </c>
      <c r="AN117" s="586">
        <v>18.928196195733577</v>
      </c>
      <c r="AO117" s="585">
        <v>18.589941878946334</v>
      </c>
      <c r="AP117" s="583">
        <v>18.27284432453007</v>
      </c>
      <c r="AQ117" s="582">
        <v>17.974978790638808</v>
      </c>
    </row>
    <row r="118" spans="2:43">
      <c r="B118" s="214" t="s">
        <v>262</v>
      </c>
      <c r="C118" s="310">
        <v>1.93</v>
      </c>
      <c r="D118" s="310">
        <f>0.37-C118</f>
        <v>-1.56</v>
      </c>
      <c r="E118" s="310">
        <f>-4.75-(C118+D118)</f>
        <v>-5.12</v>
      </c>
      <c r="F118" s="310">
        <f>-9.99-(C118+D118+E118)</f>
        <v>-5.24</v>
      </c>
      <c r="G118" s="310">
        <v>-3.94</v>
      </c>
      <c r="H118" s="310">
        <f>-9.28-G118</f>
        <v>-5.34</v>
      </c>
      <c r="I118" s="310">
        <f>-16.62-(G118+H118)</f>
        <v>-7.3400000000000016</v>
      </c>
      <c r="J118" s="310">
        <f>-15.76-(G118+H118+I118)</f>
        <v>0.86000000000000121</v>
      </c>
      <c r="K118" s="310">
        <v>-3.26</v>
      </c>
      <c r="L118" s="310">
        <v>-1.32</v>
      </c>
      <c r="M118" s="310">
        <f>-11.52-(K118+L118)</f>
        <v>-6.9399999999999995</v>
      </c>
      <c r="N118" s="310"/>
      <c r="O118" s="310">
        <v>-3.44</v>
      </c>
      <c r="P118" s="310">
        <v>-11.96</v>
      </c>
      <c r="Q118" s="310">
        <v>-25.01</v>
      </c>
      <c r="R118" s="310">
        <f t="shared" si="348"/>
        <v>-9.99</v>
      </c>
      <c r="S118" s="310">
        <f t="shared" si="349"/>
        <v>-15.76</v>
      </c>
      <c r="AD118" s="581">
        <f>AD117-0.0025</f>
        <v>2.5000000000000001E-2</v>
      </c>
      <c r="AE118" s="582">
        <v>22.707680048912614</v>
      </c>
      <c r="AF118" s="583">
        <v>22.08715212542808</v>
      </c>
      <c r="AG118" s="584">
        <v>21.518386624656632</v>
      </c>
      <c r="AH118" s="584">
        <v>20.995166087111599</v>
      </c>
      <c r="AI118" s="584">
        <v>20.512230469303628</v>
      </c>
      <c r="AJ118" s="584">
        <v>20.0650996867424</v>
      </c>
      <c r="AK118" s="584">
        <v>19.649934216060011</v>
      </c>
      <c r="AL118" s="584">
        <v>19.263424561962548</v>
      </c>
      <c r="AM118" s="584">
        <v>18.902702848490748</v>
      </c>
      <c r="AN118" s="584">
        <v>18.565271534907364</v>
      </c>
      <c r="AO118" s="584">
        <v>18.248945507387493</v>
      </c>
      <c r="AP118" s="583">
        <v>17.951804707155336</v>
      </c>
      <c r="AQ118" s="582">
        <v>17.672155124266723</v>
      </c>
    </row>
    <row r="119" spans="2:43">
      <c r="B119" s="214" t="s">
        <v>263</v>
      </c>
      <c r="C119" s="310">
        <v>-7.88</v>
      </c>
      <c r="D119" s="310">
        <f>-8.03-C119</f>
        <v>-0.14999999999999947</v>
      </c>
      <c r="E119" s="310">
        <f>-10.36-(C119+D119)</f>
        <v>-2.33</v>
      </c>
      <c r="F119" s="310">
        <f>-9.02-(C119+D119+E119)</f>
        <v>1.3399999999999999</v>
      </c>
      <c r="G119" s="310">
        <v>-8.17</v>
      </c>
      <c r="H119" s="310">
        <f>1.87-G119</f>
        <v>10.039999999999999</v>
      </c>
      <c r="I119" s="310">
        <f>8.45-(G119+H119)</f>
        <v>6.58</v>
      </c>
      <c r="J119" s="310">
        <f>-0.19-(G119+H119+I119)</f>
        <v>-8.6399999999999988</v>
      </c>
      <c r="K119" s="310">
        <v>-3.36</v>
      </c>
      <c r="L119" s="310">
        <f>2.92-K119</f>
        <v>6.2799999999999994</v>
      </c>
      <c r="M119" s="310">
        <f>3.55-(K119+L119)</f>
        <v>0.63000000000000034</v>
      </c>
      <c r="N119" s="310"/>
      <c r="O119" s="310">
        <v>-1.33</v>
      </c>
      <c r="P119" s="310">
        <v>-15.33</v>
      </c>
      <c r="Q119" s="310">
        <v>6.84</v>
      </c>
      <c r="R119" s="310">
        <f t="shared" si="348"/>
        <v>-9.02</v>
      </c>
      <c r="S119" s="310">
        <f t="shared" si="349"/>
        <v>-0.1899999999999995</v>
      </c>
      <c r="AD119" s="581">
        <f>AD118-0.0025</f>
        <v>2.2500000000000003E-2</v>
      </c>
      <c r="AE119" s="582">
        <v>22.053891828729309</v>
      </c>
      <c r="AF119" s="583">
        <v>21.486513560886571</v>
      </c>
      <c r="AG119" s="583">
        <v>20.964569170994089</v>
      </c>
      <c r="AH119" s="583">
        <v>20.482811444936875</v>
      </c>
      <c r="AI119" s="583">
        <v>20.03677122525994</v>
      </c>
      <c r="AJ119" s="583">
        <v>19.622618353286533</v>
      </c>
      <c r="AK119" s="583">
        <v>19.237051405662477</v>
      </c>
      <c r="AL119" s="583">
        <v>18.877209501247926</v>
      </c>
      <c r="AM119" s="583">
        <v>18.540601190868404</v>
      </c>
      <c r="AN119" s="583">
        <v>18.22504669024492</v>
      </c>
      <c r="AO119" s="583">
        <v>17.928630623671868</v>
      </c>
      <c r="AP119" s="583">
        <v>17.649663112936643</v>
      </c>
      <c r="AQ119" s="582">
        <v>17.386647541287378</v>
      </c>
    </row>
    <row r="120" spans="2:43">
      <c r="B120" s="214" t="s">
        <v>264</v>
      </c>
      <c r="C120" s="310">
        <v>-0.08</v>
      </c>
      <c r="D120" s="310">
        <f>-0.05-C120</f>
        <v>0.03</v>
      </c>
      <c r="E120" s="310">
        <f>-0.09-(C120+D120)</f>
        <v>-3.9999999999999994E-2</v>
      </c>
      <c r="F120" s="310">
        <f>0.2-(C120+D120+E120)</f>
        <v>0.29000000000000004</v>
      </c>
      <c r="G120" s="310">
        <v>-3.82</v>
      </c>
      <c r="H120" s="310">
        <f>-4.46-G120</f>
        <v>-0.64000000000000012</v>
      </c>
      <c r="I120" s="310">
        <f>-5.67-(G120+H120)</f>
        <v>-1.21</v>
      </c>
      <c r="J120" s="310">
        <f>-5.21-(G120+H120+I120)</f>
        <v>0.45999999999999996</v>
      </c>
      <c r="K120" s="310">
        <v>-0.47</v>
      </c>
      <c r="L120" s="310">
        <f>0.1-K120</f>
        <v>0.56999999999999995</v>
      </c>
      <c r="M120" s="310">
        <f>-0.96-(K120+L120)</f>
        <v>-1.06</v>
      </c>
      <c r="N120" s="310"/>
      <c r="O120" s="310">
        <v>-0.06</v>
      </c>
      <c r="P120" s="310">
        <v>0.04</v>
      </c>
      <c r="Q120" s="310">
        <v>1.08</v>
      </c>
      <c r="R120" s="310">
        <f t="shared" si="348"/>
        <v>0.20000000000000004</v>
      </c>
      <c r="S120" s="310">
        <f t="shared" si="349"/>
        <v>-5.21</v>
      </c>
      <c r="AD120" s="581">
        <f>AD119-0.0025</f>
        <v>2.0000000000000004E-2</v>
      </c>
      <c r="AE120" s="582">
        <v>21.454640497116511</v>
      </c>
      <c r="AF120" s="582">
        <v>20.933972254876576</v>
      </c>
      <c r="AG120" s="582">
        <v>20.453392420570115</v>
      </c>
      <c r="AH120" s="582">
        <v>20.008442763777474</v>
      </c>
      <c r="AI120" s="582">
        <v>19.595302490513049</v>
      </c>
      <c r="AJ120" s="582">
        <v>19.210678249362402</v>
      </c>
      <c r="AK120" s="582">
        <v>18.8517161540051</v>
      </c>
      <c r="AL120" s="582">
        <v>18.515930846829441</v>
      </c>
      <c r="AM120" s="582">
        <v>18.201147873102347</v>
      </c>
      <c r="AN120" s="582">
        <v>17.905456540188396</v>
      </c>
      <c r="AO120" s="582">
        <v>17.627171101606557</v>
      </c>
      <c r="AP120" s="582">
        <v>17.364798599814623</v>
      </c>
      <c r="AQ120" s="582">
        <v>17.117012072104963</v>
      </c>
    </row>
    <row r="121" spans="2:43">
      <c r="B121" s="214" t="s">
        <v>265</v>
      </c>
      <c r="C121" s="310">
        <v>0.22</v>
      </c>
      <c r="D121" s="310">
        <f>-2.79-C121</f>
        <v>-3.0100000000000002</v>
      </c>
      <c r="E121" s="310">
        <f>-4.04-(C121+D121)</f>
        <v>-1.25</v>
      </c>
      <c r="F121" s="310">
        <f>2.01-(C121+D121+E121)</f>
        <v>6.05</v>
      </c>
      <c r="G121" s="310">
        <v>-0.56000000000000005</v>
      </c>
      <c r="H121" s="310">
        <f>-5-G121</f>
        <v>-4.4399999999999995</v>
      </c>
      <c r="I121" s="310">
        <f>-5.31-(G121+H121)</f>
        <v>-0.30999999999999961</v>
      </c>
      <c r="J121" s="310">
        <f>-1.13-(G121+H121+I121)</f>
        <v>4.18</v>
      </c>
      <c r="K121" s="310">
        <v>-0.2</v>
      </c>
      <c r="L121" s="310">
        <f>-4.41-K121</f>
        <v>-4.21</v>
      </c>
      <c r="M121" s="310">
        <f>-7.61-(K121+L121)</f>
        <v>-3.2</v>
      </c>
      <c r="N121" s="310"/>
      <c r="O121" s="310">
        <v>-0.43</v>
      </c>
      <c r="P121" s="310">
        <v>-3.99</v>
      </c>
      <c r="Q121" s="310">
        <v>4.55</v>
      </c>
      <c r="R121" s="310">
        <f t="shared" si="348"/>
        <v>2.0099999999999998</v>
      </c>
      <c r="S121" s="310">
        <f>SUM(G121:J121)</f>
        <v>-1.1299999999999999</v>
      </c>
      <c r="AD121" s="589"/>
      <c r="AE121" s="590"/>
      <c r="AF121" s="590"/>
      <c r="AG121" s="590"/>
      <c r="AH121" s="590"/>
      <c r="AI121" s="590"/>
      <c r="AJ121" s="590"/>
      <c r="AK121" s="590"/>
      <c r="AL121" s="590"/>
      <c r="AM121" s="590"/>
      <c r="AN121" s="590"/>
      <c r="AO121" s="590"/>
      <c r="AP121" s="590"/>
      <c r="AQ121" s="590"/>
    </row>
    <row r="122" spans="2:43">
      <c r="B122" s="214" t="s">
        <v>266</v>
      </c>
      <c r="C122" s="310">
        <v>0</v>
      </c>
      <c r="D122" s="310">
        <v>0</v>
      </c>
      <c r="E122" s="310">
        <v>0</v>
      </c>
      <c r="F122" s="310">
        <f>0.02-(C122+D122+E122)</f>
        <v>0.02</v>
      </c>
      <c r="G122" s="310">
        <v>0.24</v>
      </c>
      <c r="H122" s="310">
        <f>0.19-G122</f>
        <v>-4.9999999999999989E-2</v>
      </c>
      <c r="I122" s="310">
        <f>1.04-(G122+H122)</f>
        <v>0.85000000000000009</v>
      </c>
      <c r="J122" s="310">
        <f>0.03-(G122+H122+I122)</f>
        <v>-1.01</v>
      </c>
      <c r="K122" s="310">
        <v>-0.17</v>
      </c>
      <c r="L122" s="310">
        <f>0.2-K122</f>
        <v>0.37</v>
      </c>
      <c r="M122" s="310">
        <f>0.17-(K122+L122)</f>
        <v>-2.9999999999999971E-2</v>
      </c>
      <c r="N122" s="310"/>
      <c r="O122" s="310">
        <v>-0.4</v>
      </c>
      <c r="P122" s="310">
        <v>2.3199999999999998</v>
      </c>
      <c r="Q122" s="310">
        <v>0</v>
      </c>
      <c r="R122" s="310">
        <f t="shared" si="348"/>
        <v>0.02</v>
      </c>
      <c r="S122" s="310">
        <f t="shared" si="349"/>
        <v>3.0000000000000027E-2</v>
      </c>
    </row>
    <row r="123" spans="2:43">
      <c r="B123" s="311" t="s">
        <v>267</v>
      </c>
      <c r="C123" s="312">
        <v>-2.0099999999999998</v>
      </c>
      <c r="D123" s="312">
        <f>-6.86-C123</f>
        <v>-4.8500000000000005</v>
      </c>
      <c r="E123" s="312">
        <f>-15.16-(C123+D123)</f>
        <v>-8.3000000000000007</v>
      </c>
      <c r="F123" s="312">
        <f>-24.81-(C123+D123+E123)</f>
        <v>-9.6499999999999986</v>
      </c>
      <c r="G123" s="312">
        <v>-10.36</v>
      </c>
      <c r="H123" s="312">
        <f>-21.11-G123</f>
        <v>-10.75</v>
      </c>
      <c r="I123" s="312">
        <f>-32.01-(G123+H123)</f>
        <v>-10.899999999999999</v>
      </c>
      <c r="J123" s="312">
        <f>-42.53-(G123+H123+I123)</f>
        <v>-10.520000000000003</v>
      </c>
      <c r="K123" s="312">
        <v>-10.17</v>
      </c>
      <c r="L123" s="312">
        <f>-19.71-K123</f>
        <v>-9.5400000000000009</v>
      </c>
      <c r="M123" s="312">
        <f>-28.1-(K123+L123)</f>
        <v>-8.39</v>
      </c>
      <c r="N123" s="312"/>
      <c r="O123" s="312">
        <v>-1.77</v>
      </c>
      <c r="P123" s="312">
        <v>0.35</v>
      </c>
      <c r="Q123" s="312">
        <v>-2.99</v>
      </c>
      <c r="R123" s="312">
        <f t="shared" si="348"/>
        <v>-24.81</v>
      </c>
      <c r="S123" s="312">
        <f t="shared" si="349"/>
        <v>-42.53</v>
      </c>
    </row>
    <row r="124" spans="2:43">
      <c r="B124" s="212" t="s">
        <v>268</v>
      </c>
      <c r="C124" s="313">
        <f t="shared" ref="C124:K124" si="352">SUM(C108:C123)</f>
        <v>-33.400000000000006</v>
      </c>
      <c r="D124" s="313">
        <f t="shared" si="352"/>
        <v>-23.790000000000003</v>
      </c>
      <c r="E124" s="313">
        <f t="shared" si="352"/>
        <v>-775.04999999999984</v>
      </c>
      <c r="F124" s="313">
        <f t="shared" si="352"/>
        <v>-41.750000000000036</v>
      </c>
      <c r="G124" s="313">
        <f t="shared" si="352"/>
        <v>-26.07</v>
      </c>
      <c r="H124" s="313">
        <f t="shared" si="352"/>
        <v>-24.860000000000007</v>
      </c>
      <c r="I124" s="313">
        <f t="shared" si="352"/>
        <v>-18.289999999999985</v>
      </c>
      <c r="J124" s="313">
        <f t="shared" si="352"/>
        <v>-28.430000000000035</v>
      </c>
      <c r="K124" s="313">
        <f t="shared" si="352"/>
        <v>-14.216999999999999</v>
      </c>
      <c r="L124" s="313">
        <f>SUM(L108:L123)</f>
        <v>-14.565000000000008</v>
      </c>
      <c r="M124" s="313">
        <f t="shared" ref="M124:R124" si="353">SUM(M108:M123)</f>
        <v>5.9520000000000035</v>
      </c>
      <c r="N124" s="313"/>
      <c r="O124" s="313">
        <f t="shared" si="353"/>
        <v>-28.539999999999992</v>
      </c>
      <c r="P124" s="313">
        <f t="shared" si="353"/>
        <v>-93.060000000000016</v>
      </c>
      <c r="Q124" s="313">
        <f t="shared" si="353"/>
        <v>-84.810000000000016</v>
      </c>
      <c r="R124" s="313">
        <f t="shared" si="353"/>
        <v>-873.9899999999999</v>
      </c>
      <c r="S124" s="313">
        <f>SUM(S108:S123)</f>
        <v>-97.650000000000034</v>
      </c>
      <c r="T124" s="282"/>
    </row>
    <row r="125" spans="2:43">
      <c r="B125" s="214"/>
      <c r="C125" s="266"/>
      <c r="D125" s="266"/>
      <c r="E125" s="266"/>
      <c r="F125" s="266"/>
      <c r="G125" s="266"/>
      <c r="H125" s="266"/>
      <c r="I125" s="266"/>
      <c r="J125" s="266"/>
      <c r="K125" s="266"/>
      <c r="L125" s="266"/>
      <c r="M125" s="266"/>
      <c r="N125" s="266"/>
      <c r="O125" s="266"/>
      <c r="P125" s="266"/>
      <c r="Q125" s="266"/>
      <c r="R125" s="266"/>
      <c r="S125" s="266"/>
    </row>
    <row r="126" spans="2:43">
      <c r="B126" s="214" t="s">
        <v>269</v>
      </c>
      <c r="C126" s="310">
        <v>-3.08</v>
      </c>
      <c r="D126" s="310">
        <f>-5.21-C126</f>
        <v>-2.13</v>
      </c>
      <c r="E126" s="310">
        <f>-7.21-(C126+D126)</f>
        <v>-2</v>
      </c>
      <c r="F126" s="310">
        <f>-9.23-(C126+D126+E126)</f>
        <v>-2.0200000000000005</v>
      </c>
      <c r="G126" s="310">
        <v>-1.07</v>
      </c>
      <c r="H126" s="310">
        <f>-1.91-G126</f>
        <v>-0.83999999999999986</v>
      </c>
      <c r="I126" s="310">
        <f>-4.19-(G126+H126)</f>
        <v>-2.2800000000000002</v>
      </c>
      <c r="J126" s="310">
        <f>-7.51-(G126+H126+I126)</f>
        <v>-3.3199999999999994</v>
      </c>
      <c r="K126" s="310">
        <v>-0.85</v>
      </c>
      <c r="L126" s="310">
        <f>-1.9-K126</f>
        <v>-1.0499999999999998</v>
      </c>
      <c r="M126" s="310">
        <f>-2.84-(K126+L126)</f>
        <v>-0.94</v>
      </c>
      <c r="N126" s="310"/>
      <c r="O126" s="310">
        <v>-3.61</v>
      </c>
      <c r="P126" s="310">
        <v>-1.79</v>
      </c>
      <c r="Q126" s="310">
        <v>-10.65</v>
      </c>
      <c r="R126" s="310">
        <f>SUM(C126:F126)</f>
        <v>-9.23</v>
      </c>
      <c r="S126" s="310">
        <f>SUM(G126:J126)</f>
        <v>-7.51</v>
      </c>
    </row>
    <row r="127" spans="2:43">
      <c r="B127" s="214" t="s">
        <v>270</v>
      </c>
      <c r="C127" s="310">
        <v>-0.6</v>
      </c>
      <c r="D127" s="310">
        <f>-1.5-C127</f>
        <v>-0.9</v>
      </c>
      <c r="E127" s="310">
        <f>-2.38-(C127+D127)</f>
        <v>-0.87999999999999989</v>
      </c>
      <c r="F127" s="310">
        <f>-3.89-(C127+D127+E127)</f>
        <v>-1.5100000000000002</v>
      </c>
      <c r="G127" s="310">
        <v>-2.29</v>
      </c>
      <c r="H127" s="310">
        <f>-5.14-G127</f>
        <v>-2.8499999999999996</v>
      </c>
      <c r="I127" s="310">
        <f>-7.72-(G127+H127)</f>
        <v>-2.58</v>
      </c>
      <c r="J127" s="310">
        <f>-10.68-(G127+H127+I127)</f>
        <v>-2.96</v>
      </c>
      <c r="K127" s="310">
        <v>-3.27</v>
      </c>
      <c r="L127" s="310">
        <f>-8.1-K127</f>
        <v>-4.83</v>
      </c>
      <c r="M127" s="310">
        <f>-13.28-(K127+L127)</f>
        <v>-5.18</v>
      </c>
      <c r="N127" s="310"/>
      <c r="O127" s="310">
        <v>0</v>
      </c>
      <c r="P127" s="310">
        <v>0</v>
      </c>
      <c r="Q127" s="310">
        <v>0</v>
      </c>
      <c r="R127" s="310">
        <f t="shared" ref="R127:R129" si="354">SUM(C127:F127)</f>
        <v>-3.89</v>
      </c>
      <c r="S127" s="310">
        <f>SUM(G127:J127)</f>
        <v>-10.68</v>
      </c>
    </row>
    <row r="128" spans="2:43">
      <c r="B128" s="214" t="s">
        <v>271</v>
      </c>
      <c r="C128" s="310">
        <v>0</v>
      </c>
      <c r="D128" s="310">
        <v>0</v>
      </c>
      <c r="E128" s="310">
        <v>0</v>
      </c>
      <c r="F128" s="310">
        <v>0</v>
      </c>
      <c r="G128" s="310">
        <v>0</v>
      </c>
      <c r="H128" s="310">
        <v>0</v>
      </c>
      <c r="I128" s="310">
        <v>0</v>
      </c>
      <c r="J128" s="310">
        <v>0</v>
      </c>
      <c r="K128" s="310">
        <v>0</v>
      </c>
      <c r="L128" s="310">
        <f>-6.71-K128</f>
        <v>-6.71</v>
      </c>
      <c r="M128" s="310">
        <f>-6.81-(K128+L128)</f>
        <v>-9.9999999999999645E-2</v>
      </c>
      <c r="N128" s="310"/>
      <c r="O128" s="310">
        <v>-115.05</v>
      </c>
      <c r="P128" s="310">
        <v>-235.78</v>
      </c>
      <c r="Q128" s="310">
        <v>-559.42999999999995</v>
      </c>
      <c r="R128" s="310">
        <f t="shared" si="354"/>
        <v>0</v>
      </c>
      <c r="S128" s="310">
        <f>SUM(G128:J128)</f>
        <v>0</v>
      </c>
    </row>
    <row r="129" spans="2:20">
      <c r="B129" s="311" t="s">
        <v>272</v>
      </c>
      <c r="C129" s="312">
        <v>2.31</v>
      </c>
      <c r="D129" s="312">
        <f>7.19-C129</f>
        <v>4.8800000000000008</v>
      </c>
      <c r="E129" s="312">
        <f>13.71-(C129+D129)</f>
        <v>6.52</v>
      </c>
      <c r="F129" s="312">
        <f>23.46-(C129+D129+E129)</f>
        <v>9.75</v>
      </c>
      <c r="G129" s="312">
        <v>10.5</v>
      </c>
      <c r="H129" s="312">
        <f>22.05-G129</f>
        <v>11.55</v>
      </c>
      <c r="I129" s="312">
        <f>33.76-(G129+H129)</f>
        <v>11.709999999999997</v>
      </c>
      <c r="J129" s="312">
        <f>44.13-(G129+H129+I129)</f>
        <v>10.370000000000005</v>
      </c>
      <c r="K129" s="312">
        <v>10.99</v>
      </c>
      <c r="L129" s="312">
        <f>21.3-K129</f>
        <v>10.31</v>
      </c>
      <c r="M129" s="312">
        <f>30.53-(K129+L129)</f>
        <v>9.23</v>
      </c>
      <c r="N129" s="312"/>
      <c r="O129" s="312">
        <v>3.48</v>
      </c>
      <c r="P129" s="312">
        <v>2.23</v>
      </c>
      <c r="Q129" s="312">
        <v>5.81</v>
      </c>
      <c r="R129" s="312">
        <f t="shared" si="354"/>
        <v>23.46</v>
      </c>
      <c r="S129" s="312">
        <f t="shared" ref="S129" si="355">SUM(G129:J129)</f>
        <v>44.13</v>
      </c>
    </row>
    <row r="130" spans="2:20">
      <c r="B130" s="212" t="s">
        <v>273</v>
      </c>
      <c r="C130" s="282">
        <f t="shared" ref="C130:K130" si="356">SUM(C126:C129)</f>
        <v>-1.37</v>
      </c>
      <c r="D130" s="282">
        <f t="shared" si="356"/>
        <v>1.850000000000001</v>
      </c>
      <c r="E130" s="282">
        <f t="shared" si="356"/>
        <v>3.6399999999999997</v>
      </c>
      <c r="F130" s="282">
        <f t="shared" si="356"/>
        <v>6.2199999999999989</v>
      </c>
      <c r="G130" s="282">
        <f t="shared" si="356"/>
        <v>7.14</v>
      </c>
      <c r="H130" s="282">
        <f t="shared" si="356"/>
        <v>7.8600000000000012</v>
      </c>
      <c r="I130" s="282">
        <f t="shared" si="356"/>
        <v>6.849999999999997</v>
      </c>
      <c r="J130" s="282">
        <f t="shared" si="356"/>
        <v>4.0900000000000052</v>
      </c>
      <c r="K130" s="282">
        <f t="shared" si="356"/>
        <v>6.87</v>
      </c>
      <c r="L130" s="282">
        <f>SUM(L126:L129)</f>
        <v>-2.2799999999999994</v>
      </c>
      <c r="M130" s="282">
        <f t="shared" ref="M130" si="357">SUM(M126:M129)</f>
        <v>3.0100000000000016</v>
      </c>
      <c r="N130" s="282"/>
      <c r="O130" s="282">
        <f t="shared" ref="O130" si="358">SUM(O126:O129)</f>
        <v>-115.17999999999999</v>
      </c>
      <c r="P130" s="282">
        <f t="shared" ref="P130" si="359">SUM(P126:P129)</f>
        <v>-235.34</v>
      </c>
      <c r="Q130" s="282">
        <f t="shared" ref="Q130" si="360">SUM(Q126:Q129)</f>
        <v>-564.27</v>
      </c>
      <c r="R130" s="282">
        <f t="shared" ref="R130" si="361">SUM(R126:R129)</f>
        <v>10.34</v>
      </c>
      <c r="S130" s="282">
        <f t="shared" ref="S130" si="362">SUM(S126:S129)</f>
        <v>25.940000000000005</v>
      </c>
      <c r="T130" s="282"/>
    </row>
    <row r="131" spans="2:20">
      <c r="B131" s="214"/>
      <c r="C131" s="266"/>
      <c r="D131" s="266"/>
      <c r="E131" s="266"/>
      <c r="F131" s="266"/>
      <c r="G131" s="266"/>
      <c r="H131" s="266"/>
      <c r="I131" s="266"/>
      <c r="J131" s="266"/>
      <c r="K131" s="266"/>
      <c r="L131" s="266"/>
      <c r="M131" s="266"/>
      <c r="N131" s="266"/>
      <c r="O131" s="266"/>
      <c r="P131" s="266"/>
      <c r="Q131" s="266"/>
      <c r="R131" s="314"/>
      <c r="S131" s="314"/>
    </row>
    <row r="132" spans="2:20">
      <c r="B132" s="214" t="s">
        <v>274</v>
      </c>
      <c r="C132" s="310">
        <v>0.55000000000000004</v>
      </c>
      <c r="D132" s="310">
        <f>4.03-C132</f>
        <v>3.4800000000000004</v>
      </c>
      <c r="E132" s="310">
        <f>4.3-(C132+D132)</f>
        <v>0.26999999999999957</v>
      </c>
      <c r="F132" s="310">
        <f>4.71-(C132+D132+E132)</f>
        <v>0.41000000000000014</v>
      </c>
      <c r="G132" s="310">
        <v>1.22</v>
      </c>
      <c r="H132" s="310">
        <f>1.6-G132</f>
        <v>0.38000000000000012</v>
      </c>
      <c r="I132" s="310">
        <f>2.13-(G132+H132)</f>
        <v>0.5299999999999998</v>
      </c>
      <c r="J132" s="310">
        <f>2.14-(G132+H132+I132)</f>
        <v>1.0000000000000231E-2</v>
      </c>
      <c r="K132" s="310">
        <v>1.35</v>
      </c>
      <c r="L132" s="310">
        <f>1.59-K132</f>
        <v>0.24</v>
      </c>
      <c r="M132" s="310">
        <f>1.83-(K132+L132)</f>
        <v>0.24</v>
      </c>
      <c r="N132" s="310"/>
      <c r="O132" s="310">
        <v>3.55</v>
      </c>
      <c r="P132" s="310">
        <v>21.01</v>
      </c>
      <c r="Q132" s="310">
        <v>17.489999999999998</v>
      </c>
      <c r="R132" s="310">
        <f>SUM(C132:F132)</f>
        <v>4.71</v>
      </c>
      <c r="S132" s="310">
        <f>SUM(G132:J132)</f>
        <v>2.14</v>
      </c>
    </row>
    <row r="133" spans="2:20">
      <c r="B133" s="214" t="s">
        <v>275</v>
      </c>
      <c r="C133" s="310">
        <v>0</v>
      </c>
      <c r="D133" s="310">
        <f>-0.19-C133</f>
        <v>-0.19</v>
      </c>
      <c r="E133" s="310">
        <f>-0.19-(C133+D133)</f>
        <v>0</v>
      </c>
      <c r="F133" s="310">
        <f>-0.19-(C133+D133+E133)</f>
        <v>0</v>
      </c>
      <c r="G133" s="310">
        <v>-0.08</v>
      </c>
      <c r="H133" s="310">
        <f>-0.11-G133</f>
        <v>-0.03</v>
      </c>
      <c r="I133" s="310">
        <f>-0.11-(G133+H133)</f>
        <v>0</v>
      </c>
      <c r="J133" s="310">
        <f>-0.11-(G133+H133+I133)</f>
        <v>0</v>
      </c>
      <c r="K133" s="310">
        <v>0</v>
      </c>
      <c r="L133" s="310">
        <v>0</v>
      </c>
      <c r="M133" s="310">
        <v>0</v>
      </c>
      <c r="N133" s="310"/>
      <c r="O133" s="310">
        <v>-6.89</v>
      </c>
      <c r="P133" s="310">
        <v>-45.32</v>
      </c>
      <c r="Q133" s="310">
        <v>-34.19</v>
      </c>
      <c r="R133" s="310">
        <f t="shared" ref="R133:R136" si="363">SUM(C133:F133)</f>
        <v>-0.19</v>
      </c>
      <c r="S133" s="310">
        <f t="shared" ref="S133:S136" si="364">SUM(G133:J133)</f>
        <v>-0.11</v>
      </c>
    </row>
    <row r="134" spans="2:20">
      <c r="B134" s="214" t="s">
        <v>276</v>
      </c>
      <c r="C134" s="310">
        <v>0</v>
      </c>
      <c r="D134" s="310">
        <v>0</v>
      </c>
      <c r="E134" s="310">
        <v>0</v>
      </c>
      <c r="F134" s="310">
        <v>0</v>
      </c>
      <c r="G134" s="310">
        <v>0</v>
      </c>
      <c r="H134" s="310">
        <v>0</v>
      </c>
      <c r="I134" s="310">
        <v>0</v>
      </c>
      <c r="J134" s="310">
        <v>0</v>
      </c>
      <c r="K134" s="310">
        <v>-39.950000000000003</v>
      </c>
      <c r="L134" s="310">
        <f>-39.95-K134</f>
        <v>0</v>
      </c>
      <c r="M134" s="310">
        <f>-39.95-(K134+L134)</f>
        <v>0</v>
      </c>
      <c r="N134" s="310"/>
      <c r="O134" s="310">
        <v>0</v>
      </c>
      <c r="P134" s="310">
        <v>0</v>
      </c>
      <c r="Q134" s="310">
        <v>0</v>
      </c>
      <c r="R134" s="310">
        <f t="shared" si="363"/>
        <v>0</v>
      </c>
      <c r="S134" s="310">
        <f t="shared" si="364"/>
        <v>0</v>
      </c>
    </row>
    <row r="135" spans="2:20">
      <c r="B135" s="214" t="s">
        <v>277</v>
      </c>
      <c r="C135" s="310">
        <v>-2.09</v>
      </c>
      <c r="D135" s="310">
        <f>-4.11-C135</f>
        <v>-2.0200000000000005</v>
      </c>
      <c r="E135" s="310">
        <f>-6.41-(C135+D135)</f>
        <v>-2.2999999999999998</v>
      </c>
      <c r="F135" s="310">
        <f>-8.87-(C135+D135+E135)</f>
        <v>-2.4599999999999991</v>
      </c>
      <c r="G135" s="310">
        <v>-2.0699999999999998</v>
      </c>
      <c r="H135" s="310">
        <f>-3.91-G135</f>
        <v>-1.8400000000000003</v>
      </c>
      <c r="I135" s="310">
        <f>-5.86-(G135+H135)</f>
        <v>-1.9500000000000002</v>
      </c>
      <c r="J135" s="310">
        <f>-8.23-(G135+H135+I135)</f>
        <v>-2.37</v>
      </c>
      <c r="K135" s="310">
        <v>-2.14</v>
      </c>
      <c r="L135" s="310">
        <f>-4.33-K135</f>
        <v>-2.19</v>
      </c>
      <c r="M135" s="310">
        <f>-6.33-(K135+L135)</f>
        <v>-2</v>
      </c>
      <c r="N135" s="310"/>
      <c r="O135" s="310">
        <v>-3.4</v>
      </c>
      <c r="P135" s="310">
        <v>-4.3499999999999996</v>
      </c>
      <c r="Q135" s="310">
        <v>-6.95</v>
      </c>
      <c r="R135" s="310">
        <f t="shared" si="363"/>
        <v>-8.8699999999999992</v>
      </c>
      <c r="S135" s="310">
        <f t="shared" si="364"/>
        <v>-8.23</v>
      </c>
    </row>
    <row r="136" spans="2:20">
      <c r="B136" s="311" t="s">
        <v>278</v>
      </c>
      <c r="C136" s="312">
        <v>-0.27</v>
      </c>
      <c r="D136" s="312">
        <f>-0.37-C136</f>
        <v>-9.9999999999999978E-2</v>
      </c>
      <c r="E136" s="312">
        <f>-0.73-(C136+D136)</f>
        <v>-0.36</v>
      </c>
      <c r="F136" s="312">
        <f>-1.06-(C136+D136+E136)</f>
        <v>-0.33000000000000007</v>
      </c>
      <c r="G136" s="312">
        <v>0</v>
      </c>
      <c r="H136" s="312">
        <v>0</v>
      </c>
      <c r="I136" s="312">
        <f>-0.04-(G136+H136)</f>
        <v>-0.04</v>
      </c>
      <c r="J136" s="312">
        <f>-0.04-(G136+H136+I136)</f>
        <v>0</v>
      </c>
      <c r="K136" s="312">
        <v>-0.04</v>
      </c>
      <c r="L136" s="312">
        <f>-0.04-K136</f>
        <v>0</v>
      </c>
      <c r="M136" s="312">
        <f>-0.05-(K136+L136)</f>
        <v>-1.0000000000000002E-2</v>
      </c>
      <c r="N136" s="312"/>
      <c r="O136" s="312">
        <v>-0.65</v>
      </c>
      <c r="P136" s="312">
        <v>-1.56</v>
      </c>
      <c r="Q136" s="312">
        <v>-1.81</v>
      </c>
      <c r="R136" s="312">
        <f t="shared" si="363"/>
        <v>-1.06</v>
      </c>
      <c r="S136" s="312">
        <f t="shared" si="364"/>
        <v>-0.04</v>
      </c>
    </row>
    <row r="137" spans="2:20">
      <c r="B137" s="212" t="s">
        <v>279</v>
      </c>
      <c r="C137" s="313">
        <f t="shared" ref="C137:K137" si="365">SUM(C132:C136)</f>
        <v>-1.8099999999999998</v>
      </c>
      <c r="D137" s="313">
        <f t="shared" si="365"/>
        <v>1.17</v>
      </c>
      <c r="E137" s="313">
        <f t="shared" si="365"/>
        <v>-2.39</v>
      </c>
      <c r="F137" s="313">
        <f t="shared" si="365"/>
        <v>-2.379999999999999</v>
      </c>
      <c r="G137" s="313">
        <f t="shared" si="365"/>
        <v>-0.92999999999999994</v>
      </c>
      <c r="H137" s="313">
        <f t="shared" si="365"/>
        <v>-1.4900000000000002</v>
      </c>
      <c r="I137" s="313">
        <f t="shared" si="365"/>
        <v>-1.4600000000000004</v>
      </c>
      <c r="J137" s="313">
        <f t="shared" si="365"/>
        <v>-2.36</v>
      </c>
      <c r="K137" s="313">
        <f t="shared" si="365"/>
        <v>-40.78</v>
      </c>
      <c r="L137" s="313">
        <f>SUM(L132:L136)</f>
        <v>-1.95</v>
      </c>
      <c r="M137" s="313">
        <f t="shared" ref="M137" si="366">SUM(M132:M136)</f>
        <v>-1.77</v>
      </c>
      <c r="N137" s="313"/>
      <c r="O137" s="313">
        <f t="shared" ref="O137" si="367">SUM(O132:O136)</f>
        <v>-7.3900000000000006</v>
      </c>
      <c r="P137" s="313">
        <f t="shared" ref="P137" si="368">SUM(P132:P136)</f>
        <v>-30.219999999999995</v>
      </c>
      <c r="Q137" s="313">
        <f t="shared" ref="Q137" si="369">SUM(Q132:Q136)</f>
        <v>-25.459999999999997</v>
      </c>
      <c r="R137" s="313">
        <f t="shared" ref="R137" si="370">SUM(R132:R136)</f>
        <v>-5.41</v>
      </c>
      <c r="S137" s="313">
        <f t="shared" ref="S137" si="371">SUM(S132:S136)</f>
        <v>-6.24</v>
      </c>
      <c r="T137" s="282"/>
    </row>
    <row r="138" spans="2:20">
      <c r="B138" s="214"/>
      <c r="C138" s="266"/>
      <c r="D138" s="266"/>
      <c r="E138" s="266"/>
      <c r="F138" s="266"/>
      <c r="G138" s="266"/>
      <c r="H138" s="266"/>
      <c r="I138" s="266"/>
      <c r="J138" s="266"/>
      <c r="K138" s="266"/>
      <c r="L138" s="266"/>
      <c r="M138" s="266"/>
      <c r="N138" s="266"/>
      <c r="O138" s="266"/>
      <c r="P138" s="266"/>
      <c r="Q138" s="266"/>
      <c r="R138" s="314"/>
      <c r="S138" s="314"/>
    </row>
    <row r="139" spans="2:20">
      <c r="B139" s="214" t="s">
        <v>280</v>
      </c>
      <c r="C139" s="310">
        <v>-38.869999999999997</v>
      </c>
      <c r="D139" s="310">
        <f>-91.08-C139</f>
        <v>-52.21</v>
      </c>
      <c r="E139" s="310">
        <f>-115.54-(C139+D139)</f>
        <v>-24.460000000000008</v>
      </c>
      <c r="F139" s="310">
        <f>-153.5-(C139+D139+E139)</f>
        <v>-37.959999999999994</v>
      </c>
      <c r="G139" s="310">
        <v>-19.88</v>
      </c>
      <c r="H139" s="310">
        <f>-38.66-G139</f>
        <v>-18.779999999999998</v>
      </c>
      <c r="I139" s="310">
        <v>-50.75</v>
      </c>
      <c r="J139" s="310">
        <v>-78.05</v>
      </c>
      <c r="K139" s="310">
        <v>-48.15</v>
      </c>
      <c r="L139" s="310">
        <f>-63.08-K139</f>
        <v>-14.93</v>
      </c>
      <c r="M139" s="310">
        <f>-60.53-(K139+L139)</f>
        <v>2.5499999999999972</v>
      </c>
      <c r="N139" s="310"/>
      <c r="O139" s="310">
        <v>3.27</v>
      </c>
      <c r="P139" s="310">
        <v>596.17999999999995</v>
      </c>
      <c r="Q139" s="310">
        <v>146.5</v>
      </c>
      <c r="R139" s="310">
        <f>SUM(C139:F139)</f>
        <v>-153.5</v>
      </c>
      <c r="S139" s="310">
        <f>SUM(G139:J139)</f>
        <v>-167.45999999999998</v>
      </c>
    </row>
    <row r="140" spans="2:20">
      <c r="B140" s="214" t="s">
        <v>322</v>
      </c>
      <c r="C140" s="310">
        <f t="shared" ref="C140:S140" si="372">C124+C126</f>
        <v>-36.480000000000004</v>
      </c>
      <c r="D140" s="310">
        <f t="shared" si="372"/>
        <v>-25.92</v>
      </c>
      <c r="E140" s="310">
        <f t="shared" si="372"/>
        <v>-777.04999999999984</v>
      </c>
      <c r="F140" s="310">
        <f t="shared" si="372"/>
        <v>-43.770000000000039</v>
      </c>
      <c r="G140" s="310">
        <f t="shared" si="372"/>
        <v>-27.14</v>
      </c>
      <c r="H140" s="310">
        <f t="shared" si="372"/>
        <v>-25.700000000000006</v>
      </c>
      <c r="I140" s="310">
        <f t="shared" si="372"/>
        <v>-20.569999999999986</v>
      </c>
      <c r="J140" s="310">
        <f t="shared" si="372"/>
        <v>-31.750000000000036</v>
      </c>
      <c r="K140" s="310">
        <f>K124+K126</f>
        <v>-15.066999999999998</v>
      </c>
      <c r="L140" s="310">
        <f>L124+L126</f>
        <v>-15.615000000000009</v>
      </c>
      <c r="M140" s="310">
        <f t="shared" si="372"/>
        <v>5.012000000000004</v>
      </c>
      <c r="N140" s="310"/>
      <c r="O140" s="310">
        <f t="shared" si="372"/>
        <v>-32.149999999999991</v>
      </c>
      <c r="P140" s="310">
        <f t="shared" si="372"/>
        <v>-94.850000000000023</v>
      </c>
      <c r="Q140" s="310">
        <f t="shared" si="372"/>
        <v>-95.460000000000022</v>
      </c>
      <c r="R140" s="310">
        <f t="shared" si="372"/>
        <v>-883.21999999999991</v>
      </c>
      <c r="S140" s="310">
        <f t="shared" si="372"/>
        <v>-105.16000000000004</v>
      </c>
    </row>
    <row r="141" spans="2:20">
      <c r="B141" s="315" t="s">
        <v>281</v>
      </c>
      <c r="C141" s="316"/>
      <c r="D141" s="317">
        <f>ABS((D140-C140)/C140)</f>
        <v>0.28947368421052633</v>
      </c>
      <c r="E141" s="317">
        <f t="shared" ref="E141:M141" si="373">ABS((E140-D140)/D140)</f>
        <v>28.978780864197525</v>
      </c>
      <c r="F141" s="317">
        <f t="shared" si="373"/>
        <v>0.94367157840550786</v>
      </c>
      <c r="G141" s="317">
        <f t="shared" si="373"/>
        <v>0.37994059858350521</v>
      </c>
      <c r="H141" s="317">
        <f t="shared" si="373"/>
        <v>5.3058216654384455E-2</v>
      </c>
      <c r="I141" s="317">
        <f t="shared" si="373"/>
        <v>0.19961089494163498</v>
      </c>
      <c r="J141" s="317">
        <f t="shared" si="373"/>
        <v>0.54350996596986179</v>
      </c>
      <c r="K141" s="317">
        <f t="shared" si="373"/>
        <v>0.52544881889763828</v>
      </c>
      <c r="L141" s="317">
        <f t="shared" si="373"/>
        <v>3.6370876750515084E-2</v>
      </c>
      <c r="M141" s="317">
        <f t="shared" si="373"/>
        <v>1.3209734229907142</v>
      </c>
      <c r="N141" s="317"/>
      <c r="O141" s="317"/>
      <c r="P141" s="317">
        <f>(P140-O140)/O140</f>
        <v>1.950233281493003</v>
      </c>
      <c r="Q141" s="317">
        <f t="shared" ref="Q141:S141" si="374">ABS((Q140-P140)/P140)</f>
        <v>6.4312071692145421E-3</v>
      </c>
      <c r="R141" s="317">
        <f t="shared" si="374"/>
        <v>8.2522522522522497</v>
      </c>
      <c r="S141" s="317">
        <f t="shared" si="374"/>
        <v>0.88093566721768068</v>
      </c>
      <c r="T141" s="318"/>
    </row>
    <row r="142" spans="2:20">
      <c r="B142" s="214" t="s">
        <v>607</v>
      </c>
      <c r="C142" s="310">
        <f t="shared" ref="C142:J142" si="375">C140/C65</f>
        <v>-0.2448322147651007</v>
      </c>
      <c r="D142" s="310">
        <f t="shared" si="375"/>
        <v>-0.17314629258517036</v>
      </c>
      <c r="E142" s="310">
        <f t="shared" si="375"/>
        <v>-5.1392195767195759</v>
      </c>
      <c r="F142" s="310">
        <f t="shared" si="375"/>
        <v>-0.28833992094861682</v>
      </c>
      <c r="G142" s="310">
        <f t="shared" si="375"/>
        <v>-0.17796721311475411</v>
      </c>
      <c r="H142" s="310">
        <f t="shared" si="375"/>
        <v>-0.16742671009771992</v>
      </c>
      <c r="I142" s="310">
        <f t="shared" si="375"/>
        <v>-0.13339818417639421</v>
      </c>
      <c r="J142" s="310">
        <f t="shared" si="375"/>
        <v>-0.20497094899935464</v>
      </c>
      <c r="K142" s="310">
        <f>K140/K65</f>
        <v>-9.7394957983193281E-2</v>
      </c>
      <c r="L142" s="310">
        <f>L140/L65</f>
        <v>-0.10166015625000006</v>
      </c>
      <c r="M142" s="310">
        <f t="shared" ref="M142:S142" si="376">M140/M65</f>
        <v>3.2764594364908181E-2</v>
      </c>
      <c r="N142" s="310"/>
      <c r="O142" s="310">
        <f t="shared" si="376"/>
        <v>-0.37427240977881243</v>
      </c>
      <c r="P142" s="310">
        <f t="shared" si="376"/>
        <v>-0.90161596958174928</v>
      </c>
      <c r="Q142" s="310">
        <f t="shared" si="376"/>
        <v>-0.67415254237288158</v>
      </c>
      <c r="R142" s="310">
        <f t="shared" si="376"/>
        <v>-5.8724734042553184</v>
      </c>
      <c r="S142" s="310">
        <f t="shared" si="376"/>
        <v>-0.68374512353706129</v>
      </c>
      <c r="T142" s="319"/>
    </row>
    <row r="143" spans="2:20">
      <c r="B143" s="214"/>
    </row>
    <row r="144" spans="2:20">
      <c r="B144" s="214"/>
    </row>
    <row r="145" spans="2:2">
      <c r="B145" s="214"/>
    </row>
    <row r="146" spans="2:2">
      <c r="B146" s="214"/>
    </row>
    <row r="147" spans="2:2">
      <c r="B147" s="214"/>
    </row>
    <row r="148" spans="2:2">
      <c r="B148" s="214"/>
    </row>
    <row r="149" spans="2:2">
      <c r="B149" s="214"/>
    </row>
    <row r="150" spans="2:2">
      <c r="B150" s="214"/>
    </row>
    <row r="151" spans="2:2">
      <c r="B151" s="214"/>
    </row>
    <row r="152" spans="2:2">
      <c r="B152" s="214"/>
    </row>
    <row r="153" spans="2:2">
      <c r="B153" s="214"/>
    </row>
    <row r="154" spans="2:2">
      <c r="B154" s="214"/>
    </row>
  </sheetData>
  <mergeCells count="31">
    <mergeCell ref="T90:U90"/>
    <mergeCell ref="AD93:AQ93"/>
    <mergeCell ref="AE95:AQ95"/>
    <mergeCell ref="AH82:AM87"/>
    <mergeCell ref="T69:V69"/>
    <mergeCell ref="T72:U72"/>
    <mergeCell ref="T78:U78"/>
    <mergeCell ref="T80:V80"/>
    <mergeCell ref="T81:V81"/>
    <mergeCell ref="T84:U84"/>
    <mergeCell ref="AH62:AM67"/>
    <mergeCell ref="AH68:AM73"/>
    <mergeCell ref="AH74:AM74"/>
    <mergeCell ref="AH75:AM80"/>
    <mergeCell ref="AH81:AM81"/>
    <mergeCell ref="AH42:AM47"/>
    <mergeCell ref="AH48:AM48"/>
    <mergeCell ref="AH49:AM54"/>
    <mergeCell ref="AH55:AM55"/>
    <mergeCell ref="AH56:AM61"/>
    <mergeCell ref="AH27:AM27"/>
    <mergeCell ref="AH28:AM33"/>
    <mergeCell ref="AH34:AM34"/>
    <mergeCell ref="AH35:AM40"/>
    <mergeCell ref="AH41:AM41"/>
    <mergeCell ref="U6:AD6"/>
    <mergeCell ref="AH7:AM7"/>
    <mergeCell ref="AH9:AM14"/>
    <mergeCell ref="AH15:AM20"/>
    <mergeCell ref="AH21:AM26"/>
    <mergeCell ref="AH8:AM8"/>
  </mergeCells>
  <pageMargins left="0.7" right="0.7" top="0.75" bottom="0.75" header="0.3" footer="0.3"/>
  <ignoredErrors>
    <ignoredError sqref="R128:S128 R134:S134 R116" formulaRange="1"/>
    <ignoredError sqref="R18 R16:S16 R14" formula="1"/>
  </ignoredErrors>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A08DE-DCA1-1848-B98D-EC3107FD5E9F}">
  <dimension ref="A3:AK72"/>
  <sheetViews>
    <sheetView showGridLines="0" tabSelected="1" topLeftCell="D2" zoomScale="82" zoomScaleNormal="70" workbookViewId="0">
      <selection activeCell="S17" sqref="S17"/>
    </sheetView>
  </sheetViews>
  <sheetFormatPr baseColWidth="10" defaultColWidth="11.5" defaultRowHeight="15"/>
  <cols>
    <col min="1" max="1" width="41.33203125" bestFit="1" customWidth="1"/>
    <col min="2" max="2" width="16.6640625" customWidth="1"/>
    <col min="5" max="5" width="35.33203125" customWidth="1"/>
    <col min="11" max="11" width="18.6640625" customWidth="1"/>
    <col min="12" max="12" width="29.83203125" customWidth="1"/>
    <col min="13" max="13" width="20.1640625" bestFit="1" customWidth="1"/>
    <col min="14" max="14" width="32.1640625" customWidth="1"/>
    <col min="15" max="15" width="36" customWidth="1"/>
    <col min="16" max="16" width="15.1640625" customWidth="1"/>
    <col min="17" max="17" width="16.5" bestFit="1" customWidth="1"/>
    <col min="18" max="18" width="10.6640625" customWidth="1"/>
    <col min="19" max="19" width="11.5" customWidth="1"/>
    <col min="20" max="20" width="11.1640625" bestFit="1" customWidth="1"/>
    <col min="21" max="21" width="10.5" customWidth="1"/>
    <col min="22" max="22" width="11.33203125" bestFit="1" customWidth="1"/>
    <col min="23" max="23" width="10.33203125" bestFit="1" customWidth="1"/>
    <col min="24" max="24" width="7.83203125" bestFit="1" customWidth="1"/>
    <col min="25" max="25" width="6.6640625" bestFit="1" customWidth="1"/>
    <col min="26" max="26" width="8.1640625" bestFit="1" customWidth="1"/>
    <col min="27" max="28" width="6.6640625" bestFit="1" customWidth="1"/>
    <col min="29" max="29" width="4.1640625" customWidth="1"/>
    <col min="30" max="30" width="7.6640625" customWidth="1"/>
    <col min="31" max="31" width="9.6640625" bestFit="1" customWidth="1"/>
    <col min="32" max="32" width="8.33203125" bestFit="1" customWidth="1"/>
    <col min="33" max="33" width="11.1640625" bestFit="1" customWidth="1"/>
    <col min="34" max="35" width="9.83203125" bestFit="1" customWidth="1"/>
    <col min="36" max="36" width="8.6640625" bestFit="1" customWidth="1"/>
    <col min="37" max="37" width="6.6640625" bestFit="1" customWidth="1"/>
  </cols>
  <sheetData>
    <row r="3" spans="12:37" ht="16" customHeight="1">
      <c r="L3" s="880" t="s">
        <v>363</v>
      </c>
      <c r="M3" s="638"/>
      <c r="N3" s="638"/>
      <c r="O3" s="638"/>
      <c r="P3" s="639" t="s">
        <v>754</v>
      </c>
      <c r="Q3" s="639" t="s">
        <v>755</v>
      </c>
      <c r="R3" s="639"/>
      <c r="S3" s="639"/>
      <c r="T3" s="639"/>
      <c r="U3" s="639"/>
      <c r="V3" s="639"/>
      <c r="W3" s="639"/>
      <c r="X3" s="639"/>
      <c r="Y3" s="883" t="s">
        <v>361</v>
      </c>
      <c r="Z3" s="884"/>
      <c r="AA3" s="884"/>
      <c r="AB3" s="885"/>
      <c r="AC3" s="639"/>
      <c r="AD3" s="640"/>
      <c r="AE3" s="642" t="s">
        <v>362</v>
      </c>
      <c r="AF3" s="642"/>
      <c r="AG3" s="642"/>
      <c r="AH3" s="642"/>
      <c r="AI3" s="642"/>
      <c r="AJ3" s="641"/>
      <c r="AK3" s="638"/>
    </row>
    <row r="4" spans="12:37" s="221" customFormat="1">
      <c r="L4" s="880"/>
      <c r="M4" s="643" t="s">
        <v>364</v>
      </c>
      <c r="N4" s="643" t="s">
        <v>365</v>
      </c>
      <c r="O4" s="643" t="s">
        <v>366</v>
      </c>
      <c r="P4" s="643" t="s">
        <v>319</v>
      </c>
      <c r="Q4" s="643" t="s">
        <v>318</v>
      </c>
      <c r="R4" s="643" t="s">
        <v>135</v>
      </c>
      <c r="S4" s="643" t="s">
        <v>296</v>
      </c>
      <c r="T4" s="643" t="s">
        <v>367</v>
      </c>
      <c r="U4" s="643" t="s">
        <v>141</v>
      </c>
      <c r="V4" s="643" t="s">
        <v>368</v>
      </c>
      <c r="W4" s="643" t="s">
        <v>194</v>
      </c>
      <c r="X4" s="643" t="s">
        <v>369</v>
      </c>
      <c r="Y4" s="643" t="s">
        <v>370</v>
      </c>
      <c r="Z4" s="643" t="s">
        <v>371</v>
      </c>
      <c r="AA4" s="643" t="s">
        <v>372</v>
      </c>
      <c r="AB4" s="643" t="s">
        <v>373</v>
      </c>
      <c r="AC4" s="643"/>
      <c r="AD4" s="643" t="s">
        <v>374</v>
      </c>
      <c r="AE4" s="644" t="s">
        <v>375</v>
      </c>
      <c r="AF4" s="643" t="s">
        <v>376</v>
      </c>
      <c r="AG4" s="643" t="s">
        <v>377</v>
      </c>
      <c r="AH4" s="643" t="s">
        <v>378</v>
      </c>
      <c r="AI4" s="643" t="s">
        <v>379</v>
      </c>
      <c r="AJ4" s="643" t="s">
        <v>380</v>
      </c>
      <c r="AK4" s="643" t="s">
        <v>381</v>
      </c>
    </row>
    <row r="5" spans="12:37">
      <c r="L5" s="5" t="s">
        <v>382</v>
      </c>
      <c r="M5" s="5" t="s">
        <v>383</v>
      </c>
      <c r="N5" s="5" t="s">
        <v>384</v>
      </c>
      <c r="O5" s="5" t="s">
        <v>385</v>
      </c>
      <c r="P5" s="16">
        <v>78.62</v>
      </c>
      <c r="Q5" s="719">
        <v>989.2</v>
      </c>
      <c r="R5" s="22">
        <f t="shared" ref="R5:R10" si="0">P5*Q5</f>
        <v>77770.90400000001</v>
      </c>
      <c r="S5" s="22">
        <v>10822</v>
      </c>
      <c r="T5" s="22">
        <v>11857</v>
      </c>
      <c r="U5" s="22">
        <f>R5-S5+T5</f>
        <v>78805.90400000001</v>
      </c>
      <c r="V5" s="22">
        <v>31797</v>
      </c>
      <c r="W5" s="22">
        <v>12890</v>
      </c>
      <c r="X5" s="20">
        <v>3.99</v>
      </c>
      <c r="Y5" s="50">
        <f>P5/X5</f>
        <v>19.704260651629074</v>
      </c>
      <c r="Z5" s="50">
        <f t="shared" ref="Z5:Z10" si="1">U5/V5</f>
        <v>2.4784068937321133</v>
      </c>
      <c r="AA5" s="50">
        <f t="shared" ref="AA5:AA10" si="2">U5/W5</f>
        <v>6.1137241272304115</v>
      </c>
      <c r="AB5" s="50">
        <f t="shared" ref="AB5:AB10" si="3">R5/W5</f>
        <v>6.0334293250581856</v>
      </c>
      <c r="AC5" s="50"/>
      <c r="AD5" s="22">
        <v>15823.87</v>
      </c>
      <c r="AE5" s="22">
        <v>35621</v>
      </c>
      <c r="AF5" s="22">
        <v>7405.11</v>
      </c>
      <c r="AG5" s="50">
        <f t="shared" ref="AG5:AG10" si="4">U5/AE5</f>
        <v>2.2123439544089165</v>
      </c>
      <c r="AH5" s="50">
        <f t="shared" ref="AH5:AH10" si="5">R5/AE5</f>
        <v>2.1832880604138012</v>
      </c>
      <c r="AI5" s="50">
        <f t="shared" ref="AI5:AI10" si="6">U5/AF5</f>
        <v>10.6420976865975</v>
      </c>
      <c r="AJ5" s="50">
        <f t="shared" ref="AJ5:AJ10" si="7">U5/AD5</f>
        <v>4.9801915713412717</v>
      </c>
      <c r="AK5" s="21">
        <v>0.15</v>
      </c>
    </row>
    <row r="6" spans="12:37">
      <c r="L6" s="5" t="s">
        <v>386</v>
      </c>
      <c r="M6" s="5" t="s">
        <v>387</v>
      </c>
      <c r="N6" s="5" t="s">
        <v>388</v>
      </c>
      <c r="O6" s="5" t="s">
        <v>389</v>
      </c>
      <c r="P6" s="16">
        <v>129.31</v>
      </c>
      <c r="Q6" s="719">
        <v>1294.8</v>
      </c>
      <c r="R6" s="22">
        <f t="shared" si="0"/>
        <v>167430.58799999999</v>
      </c>
      <c r="S6" s="22">
        <v>5514</v>
      </c>
      <c r="T6" s="22">
        <v>1126</v>
      </c>
      <c r="U6" s="22">
        <f t="shared" ref="U6:U10" si="8">R6-S6+T6</f>
        <v>163042.58799999999</v>
      </c>
      <c r="V6" s="22">
        <v>8880</v>
      </c>
      <c r="W6" s="22">
        <v>4472</v>
      </c>
      <c r="X6" s="20">
        <v>1.55</v>
      </c>
      <c r="Y6" s="50">
        <f>P6/X6</f>
        <v>83.4258064516129</v>
      </c>
      <c r="Z6" s="50">
        <f t="shared" si="1"/>
        <v>18.360651801801801</v>
      </c>
      <c r="AA6" s="50">
        <f t="shared" si="2"/>
        <v>36.458539355992841</v>
      </c>
      <c r="AB6" s="50">
        <f t="shared" si="3"/>
        <v>37.439755813953489</v>
      </c>
      <c r="AC6" s="50"/>
      <c r="AD6" s="22">
        <v>6548</v>
      </c>
      <c r="AE6" s="22">
        <v>13053.56</v>
      </c>
      <c r="AF6" s="22">
        <v>2498.5</v>
      </c>
      <c r="AG6" s="50">
        <f t="shared" si="4"/>
        <v>12.490277594771081</v>
      </c>
      <c r="AH6" s="50">
        <f t="shared" si="5"/>
        <v>12.826431103852128</v>
      </c>
      <c r="AI6" s="50">
        <f t="shared" si="6"/>
        <v>65.256188913347998</v>
      </c>
      <c r="AJ6" s="50">
        <f t="shared" si="7"/>
        <v>24.899601099572386</v>
      </c>
      <c r="AK6" s="21">
        <v>0.2</v>
      </c>
    </row>
    <row r="7" spans="12:37">
      <c r="L7" s="5" t="s">
        <v>390</v>
      </c>
      <c r="M7" s="5" t="s">
        <v>391</v>
      </c>
      <c r="N7" s="5" t="s">
        <v>384</v>
      </c>
      <c r="O7" s="5" t="s">
        <v>385</v>
      </c>
      <c r="P7" s="16">
        <v>84.18</v>
      </c>
      <c r="Q7" s="719">
        <v>568.70000000000005</v>
      </c>
      <c r="R7" s="22">
        <f t="shared" si="0"/>
        <v>47873.166000000005</v>
      </c>
      <c r="S7" s="22">
        <v>8862</v>
      </c>
      <c r="T7" s="22">
        <v>7409.2</v>
      </c>
      <c r="U7" s="22">
        <f t="shared" si="8"/>
        <v>46420.366000000002</v>
      </c>
      <c r="V7" s="22">
        <v>23861.5</v>
      </c>
      <c r="W7" s="22">
        <v>8674.2000000000007</v>
      </c>
      <c r="X7" s="20">
        <v>1.66</v>
      </c>
      <c r="Y7" s="50">
        <f>P7/X7</f>
        <v>50.710843373493979</v>
      </c>
      <c r="Z7" s="50">
        <f t="shared" si="1"/>
        <v>1.9454085451459464</v>
      </c>
      <c r="AA7" s="50">
        <f t="shared" si="2"/>
        <v>5.3515443499112312</v>
      </c>
      <c r="AB7" s="50">
        <f t="shared" si="3"/>
        <v>5.5190295358649788</v>
      </c>
      <c r="AC7" s="50"/>
      <c r="AD7" s="22">
        <v>11616.59</v>
      </c>
      <c r="AE7" s="22">
        <v>30149.48</v>
      </c>
      <c r="AF7" s="22">
        <v>3449.82</v>
      </c>
      <c r="AG7" s="50">
        <f t="shared" si="4"/>
        <v>1.5396738517546573</v>
      </c>
      <c r="AH7" s="50">
        <f t="shared" si="5"/>
        <v>1.5878604208099114</v>
      </c>
      <c r="AI7" s="50">
        <f t="shared" si="6"/>
        <v>13.455880596668811</v>
      </c>
      <c r="AJ7" s="50">
        <f t="shared" si="7"/>
        <v>3.9960406625352189</v>
      </c>
      <c r="AK7" s="21">
        <v>0.25</v>
      </c>
    </row>
    <row r="8" spans="12:37">
      <c r="L8" s="5" t="s">
        <v>392</v>
      </c>
      <c r="M8" s="5" t="s">
        <v>393</v>
      </c>
      <c r="N8" s="5" t="s">
        <v>394</v>
      </c>
      <c r="O8" s="5" t="s">
        <v>385</v>
      </c>
      <c r="P8" s="16">
        <v>40.49</v>
      </c>
      <c r="Q8" s="719">
        <v>568</v>
      </c>
      <c r="R8" s="22">
        <f t="shared" si="0"/>
        <v>22998.32</v>
      </c>
      <c r="S8" s="22">
        <v>1272</v>
      </c>
      <c r="T8" s="22">
        <v>38</v>
      </c>
      <c r="U8" s="22">
        <f t="shared" si="8"/>
        <v>21764.32</v>
      </c>
      <c r="V8" s="22">
        <v>4658</v>
      </c>
      <c r="W8" s="22">
        <v>1088</v>
      </c>
      <c r="X8" s="20">
        <v>-0.09</v>
      </c>
      <c r="Y8" s="50" t="s">
        <v>395</v>
      </c>
      <c r="Z8" s="50">
        <f t="shared" si="1"/>
        <v>4.6724602833834261</v>
      </c>
      <c r="AA8" s="50">
        <f t="shared" si="2"/>
        <v>20.003970588235294</v>
      </c>
      <c r="AB8" s="50">
        <f t="shared" si="3"/>
        <v>21.138161764705881</v>
      </c>
      <c r="AC8" s="50"/>
      <c r="AD8" s="22">
        <v>2012.34</v>
      </c>
      <c r="AE8" s="22">
        <v>7304.31</v>
      </c>
      <c r="AF8" s="22">
        <v>618.92999999999995</v>
      </c>
      <c r="AG8" s="50">
        <f t="shared" si="4"/>
        <v>2.979654477972594</v>
      </c>
      <c r="AH8" s="50">
        <f t="shared" si="5"/>
        <v>3.1485958290379239</v>
      </c>
      <c r="AI8" s="50">
        <f t="shared" si="6"/>
        <v>35.164428933805119</v>
      </c>
      <c r="AJ8" s="50">
        <f t="shared" si="7"/>
        <v>10.815428804277607</v>
      </c>
      <c r="AK8" s="21">
        <v>0.3</v>
      </c>
    </row>
    <row r="9" spans="12:37">
      <c r="L9" s="5" t="s">
        <v>396</v>
      </c>
      <c r="M9" s="5" t="s">
        <v>397</v>
      </c>
      <c r="N9" s="5" t="s">
        <v>398</v>
      </c>
      <c r="O9" s="5" t="s">
        <v>385</v>
      </c>
      <c r="P9" s="16">
        <v>80.69</v>
      </c>
      <c r="Q9" s="719">
        <v>318.10000000000002</v>
      </c>
      <c r="R9" s="22">
        <f t="shared" si="0"/>
        <v>25667.489000000001</v>
      </c>
      <c r="S9" s="22">
        <v>1239.8</v>
      </c>
      <c r="T9" s="22">
        <v>7496</v>
      </c>
      <c r="U9" s="22">
        <f t="shared" si="8"/>
        <v>31923.689000000002</v>
      </c>
      <c r="V9" s="22">
        <v>2800.2</v>
      </c>
      <c r="W9" s="22">
        <v>1244.8</v>
      </c>
      <c r="X9" s="20">
        <v>-0.63</v>
      </c>
      <c r="Y9" s="50" t="s">
        <v>395</v>
      </c>
      <c r="Z9" s="50">
        <f t="shared" si="1"/>
        <v>11.400503178344405</v>
      </c>
      <c r="AA9" s="50">
        <f t="shared" si="2"/>
        <v>25.645637050128538</v>
      </c>
      <c r="AB9" s="50">
        <f t="shared" si="3"/>
        <v>20.619769440874038</v>
      </c>
      <c r="AC9" s="50"/>
      <c r="AD9" s="22">
        <v>1743.31</v>
      </c>
      <c r="AE9" s="22">
        <v>3787.55</v>
      </c>
      <c r="AF9" s="22">
        <v>1282.6500000000001</v>
      </c>
      <c r="AG9" s="50">
        <f t="shared" si="4"/>
        <v>8.4285854972211585</v>
      </c>
      <c r="AH9" s="50">
        <f t="shared" si="5"/>
        <v>6.7768053227020104</v>
      </c>
      <c r="AI9" s="50">
        <f t="shared" si="6"/>
        <v>24.888854325030209</v>
      </c>
      <c r="AJ9" s="50">
        <f t="shared" si="7"/>
        <v>18.312112590417083</v>
      </c>
      <c r="AK9" s="21">
        <v>0.1</v>
      </c>
    </row>
    <row r="10" spans="12:37" s="221" customFormat="1">
      <c r="L10" s="554" t="s">
        <v>399</v>
      </c>
      <c r="M10" s="554" t="s">
        <v>400</v>
      </c>
      <c r="N10" s="554" t="s">
        <v>401</v>
      </c>
      <c r="O10" s="554" t="s">
        <v>389</v>
      </c>
      <c r="P10" s="555">
        <v>14.66</v>
      </c>
      <c r="Q10" s="720">
        <v>151.91</v>
      </c>
      <c r="R10" s="556">
        <f t="shared" si="0"/>
        <v>2227.0005999999998</v>
      </c>
      <c r="S10" s="556">
        <v>659</v>
      </c>
      <c r="T10" s="556">
        <v>22</v>
      </c>
      <c r="U10" s="556">
        <f t="shared" si="8"/>
        <v>1590.0005999999998</v>
      </c>
      <c r="V10" s="556">
        <v>1013</v>
      </c>
      <c r="W10" s="556">
        <v>424</v>
      </c>
      <c r="X10" s="557">
        <v>-0.92</v>
      </c>
      <c r="Y10" s="558" t="s">
        <v>395</v>
      </c>
      <c r="Z10" s="558">
        <f t="shared" si="1"/>
        <v>1.5695958538993089</v>
      </c>
      <c r="AA10" s="558">
        <f t="shared" si="2"/>
        <v>3.7500014150943395</v>
      </c>
      <c r="AB10" s="558">
        <f t="shared" si="3"/>
        <v>5.2523599056603771</v>
      </c>
      <c r="AC10" s="558"/>
      <c r="AD10" s="556">
        <v>566.57000000000005</v>
      </c>
      <c r="AE10" s="556">
        <v>1293.54</v>
      </c>
      <c r="AF10" s="556">
        <v>64.17</v>
      </c>
      <c r="AG10" s="558">
        <f t="shared" si="4"/>
        <v>1.2291854909782456</v>
      </c>
      <c r="AH10" s="558">
        <f t="shared" si="5"/>
        <v>1.7216325741762915</v>
      </c>
      <c r="AI10" s="558">
        <f t="shared" si="6"/>
        <v>24.777942964001866</v>
      </c>
      <c r="AJ10" s="558">
        <f t="shared" si="7"/>
        <v>2.8063621441304689</v>
      </c>
      <c r="AK10" s="559"/>
    </row>
    <row r="11" spans="12:37">
      <c r="L11" s="31" t="s">
        <v>402</v>
      </c>
      <c r="M11" s="645"/>
      <c r="N11" s="645"/>
      <c r="O11" s="645"/>
      <c r="P11" s="645"/>
      <c r="Q11" s="645"/>
      <c r="R11" s="32">
        <f t="shared" ref="R11:W11" si="9">MEDIAN(R5:R9)</f>
        <v>47873.166000000005</v>
      </c>
      <c r="S11" s="32">
        <f t="shared" si="9"/>
        <v>5514</v>
      </c>
      <c r="T11" s="32">
        <f t="shared" si="9"/>
        <v>7409.2</v>
      </c>
      <c r="U11" s="32">
        <f t="shared" si="9"/>
        <v>46420.366000000002</v>
      </c>
      <c r="V11" s="32">
        <f t="shared" si="9"/>
        <v>8880</v>
      </c>
      <c r="W11" s="32">
        <f t="shared" si="9"/>
        <v>4472</v>
      </c>
      <c r="X11" s="647"/>
      <c r="Y11" s="51">
        <f>MEDIAN(Y5:Y9)</f>
        <v>50.710843373493979</v>
      </c>
      <c r="Z11" s="51">
        <f>MEDIAN(Z5:Z9)</f>
        <v>4.6724602833834261</v>
      </c>
      <c r="AA11" s="51">
        <f>MEDIAN(AA5:AA9)</f>
        <v>20.003970588235294</v>
      </c>
      <c r="AB11" s="51">
        <f>MEDIAN(AB5:AB9)</f>
        <v>20.619769440874038</v>
      </c>
      <c r="AC11" s="51"/>
      <c r="AD11" s="32">
        <f t="shared" ref="AD11:AJ11" si="10">MEDIAN(AD5:AD9)</f>
        <v>6548</v>
      </c>
      <c r="AE11" s="32">
        <f t="shared" si="10"/>
        <v>13053.56</v>
      </c>
      <c r="AF11" s="32">
        <f t="shared" si="10"/>
        <v>2498.5</v>
      </c>
      <c r="AG11" s="51">
        <f t="shared" si="10"/>
        <v>2.979654477972594</v>
      </c>
      <c r="AH11" s="51">
        <f t="shared" si="10"/>
        <v>3.1485958290379239</v>
      </c>
      <c r="AI11" s="51">
        <f t="shared" si="10"/>
        <v>24.888854325030209</v>
      </c>
      <c r="AJ11" s="51">
        <f t="shared" si="10"/>
        <v>10.815428804277607</v>
      </c>
      <c r="AK11" s="33"/>
    </row>
    <row r="12" spans="12:37">
      <c r="L12" s="34" t="s">
        <v>403</v>
      </c>
      <c r="M12" s="646"/>
      <c r="N12" s="646"/>
      <c r="O12" s="646"/>
      <c r="P12" s="646"/>
      <c r="Q12" s="646"/>
      <c r="R12" s="23">
        <f t="shared" ref="R12:W12" si="11">AVERAGE(R5:R9)</f>
        <v>68348.093399999998</v>
      </c>
      <c r="S12" s="23">
        <f t="shared" si="11"/>
        <v>5541.96</v>
      </c>
      <c r="T12" s="23">
        <f t="shared" si="11"/>
        <v>5585.24</v>
      </c>
      <c r="U12" s="23">
        <f t="shared" si="11"/>
        <v>68391.373400000011</v>
      </c>
      <c r="V12" s="23">
        <f t="shared" si="11"/>
        <v>14399.34</v>
      </c>
      <c r="W12" s="23">
        <f t="shared" si="11"/>
        <v>5673.8</v>
      </c>
      <c r="X12" s="648"/>
      <c r="Y12" s="54">
        <f>(Y5*AK5)+(Y6*AK6)+(Y7*AK7)+(0*AK8)+(0*AK9)</f>
        <v>32.318511231440432</v>
      </c>
      <c r="Z12" s="54">
        <f>(Z5*AK5)+(Z6*AK6)+(Z7*AK7)+(Z8*AK8)+(Z9*AK9)</f>
        <v>7.072031933556131</v>
      </c>
      <c r="AA12" s="54">
        <f>(AA5*AK5)+(AA6*AK6)+(AA7*AK7)+(AA8*AK8)+(AA9*AK9)</f>
        <v>18.11240745924438</v>
      </c>
      <c r="AB12" s="54">
        <f>(AB5*AK5)+(AB6*AK6)+(AB7*AK7)+(AB8*AK8)+(AB9*AK9)</f>
        <v>18.17614841901484</v>
      </c>
      <c r="AC12" s="85"/>
      <c r="AD12" s="23">
        <f>AVERAGE(AD5:AD9)</f>
        <v>7548.8220000000001</v>
      </c>
      <c r="AE12" s="23">
        <f>AVERAGE(AE5:AE9)</f>
        <v>17983.18</v>
      </c>
      <c r="AF12" s="23">
        <f>AVERAGE(AF5:AF9)</f>
        <v>3051.002</v>
      </c>
      <c r="AG12" s="54">
        <f>(AG5*AK5)+(AG6*AK6)+(AG7*AK7)+(AG8*AK8)+(AG9*AK9)</f>
        <v>4.9515804681681121</v>
      </c>
      <c r="AH12" s="54">
        <f>(AH5*AK5)+(AH6*AK6)+(AH7*AK7)+(AH8*AK8)+(AH9*AK9)</f>
        <v>4.9120038160165524</v>
      </c>
      <c r="AI12" s="54">
        <f>(AI5*AK5)+(AI6*AK6)+(AI7*AK7)+(AI8*AK8)+(AI9*AK9)</f>
        <v>31.049736697470983</v>
      </c>
      <c r="AJ12" s="54">
        <f>(AJ5*AK5)+(AJ6*AK6)+(AJ7*AK7)+(AJ8*AK8)+(AJ9*AK9)</f>
        <v>11.801799021574464</v>
      </c>
      <c r="AK12" s="36"/>
    </row>
    <row r="14" spans="12:37">
      <c r="L14" s="670" t="s">
        <v>411</v>
      </c>
      <c r="M14" s="696" t="s">
        <v>412</v>
      </c>
      <c r="N14" s="670" t="s">
        <v>381</v>
      </c>
      <c r="O14" s="670" t="s">
        <v>413</v>
      </c>
      <c r="P14" s="697" t="s">
        <v>796</v>
      </c>
      <c r="Q14" s="670"/>
      <c r="R14" s="697"/>
    </row>
    <row r="15" spans="12:37">
      <c r="L15" s="699" t="s">
        <v>404</v>
      </c>
      <c r="M15" s="702">
        <f>M29</f>
        <v>38.742884923544651</v>
      </c>
      <c r="N15" s="703">
        <v>0.375</v>
      </c>
      <c r="O15" s="699" t="s">
        <v>415</v>
      </c>
      <c r="P15" s="881">
        <f>(M15*N15)+(M16*N16)+(M17*N17)</f>
        <v>38.193232265976789</v>
      </c>
      <c r="Q15" s="698"/>
      <c r="R15" s="698"/>
      <c r="AK15" s="687"/>
    </row>
    <row r="16" spans="12:37">
      <c r="L16" s="699" t="s">
        <v>414</v>
      </c>
      <c r="M16" s="702">
        <f>M50</f>
        <v>34.267207964977821</v>
      </c>
      <c r="N16" s="703">
        <v>0.25</v>
      </c>
      <c r="O16" s="699" t="s">
        <v>416</v>
      </c>
      <c r="P16" s="882"/>
      <c r="Q16" s="699"/>
      <c r="R16" s="700"/>
    </row>
    <row r="17" spans="12:18">
      <c r="L17" s="699" t="s">
        <v>417</v>
      </c>
      <c r="M17" s="702">
        <f>M62</f>
        <v>40.260929142408244</v>
      </c>
      <c r="N17" s="703">
        <v>0.375</v>
      </c>
      <c r="O17" s="699" t="s">
        <v>619</v>
      </c>
      <c r="P17" s="882"/>
      <c r="Q17" s="701"/>
      <c r="R17" s="701"/>
    </row>
    <row r="19" spans="12:18">
      <c r="L19" s="661" t="s">
        <v>404</v>
      </c>
      <c r="M19" s="661"/>
    </row>
    <row r="20" spans="12:18">
      <c r="L20" s="1" t="s">
        <v>375</v>
      </c>
      <c r="M20" s="83">
        <v>1293.54</v>
      </c>
      <c r="P20" s="12"/>
    </row>
    <row r="21" spans="12:18">
      <c r="L21" s="3" t="s">
        <v>290</v>
      </c>
      <c r="M21" s="56">
        <f>'LSPD WACC'!F44</f>
        <v>0.10097329701723003</v>
      </c>
      <c r="P21" s="592"/>
    </row>
    <row r="22" spans="12:18">
      <c r="L22" s="3" t="s">
        <v>405</v>
      </c>
      <c r="M22" s="7">
        <f>M20/((1+M21)^2)</f>
        <v>1067.1520216068564</v>
      </c>
      <c r="P22" s="12"/>
    </row>
    <row r="23" spans="12:18">
      <c r="L23" s="4" t="s">
        <v>406</v>
      </c>
      <c r="M23" s="84">
        <f>AG12</f>
        <v>4.9515804681681121</v>
      </c>
      <c r="P23" s="593"/>
    </row>
    <row r="24" spans="12:18">
      <c r="L24" s="3" t="s">
        <v>312</v>
      </c>
      <c r="M24" s="7">
        <f>M22*M23</f>
        <v>5284.0891067546254</v>
      </c>
      <c r="P24" s="12"/>
    </row>
    <row r="25" spans="12:18">
      <c r="L25" s="3" t="s">
        <v>621</v>
      </c>
      <c r="M25" s="7">
        <v>19.16</v>
      </c>
      <c r="P25" s="12"/>
    </row>
    <row r="26" spans="12:18">
      <c r="L26" s="4" t="s">
        <v>620</v>
      </c>
      <c r="M26" s="6">
        <v>661.57</v>
      </c>
      <c r="P26" s="78"/>
    </row>
    <row r="27" spans="12:18">
      <c r="L27" s="3" t="s">
        <v>407</v>
      </c>
      <c r="M27" s="7">
        <f>M24-M25+M26</f>
        <v>5926.4991067546252</v>
      </c>
    </row>
    <row r="28" spans="12:18">
      <c r="L28" s="3" t="s">
        <v>318</v>
      </c>
      <c r="M28" s="7">
        <v>152.97</v>
      </c>
    </row>
    <row r="29" spans="12:18">
      <c r="L29" s="560" t="s">
        <v>408</v>
      </c>
      <c r="M29" s="561">
        <f>M27/M28</f>
        <v>38.742884923544651</v>
      </c>
    </row>
    <row r="31" spans="12:18">
      <c r="L31" s="886" t="s">
        <v>409</v>
      </c>
      <c r="M31" s="886"/>
    </row>
    <row r="32" spans="12:18">
      <c r="L32" s="1" t="s">
        <v>376</v>
      </c>
      <c r="M32" s="83">
        <v>64.17</v>
      </c>
    </row>
    <row r="33" spans="1:13">
      <c r="L33" s="3" t="s">
        <v>290</v>
      </c>
      <c r="M33" s="56">
        <f>M21</f>
        <v>0.10097329701723003</v>
      </c>
    </row>
    <row r="34" spans="1:13">
      <c r="L34" s="3" t="s">
        <v>410</v>
      </c>
      <c r="M34" s="7">
        <f>M32/((1+M33)^2)</f>
        <v>52.939333322906116</v>
      </c>
    </row>
    <row r="35" spans="1:13">
      <c r="A35" s="53"/>
      <c r="L35" s="4" t="s">
        <v>406</v>
      </c>
      <c r="M35" s="84">
        <f>AI12</f>
        <v>31.049736697470983</v>
      </c>
    </row>
    <row r="36" spans="1:13">
      <c r="L36" s="3" t="s">
        <v>312</v>
      </c>
      <c r="M36" s="7">
        <f>M34*M35</f>
        <v>1643.7523606158866</v>
      </c>
    </row>
    <row r="37" spans="1:13">
      <c r="L37" s="3" t="s">
        <v>621</v>
      </c>
      <c r="M37" s="7">
        <f>M25</f>
        <v>19.16</v>
      </c>
    </row>
    <row r="38" spans="1:13">
      <c r="L38" s="4" t="s">
        <v>620</v>
      </c>
      <c r="M38" s="6">
        <f>M26</f>
        <v>661.57</v>
      </c>
    </row>
    <row r="39" spans="1:13">
      <c r="L39" s="3" t="s">
        <v>407</v>
      </c>
      <c r="M39" s="7">
        <f>M36-M37+M38</f>
        <v>2286.1623606158864</v>
      </c>
    </row>
    <row r="40" spans="1:13">
      <c r="L40" s="3" t="s">
        <v>318</v>
      </c>
      <c r="M40" s="7">
        <f>M28</f>
        <v>152.97</v>
      </c>
    </row>
    <row r="41" spans="1:13">
      <c r="L41" s="560" t="s">
        <v>408</v>
      </c>
      <c r="M41" s="561">
        <f>M39/M40</f>
        <v>14.945168076197206</v>
      </c>
    </row>
    <row r="43" spans="1:13">
      <c r="L43" s="661" t="s">
        <v>414</v>
      </c>
      <c r="M43" s="661"/>
    </row>
    <row r="44" spans="1:13">
      <c r="I44" s="5"/>
      <c r="L44" s="1" t="s">
        <v>375</v>
      </c>
      <c r="M44" s="83">
        <f>M20</f>
        <v>1293.54</v>
      </c>
    </row>
    <row r="45" spans="1:13">
      <c r="L45" s="3" t="s">
        <v>290</v>
      </c>
      <c r="M45" s="56">
        <f>M21</f>
        <v>0.10097329701723003</v>
      </c>
    </row>
    <row r="46" spans="1:13">
      <c r="L46" s="3" t="s">
        <v>405</v>
      </c>
      <c r="M46" s="7">
        <f>M22</f>
        <v>1067.1520216068564</v>
      </c>
    </row>
    <row r="47" spans="1:13">
      <c r="L47" s="4" t="s">
        <v>406</v>
      </c>
      <c r="M47" s="84">
        <f>AH12</f>
        <v>4.9120038160165524</v>
      </c>
    </row>
    <row r="48" spans="1:13">
      <c r="L48" s="3" t="s">
        <v>407</v>
      </c>
      <c r="M48" s="7">
        <f>M46*M47</f>
        <v>5241.8548024026568</v>
      </c>
    </row>
    <row r="49" spans="12:13">
      <c r="L49" s="3" t="s">
        <v>318</v>
      </c>
      <c r="M49" s="7">
        <f>M28</f>
        <v>152.97</v>
      </c>
    </row>
    <row r="50" spans="12:13">
      <c r="L50" s="560" t="s">
        <v>408</v>
      </c>
      <c r="M50" s="562">
        <f>M48/M49</f>
        <v>34.267207964977821</v>
      </c>
    </row>
    <row r="52" spans="12:13">
      <c r="L52" s="661" t="s">
        <v>418</v>
      </c>
      <c r="M52" s="661"/>
    </row>
    <row r="53" spans="12:13">
      <c r="L53" s="1" t="s">
        <v>419</v>
      </c>
      <c r="M53" s="83">
        <v>566.57000000000005</v>
      </c>
    </row>
    <row r="54" spans="12:13">
      <c r="L54" s="3" t="s">
        <v>290</v>
      </c>
      <c r="M54" s="56">
        <f>M21</f>
        <v>0.10097329701723003</v>
      </c>
    </row>
    <row r="55" spans="12:13">
      <c r="L55" s="3" t="s">
        <v>420</v>
      </c>
      <c r="M55" s="7">
        <f>M53/((1+M54)^2)</f>
        <v>467.41215647123141</v>
      </c>
    </row>
    <row r="56" spans="12:13">
      <c r="L56" s="4" t="s">
        <v>406</v>
      </c>
      <c r="M56" s="84">
        <f>AJ12</f>
        <v>11.801799021574464</v>
      </c>
    </row>
    <row r="57" spans="12:13">
      <c r="L57" s="3" t="s">
        <v>312</v>
      </c>
      <c r="M57" s="7">
        <f>M55*M56</f>
        <v>5516.3043309141894</v>
      </c>
    </row>
    <row r="58" spans="12:13">
      <c r="L58" s="3" t="s">
        <v>621</v>
      </c>
      <c r="M58" s="7">
        <f>M25</f>
        <v>19.16</v>
      </c>
    </row>
    <row r="59" spans="12:13">
      <c r="L59" s="4" t="s">
        <v>620</v>
      </c>
      <c r="M59" s="6">
        <f>M26</f>
        <v>661.57</v>
      </c>
    </row>
    <row r="60" spans="12:13">
      <c r="L60" s="3" t="s">
        <v>407</v>
      </c>
      <c r="M60" s="7">
        <f>M57-M58+M59</f>
        <v>6158.7143309141893</v>
      </c>
    </row>
    <row r="61" spans="12:13">
      <c r="L61" s="4" t="s">
        <v>318</v>
      </c>
      <c r="M61" s="6">
        <f>M28</f>
        <v>152.97</v>
      </c>
    </row>
    <row r="62" spans="12:13">
      <c r="L62" s="560" t="s">
        <v>408</v>
      </c>
      <c r="M62" s="561">
        <f>M60/M61</f>
        <v>40.260929142408244</v>
      </c>
    </row>
    <row r="69" spans="11:12" ht="19">
      <c r="K69" s="52"/>
    </row>
    <row r="70" spans="11:12">
      <c r="L70" s="78"/>
    </row>
    <row r="71" spans="11:12">
      <c r="L71" s="78"/>
    </row>
    <row r="72" spans="11:12">
      <c r="L72" s="78"/>
    </row>
  </sheetData>
  <mergeCells count="4">
    <mergeCell ref="L3:L4"/>
    <mergeCell ref="P15:P17"/>
    <mergeCell ref="Y3:AB3"/>
    <mergeCell ref="L31:M31"/>
  </mergeCells>
  <pageMargins left="0.7" right="0.7" top="0.75" bottom="0.75" header="0.3" footer="0.3"/>
  <ignoredErrors>
    <ignoredError sqref="S11:S12 V11:V12 T11:U12 W11:W12 AE11:AE12 AF11:AF12 AD11:AD12" formulaRange="1"/>
    <ignoredError sqref="M60"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C6444-4A15-564D-8391-8F05D502ADEA}">
  <dimension ref="F7:AB46"/>
  <sheetViews>
    <sheetView showGridLines="0" topLeftCell="B7" workbookViewId="0">
      <selection activeCell="L35" sqref="L35"/>
    </sheetView>
  </sheetViews>
  <sheetFormatPr baseColWidth="10" defaultColWidth="11.5" defaultRowHeight="15"/>
  <cols>
    <col min="6" max="6" width="18.6640625" customWidth="1"/>
    <col min="8" max="8" width="2.83203125" customWidth="1"/>
    <col min="9" max="9" width="17.6640625" customWidth="1"/>
    <col min="11" max="11" width="3.1640625" customWidth="1"/>
    <col min="12" max="12" width="18.83203125" customWidth="1"/>
    <col min="19" max="19" width="33.5" customWidth="1"/>
    <col min="20" max="20" width="11.5" customWidth="1"/>
    <col min="21" max="21" width="20.6640625" customWidth="1"/>
    <col min="23" max="23" width="13.1640625" customWidth="1"/>
    <col min="26" max="26" width="13.33203125" customWidth="1"/>
  </cols>
  <sheetData>
    <row r="7" spans="6:28">
      <c r="F7" s="888"/>
      <c r="G7" s="888"/>
      <c r="I7" s="888"/>
      <c r="J7" s="888"/>
      <c r="L7" s="888"/>
      <c r="M7" s="888"/>
      <c r="S7" s="595"/>
      <c r="T7" s="596"/>
      <c r="U7" s="596"/>
    </row>
    <row r="8" spans="6:28">
      <c r="F8" s="662"/>
      <c r="G8" s="663"/>
      <c r="J8" s="12"/>
      <c r="M8" s="12"/>
      <c r="S8" s="594" t="s">
        <v>364</v>
      </c>
      <c r="T8" s="340" t="s">
        <v>746</v>
      </c>
      <c r="U8" s="340" t="s">
        <v>366</v>
      </c>
      <c r="V8" s="340" t="s">
        <v>381</v>
      </c>
      <c r="W8" s="340" t="s">
        <v>747</v>
      </c>
    </row>
    <row r="9" spans="6:28">
      <c r="F9" s="662"/>
      <c r="G9" s="664"/>
      <c r="J9" s="592"/>
      <c r="M9" s="592"/>
      <c r="S9" s="5" t="s">
        <v>741</v>
      </c>
      <c r="T9" s="5" t="s">
        <v>384</v>
      </c>
      <c r="U9" s="5" t="s">
        <v>385</v>
      </c>
      <c r="V9" s="21">
        <v>0.15</v>
      </c>
      <c r="W9" s="5" t="s">
        <v>749</v>
      </c>
    </row>
    <row r="10" spans="6:28">
      <c r="F10" s="662"/>
      <c r="G10" s="663"/>
      <c r="J10" s="12"/>
      <c r="M10" s="12"/>
      <c r="S10" s="5" t="s">
        <v>742</v>
      </c>
      <c r="T10" s="5" t="s">
        <v>748</v>
      </c>
      <c r="U10" s="5" t="s">
        <v>389</v>
      </c>
      <c r="V10" s="21">
        <v>0.3</v>
      </c>
      <c r="W10" s="5" t="s">
        <v>750</v>
      </c>
    </row>
    <row r="11" spans="6:28">
      <c r="F11" s="662"/>
      <c r="G11" s="665"/>
      <c r="J11" s="593"/>
      <c r="M11" s="593"/>
      <c r="S11" s="5" t="s">
        <v>743</v>
      </c>
      <c r="T11" s="5" t="s">
        <v>384</v>
      </c>
      <c r="U11" s="5" t="s">
        <v>385</v>
      </c>
      <c r="V11" s="21">
        <v>0.25</v>
      </c>
      <c r="W11" s="5" t="s">
        <v>751</v>
      </c>
    </row>
    <row r="12" spans="6:28">
      <c r="F12" s="662"/>
      <c r="G12" s="663"/>
      <c r="J12" s="12"/>
      <c r="M12" s="12"/>
      <c r="S12" s="5" t="s">
        <v>744</v>
      </c>
      <c r="T12" s="5" t="s">
        <v>394</v>
      </c>
      <c r="U12" s="5" t="s">
        <v>385</v>
      </c>
      <c r="V12" s="21">
        <v>0.2</v>
      </c>
      <c r="W12" s="5" t="s">
        <v>752</v>
      </c>
    </row>
    <row r="13" spans="6:28">
      <c r="F13" s="662"/>
      <c r="G13" s="663"/>
      <c r="J13" s="12"/>
      <c r="M13" s="12"/>
      <c r="S13" s="5" t="s">
        <v>745</v>
      </c>
      <c r="T13" s="5" t="s">
        <v>398</v>
      </c>
      <c r="U13" s="5" t="s">
        <v>385</v>
      </c>
      <c r="V13" s="21">
        <v>0.1</v>
      </c>
      <c r="W13" s="5" t="s">
        <v>753</v>
      </c>
    </row>
    <row r="14" spans="6:28">
      <c r="F14" s="662"/>
      <c r="G14" s="663"/>
      <c r="I14" s="9"/>
      <c r="J14" s="666"/>
      <c r="M14" s="12"/>
      <c r="S14" s="5"/>
      <c r="T14" s="5"/>
      <c r="U14" s="5"/>
    </row>
    <row r="15" spans="6:28">
      <c r="F15" s="662"/>
      <c r="G15" s="663"/>
      <c r="M15" s="12"/>
    </row>
    <row r="16" spans="6:28">
      <c r="F16" s="667"/>
      <c r="G16" s="668"/>
      <c r="L16" s="9"/>
      <c r="M16" s="669"/>
      <c r="S16" s="671" t="s">
        <v>364</v>
      </c>
      <c r="T16" s="671" t="s">
        <v>319</v>
      </c>
      <c r="U16" s="671" t="s">
        <v>318</v>
      </c>
      <c r="V16" s="671" t="s">
        <v>135</v>
      </c>
      <c r="W16" s="671" t="s">
        <v>296</v>
      </c>
      <c r="X16" s="671" t="s">
        <v>367</v>
      </c>
      <c r="Y16" s="671" t="s">
        <v>141</v>
      </c>
      <c r="Z16" s="671" t="s">
        <v>368</v>
      </c>
      <c r="AA16" s="671" t="s">
        <v>194</v>
      </c>
      <c r="AB16" s="671" t="s">
        <v>369</v>
      </c>
    </row>
    <row r="17" spans="6:28">
      <c r="S17" s="300" t="s">
        <v>741</v>
      </c>
      <c r="T17" s="319">
        <v>78.62</v>
      </c>
      <c r="U17" s="266">
        <v>989.2</v>
      </c>
      <c r="V17" s="266">
        <f>T17*U17</f>
        <v>77770.90400000001</v>
      </c>
      <c r="W17" s="266">
        <v>10822</v>
      </c>
      <c r="X17" s="266">
        <v>11857</v>
      </c>
      <c r="Y17" s="266">
        <f>V17-W17+X17</f>
        <v>78805.90400000001</v>
      </c>
      <c r="Z17" s="266">
        <v>31797</v>
      </c>
      <c r="AA17" s="266">
        <v>12890</v>
      </c>
      <c r="AB17" s="306">
        <v>3.99</v>
      </c>
    </row>
    <row r="18" spans="6:28">
      <c r="S18" s="300" t="s">
        <v>742</v>
      </c>
      <c r="T18" s="319">
        <v>129.31</v>
      </c>
      <c r="U18" s="266">
        <v>1294.8</v>
      </c>
      <c r="V18" s="266">
        <f t="shared" ref="V18:V21" si="0">T18*U18</f>
        <v>167430.58799999999</v>
      </c>
      <c r="W18" s="266">
        <v>5514</v>
      </c>
      <c r="X18" s="266">
        <v>1126</v>
      </c>
      <c r="Y18" s="266">
        <f t="shared" ref="Y18:Y21" si="1">V18-W18+X18</f>
        <v>163042.58799999999</v>
      </c>
      <c r="Z18" s="266">
        <v>8880</v>
      </c>
      <c r="AA18" s="266">
        <v>4472</v>
      </c>
      <c r="AB18" s="306">
        <v>1.55</v>
      </c>
    </row>
    <row r="19" spans="6:28">
      <c r="S19" s="300" t="s">
        <v>743</v>
      </c>
      <c r="T19" s="319">
        <v>84.18</v>
      </c>
      <c r="U19" s="266">
        <v>568.70000000000005</v>
      </c>
      <c r="V19" s="266">
        <f t="shared" si="0"/>
        <v>47873.166000000005</v>
      </c>
      <c r="W19" s="266">
        <v>8862</v>
      </c>
      <c r="X19" s="266">
        <v>7409.2</v>
      </c>
      <c r="Y19" s="266">
        <f t="shared" si="1"/>
        <v>46420.366000000002</v>
      </c>
      <c r="Z19" s="266">
        <v>23861.5</v>
      </c>
      <c r="AA19" s="266">
        <v>8674.2000000000007</v>
      </c>
      <c r="AB19" s="306">
        <v>1.66</v>
      </c>
    </row>
    <row r="20" spans="6:28">
      <c r="S20" s="300" t="s">
        <v>744</v>
      </c>
      <c r="T20" s="319">
        <v>40.49</v>
      </c>
      <c r="U20" s="266">
        <v>568</v>
      </c>
      <c r="V20" s="266">
        <f t="shared" si="0"/>
        <v>22998.32</v>
      </c>
      <c r="W20" s="266">
        <v>1272</v>
      </c>
      <c r="X20" s="266">
        <v>38</v>
      </c>
      <c r="Y20" s="266">
        <f t="shared" si="1"/>
        <v>21764.32</v>
      </c>
      <c r="Z20" s="266">
        <v>4658</v>
      </c>
      <c r="AA20" s="266">
        <v>1088</v>
      </c>
      <c r="AB20" s="306">
        <v>-0.09</v>
      </c>
    </row>
    <row r="21" spans="6:28">
      <c r="S21" s="300" t="s">
        <v>745</v>
      </c>
      <c r="T21" s="319">
        <v>80.69</v>
      </c>
      <c r="U21" s="266">
        <v>318.10000000000002</v>
      </c>
      <c r="V21" s="266">
        <f t="shared" si="0"/>
        <v>25667.489000000001</v>
      </c>
      <c r="W21" s="266">
        <v>1239.8</v>
      </c>
      <c r="X21" s="266">
        <v>7496</v>
      </c>
      <c r="Y21" s="266">
        <f t="shared" si="1"/>
        <v>31923.689000000002</v>
      </c>
      <c r="Z21" s="266">
        <v>2800.2</v>
      </c>
      <c r="AA21" s="266">
        <v>1244.8</v>
      </c>
      <c r="AB21" s="306">
        <v>-0.63</v>
      </c>
    </row>
    <row r="22" spans="6:28">
      <c r="F22" s="890" t="s">
        <v>404</v>
      </c>
      <c r="G22" s="890"/>
      <c r="H22" s="705"/>
      <c r="I22" s="890" t="s">
        <v>414</v>
      </c>
      <c r="J22" s="890"/>
      <c r="K22" s="705"/>
      <c r="L22" s="890" t="s">
        <v>418</v>
      </c>
      <c r="M22" s="890"/>
    </row>
    <row r="23" spans="6:28">
      <c r="F23" s="706" t="s">
        <v>375</v>
      </c>
      <c r="G23" s="707">
        <v>1293.54</v>
      </c>
      <c r="H23" s="705"/>
      <c r="I23" s="706" t="s">
        <v>375</v>
      </c>
      <c r="J23" s="707">
        <v>1293.54</v>
      </c>
      <c r="K23" s="705"/>
      <c r="L23" s="706" t="s">
        <v>419</v>
      </c>
      <c r="M23" s="707">
        <v>566.57000000000005</v>
      </c>
    </row>
    <row r="24" spans="6:28">
      <c r="F24" s="708" t="s">
        <v>290</v>
      </c>
      <c r="G24" s="709">
        <v>0.10097329701723003</v>
      </c>
      <c r="H24" s="705"/>
      <c r="I24" s="708" t="s">
        <v>290</v>
      </c>
      <c r="J24" s="709">
        <v>0.10097329701723003</v>
      </c>
      <c r="K24" s="705"/>
      <c r="L24" s="708" t="s">
        <v>290</v>
      </c>
      <c r="M24" s="709">
        <v>0.10097329701723003</v>
      </c>
    </row>
    <row r="25" spans="6:28">
      <c r="F25" s="708" t="s">
        <v>405</v>
      </c>
      <c r="G25" s="710">
        <v>1067.1520216068564</v>
      </c>
      <c r="H25" s="705"/>
      <c r="I25" s="708" t="s">
        <v>405</v>
      </c>
      <c r="J25" s="710">
        <v>1067.1520216068564</v>
      </c>
      <c r="K25" s="705"/>
      <c r="L25" s="708" t="s">
        <v>420</v>
      </c>
      <c r="M25" s="710">
        <v>467.41215647123141</v>
      </c>
    </row>
    <row r="26" spans="6:28">
      <c r="F26" s="711" t="s">
        <v>406</v>
      </c>
      <c r="G26" s="712">
        <v>4.9515804681681121</v>
      </c>
      <c r="H26" s="705"/>
      <c r="I26" s="711" t="s">
        <v>406</v>
      </c>
      <c r="J26" s="712">
        <v>4.9120038160165524</v>
      </c>
      <c r="K26" s="705"/>
      <c r="L26" s="711" t="s">
        <v>406</v>
      </c>
      <c r="M26" s="712">
        <v>11.801799021574464</v>
      </c>
    </row>
    <row r="27" spans="6:28">
      <c r="F27" s="708" t="s">
        <v>312</v>
      </c>
      <c r="G27" s="710">
        <v>5284.0891067546254</v>
      </c>
      <c r="H27" s="705"/>
      <c r="I27" s="708" t="s">
        <v>407</v>
      </c>
      <c r="J27" s="710">
        <v>5241.8548024026568</v>
      </c>
      <c r="K27" s="705"/>
      <c r="L27" s="708" t="s">
        <v>312</v>
      </c>
      <c r="M27" s="710">
        <v>5516.3043309141894</v>
      </c>
    </row>
    <row r="28" spans="6:28">
      <c r="F28" s="708" t="s">
        <v>621</v>
      </c>
      <c r="G28" s="710">
        <v>19.16</v>
      </c>
      <c r="H28" s="705"/>
      <c r="I28" s="708" t="s">
        <v>318</v>
      </c>
      <c r="J28" s="710">
        <v>152.97</v>
      </c>
      <c r="K28" s="705"/>
      <c r="L28" s="708" t="s">
        <v>621</v>
      </c>
      <c r="M28" s="710">
        <v>19.16</v>
      </c>
      <c r="S28" s="649"/>
      <c r="T28" s="889" t="s">
        <v>362</v>
      </c>
      <c r="U28" s="889"/>
      <c r="V28" s="889"/>
      <c r="W28" s="889"/>
      <c r="X28" s="889"/>
      <c r="Y28" s="889"/>
      <c r="Z28" s="889"/>
      <c r="AA28" s="638"/>
    </row>
    <row r="29" spans="6:28">
      <c r="F29" s="711" t="s">
        <v>620</v>
      </c>
      <c r="G29" s="713">
        <v>661.57</v>
      </c>
      <c r="H29" s="705"/>
      <c r="I29" s="714" t="s">
        <v>408</v>
      </c>
      <c r="J29" s="715">
        <v>34.267207964977821</v>
      </c>
      <c r="K29" s="705"/>
      <c r="L29" s="711" t="s">
        <v>620</v>
      </c>
      <c r="M29" s="713">
        <v>661.57</v>
      </c>
      <c r="S29" s="637" t="s">
        <v>364</v>
      </c>
      <c r="T29" s="643" t="s">
        <v>374</v>
      </c>
      <c r="U29" s="644" t="s">
        <v>375</v>
      </c>
      <c r="V29" s="643" t="s">
        <v>376</v>
      </c>
      <c r="W29" s="643" t="s">
        <v>377</v>
      </c>
      <c r="X29" s="643" t="s">
        <v>378</v>
      </c>
      <c r="Y29" s="643" t="s">
        <v>379</v>
      </c>
      <c r="Z29" s="643" t="s">
        <v>380</v>
      </c>
      <c r="AA29" s="643" t="s">
        <v>381</v>
      </c>
    </row>
    <row r="30" spans="6:28">
      <c r="F30" s="708" t="s">
        <v>407</v>
      </c>
      <c r="G30" s="710">
        <v>5926.4991067546252</v>
      </c>
      <c r="H30" s="705"/>
      <c r="I30" s="716"/>
      <c r="J30" s="717"/>
      <c r="K30" s="705"/>
      <c r="L30" s="708" t="s">
        <v>407</v>
      </c>
      <c r="M30" s="710">
        <v>6158.7143309141893</v>
      </c>
      <c r="S30" s="5" t="s">
        <v>741</v>
      </c>
      <c r="T30" s="22">
        <v>15823.87</v>
      </c>
      <c r="U30" s="22">
        <v>35621</v>
      </c>
      <c r="V30" s="22">
        <v>7405.11</v>
      </c>
      <c r="W30" s="50">
        <v>2.2123439544089165</v>
      </c>
      <c r="X30" s="50">
        <v>2.1832880604138012</v>
      </c>
      <c r="Y30" s="50">
        <v>10.6420976865975</v>
      </c>
      <c r="Z30" s="50">
        <v>4.9801915713412717</v>
      </c>
      <c r="AA30" s="21">
        <v>0.15</v>
      </c>
    </row>
    <row r="31" spans="6:28">
      <c r="F31" s="708" t="s">
        <v>318</v>
      </c>
      <c r="G31" s="710">
        <v>152.97</v>
      </c>
      <c r="H31" s="705"/>
      <c r="I31" s="705"/>
      <c r="J31" s="705"/>
      <c r="K31" s="705"/>
      <c r="L31" s="711" t="s">
        <v>318</v>
      </c>
      <c r="M31" s="713">
        <v>152.97</v>
      </c>
      <c r="S31" s="5" t="s">
        <v>742</v>
      </c>
      <c r="T31" s="22">
        <v>6548</v>
      </c>
      <c r="U31" s="22">
        <v>13053.56</v>
      </c>
      <c r="V31" s="22">
        <v>2498.5</v>
      </c>
      <c r="W31" s="50">
        <v>12.490277594771081</v>
      </c>
      <c r="X31" s="50">
        <v>12.826431103852128</v>
      </c>
      <c r="Y31" s="50">
        <v>65.256188913347998</v>
      </c>
      <c r="Z31" s="50">
        <v>24.899601099572386</v>
      </c>
      <c r="AA31" s="21">
        <v>0.2</v>
      </c>
    </row>
    <row r="32" spans="6:28">
      <c r="F32" s="714" t="s">
        <v>408</v>
      </c>
      <c r="G32" s="718">
        <v>38.742884923544651</v>
      </c>
      <c r="H32" s="705"/>
      <c r="I32" s="705"/>
      <c r="J32" s="705"/>
      <c r="K32" s="705"/>
      <c r="L32" s="714" t="s">
        <v>408</v>
      </c>
      <c r="M32" s="718">
        <v>40.260929142408244</v>
      </c>
      <c r="S32" s="5" t="s">
        <v>743</v>
      </c>
      <c r="T32" s="22">
        <v>11616.59</v>
      </c>
      <c r="U32" s="22">
        <v>30149.48</v>
      </c>
      <c r="V32" s="22">
        <v>3449.82</v>
      </c>
      <c r="W32" s="50">
        <v>1.5396738517546573</v>
      </c>
      <c r="X32" s="50">
        <v>1.5878604208099114</v>
      </c>
      <c r="Y32" s="50">
        <v>13.455880596668811</v>
      </c>
      <c r="Z32" s="50">
        <v>3.9960406625352189</v>
      </c>
      <c r="AA32" s="21">
        <v>0.25</v>
      </c>
    </row>
    <row r="33" spans="6:27">
      <c r="F33" s="9"/>
      <c r="G33" s="669"/>
      <c r="L33" s="9"/>
      <c r="M33" s="669"/>
      <c r="S33" s="5" t="s">
        <v>744</v>
      </c>
      <c r="T33" s="22">
        <v>2012.34</v>
      </c>
      <c r="U33" s="22">
        <v>7304.31</v>
      </c>
      <c r="V33" s="22">
        <v>618.92999999999995</v>
      </c>
      <c r="W33" s="50">
        <v>2.979654477972594</v>
      </c>
      <c r="X33" s="50">
        <v>3.1485958290379239</v>
      </c>
      <c r="Y33" s="50">
        <v>35.164428933805119</v>
      </c>
      <c r="Z33" s="50">
        <v>10.815428804277607</v>
      </c>
      <c r="AA33" s="21">
        <v>0.3</v>
      </c>
    </row>
    <row r="34" spans="6:27">
      <c r="S34" s="5" t="s">
        <v>745</v>
      </c>
      <c r="T34" s="22">
        <v>1743.31</v>
      </c>
      <c r="U34" s="22">
        <v>3787.55</v>
      </c>
      <c r="V34" s="22">
        <v>1282.6500000000001</v>
      </c>
      <c r="W34" s="50">
        <v>8.4285854972211585</v>
      </c>
      <c r="X34" s="50">
        <v>6.7768053227020104</v>
      </c>
      <c r="Y34" s="50">
        <v>24.888854325030209</v>
      </c>
      <c r="Z34" s="50">
        <v>18.312112590417083</v>
      </c>
      <c r="AA34" s="21">
        <v>0.1</v>
      </c>
    </row>
    <row r="35" spans="6:27">
      <c r="S35" s="22" t="s">
        <v>756</v>
      </c>
      <c r="T35" s="22">
        <v>566.57000000000005</v>
      </c>
      <c r="U35" s="22">
        <v>1293.54</v>
      </c>
      <c r="V35" s="22">
        <v>64.17</v>
      </c>
      <c r="W35" s="50">
        <v>1.25636129460476</v>
      </c>
      <c r="X35" s="50">
        <v>1.7596957868453491</v>
      </c>
      <c r="Y35" s="50">
        <v>24.777942964001866</v>
      </c>
      <c r="Z35" s="50">
        <v>2.7919139880105774</v>
      </c>
      <c r="AA35" s="695"/>
    </row>
    <row r="36" spans="6:27">
      <c r="F36" s="887"/>
      <c r="G36" s="887"/>
      <c r="S36" s="1" t="s">
        <v>757</v>
      </c>
      <c r="T36" s="32">
        <v>6548</v>
      </c>
      <c r="U36" s="32">
        <v>13053.56</v>
      </c>
      <c r="V36" s="32">
        <v>2498.5</v>
      </c>
      <c r="W36" s="51">
        <v>2.979654477972594</v>
      </c>
      <c r="X36" s="51">
        <v>3.1485958290379239</v>
      </c>
      <c r="Y36" s="51">
        <v>24.888854325030209</v>
      </c>
      <c r="Z36" s="51">
        <v>10.815428804277607</v>
      </c>
      <c r="AA36" s="33"/>
    </row>
    <row r="37" spans="6:27">
      <c r="G37" s="12"/>
      <c r="S37" s="4" t="s">
        <v>758</v>
      </c>
      <c r="T37" s="23">
        <v>7548.8220000000001</v>
      </c>
      <c r="U37" s="23">
        <v>17983.18</v>
      </c>
      <c r="V37" s="23">
        <v>3051.002</v>
      </c>
      <c r="W37" s="85">
        <v>5.9026427798479606</v>
      </c>
      <c r="X37" s="85">
        <v>5.8797873434979717</v>
      </c>
      <c r="Y37" s="85">
        <v>34.058912695425271</v>
      </c>
      <c r="Z37" s="85">
        <v>13.210216251103942</v>
      </c>
      <c r="AA37" s="36"/>
    </row>
    <row r="38" spans="6:27">
      <c r="G38" s="592"/>
    </row>
    <row r="39" spans="6:27">
      <c r="G39" s="12"/>
    </row>
    <row r="40" spans="6:27">
      <c r="G40" s="593"/>
    </row>
    <row r="41" spans="6:27">
      <c r="G41" s="12"/>
    </row>
    <row r="42" spans="6:27">
      <c r="G42" s="12"/>
    </row>
    <row r="43" spans="6:27">
      <c r="G43" s="12"/>
    </row>
    <row r="44" spans="6:27">
      <c r="G44" s="12"/>
    </row>
    <row r="45" spans="6:27">
      <c r="G45" s="12"/>
    </row>
    <row r="46" spans="6:27">
      <c r="F46" s="9"/>
      <c r="G46" s="669"/>
    </row>
  </sheetData>
  <mergeCells count="8">
    <mergeCell ref="F36:G36"/>
    <mergeCell ref="F7:G7"/>
    <mergeCell ref="I7:J7"/>
    <mergeCell ref="L7:M7"/>
    <mergeCell ref="T28:Z28"/>
    <mergeCell ref="F22:G22"/>
    <mergeCell ref="I22:J22"/>
    <mergeCell ref="L22:M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27661-E9EF-3F41-88B1-EF18F3D39D11}">
  <dimension ref="A1:P26"/>
  <sheetViews>
    <sheetView showGridLines="0" zoomScaleNormal="100" workbookViewId="0">
      <selection activeCell="E7" sqref="E7"/>
    </sheetView>
  </sheetViews>
  <sheetFormatPr baseColWidth="10" defaultColWidth="11.5" defaultRowHeight="15"/>
  <cols>
    <col min="1" max="1" width="27.6640625" customWidth="1"/>
    <col min="2" max="2" width="8" bestFit="1" customWidth="1"/>
    <col min="3" max="16" width="8.5" bestFit="1" customWidth="1"/>
  </cols>
  <sheetData>
    <row r="1" spans="1:16" ht="17" thickBot="1">
      <c r="A1" s="655" t="s">
        <v>439</v>
      </c>
      <c r="B1" s="656"/>
      <c r="C1" s="656"/>
      <c r="D1" s="656"/>
      <c r="E1" s="656"/>
      <c r="F1" s="656"/>
      <c r="G1" s="737"/>
      <c r="H1" s="737"/>
      <c r="I1" s="737"/>
      <c r="J1" s="737"/>
      <c r="K1" s="738"/>
      <c r="L1" s="737"/>
      <c r="M1" s="737"/>
      <c r="N1" s="737"/>
      <c r="O1" s="737"/>
      <c r="P1" s="738"/>
    </row>
    <row r="2" spans="1:16">
      <c r="A2" s="224"/>
      <c r="B2" s="225" t="s">
        <v>175</v>
      </c>
      <c r="C2" s="225" t="s">
        <v>175</v>
      </c>
      <c r="D2" s="225" t="s">
        <v>175</v>
      </c>
      <c r="E2" s="225" t="s">
        <v>175</v>
      </c>
      <c r="F2" s="225" t="s">
        <v>175</v>
      </c>
      <c r="G2" s="891" t="s">
        <v>440</v>
      </c>
      <c r="H2" s="891"/>
      <c r="I2" s="891"/>
      <c r="J2" s="891"/>
      <c r="K2" s="891"/>
      <c r="L2" s="892" t="s">
        <v>440</v>
      </c>
      <c r="M2" s="891"/>
      <c r="N2" s="891"/>
      <c r="O2" s="891"/>
      <c r="P2" s="893"/>
    </row>
    <row r="3" spans="1:16">
      <c r="A3" s="226" t="s">
        <v>431</v>
      </c>
      <c r="B3" s="227" t="s">
        <v>441</v>
      </c>
      <c r="C3" s="227" t="s">
        <v>442</v>
      </c>
      <c r="D3" s="227" t="s">
        <v>443</v>
      </c>
      <c r="E3" s="227" t="s">
        <v>444</v>
      </c>
      <c r="F3" s="227" t="s">
        <v>445</v>
      </c>
      <c r="G3" s="227" t="s">
        <v>446</v>
      </c>
      <c r="H3" s="227" t="s">
        <v>447</v>
      </c>
      <c r="I3" s="227" t="s">
        <v>448</v>
      </c>
      <c r="J3" s="227" t="s">
        <v>449</v>
      </c>
      <c r="K3" s="227" t="s">
        <v>450</v>
      </c>
      <c r="L3" s="742" t="s">
        <v>451</v>
      </c>
      <c r="M3" s="227" t="s">
        <v>452</v>
      </c>
      <c r="N3" s="227" t="s">
        <v>453</v>
      </c>
      <c r="O3" s="227" t="s">
        <v>454</v>
      </c>
      <c r="P3" s="739" t="s">
        <v>455</v>
      </c>
    </row>
    <row r="4" spans="1:16">
      <c r="A4" s="224"/>
      <c r="B4" s="228"/>
      <c r="C4" s="228"/>
      <c r="D4" s="228"/>
      <c r="E4" s="228"/>
      <c r="F4" s="228"/>
      <c r="G4" s="228"/>
      <c r="H4" s="228"/>
      <c r="I4" s="228"/>
      <c r="J4" s="228"/>
      <c r="K4" s="228"/>
      <c r="L4" s="743"/>
      <c r="M4" s="228"/>
      <c r="N4" s="228"/>
      <c r="O4" s="228"/>
      <c r="P4" s="740"/>
    </row>
    <row r="5" spans="1:16">
      <c r="A5" s="229" t="s">
        <v>456</v>
      </c>
      <c r="B5" s="230"/>
      <c r="C5" s="230"/>
      <c r="D5" s="230"/>
      <c r="E5" s="230"/>
      <c r="F5" s="230"/>
      <c r="G5" s="230"/>
      <c r="H5" s="230"/>
      <c r="I5" s="230"/>
      <c r="J5" s="230"/>
      <c r="K5" s="230"/>
      <c r="L5" s="744"/>
      <c r="M5" s="230"/>
      <c r="N5" s="230"/>
      <c r="O5" s="230"/>
      <c r="P5" s="741"/>
    </row>
    <row r="6" spans="1:16" ht="30">
      <c r="A6" s="224" t="s">
        <v>457</v>
      </c>
      <c r="B6" s="745">
        <v>10.879</v>
      </c>
      <c r="C6" s="745">
        <v>22.462</v>
      </c>
      <c r="D6" s="745">
        <v>44.033000000000001</v>
      </c>
      <c r="E6" s="745">
        <v>64.171999999999997</v>
      </c>
      <c r="F6" s="745">
        <v>74.584999999999994</v>
      </c>
      <c r="G6" s="746">
        <f>('LSPD DCF'!U$14*G18)/$B$16</f>
        <v>88.041722672602745</v>
      </c>
      <c r="H6" s="746">
        <f>('LSPD DCF'!V14*H18)/$B$16</f>
        <v>102.74786187241233</v>
      </c>
      <c r="I6" s="746">
        <f>('LSPD DCF'!W14*I18)/$B$16</f>
        <v>112.93517976312047</v>
      </c>
      <c r="J6" s="746">
        <f>('LSPD DCF'!X14*J18)/$B$16</f>
        <v>129.38878657489749</v>
      </c>
      <c r="K6" s="747">
        <f>('LSPD DCF'!Y14*K18)/$B$16</f>
        <v>138.09353349466679</v>
      </c>
      <c r="L6" s="748">
        <f>('LSPD DCF'!Z14*L18)/$B$16</f>
        <v>153.81732536986073</v>
      </c>
      <c r="M6" s="746">
        <f>('LSPD DCF'!AA14*M18)/$B$16</f>
        <v>169.33331944980381</v>
      </c>
      <c r="N6" s="746">
        <f>('LSPD DCF'!AB14*N18)/$B$16</f>
        <v>184.34802177847516</v>
      </c>
      <c r="O6" s="746">
        <f>('LSPD DCF'!AC14*O18)/$B$16</f>
        <v>201.84704025380444</v>
      </c>
      <c r="P6" s="749">
        <f>('LSPD DCF'!AD14*P18)/$B$16</f>
        <v>217.71556615965522</v>
      </c>
    </row>
    <row r="7" spans="1:16" ht="30">
      <c r="A7" s="224" t="s">
        <v>458</v>
      </c>
      <c r="B7" s="750">
        <v>6.0359999999999996</v>
      </c>
      <c r="C7" s="750">
        <v>10.504</v>
      </c>
      <c r="D7" s="750">
        <v>19.614999999999998</v>
      </c>
      <c r="E7" s="750">
        <v>21.806000000000001</v>
      </c>
      <c r="F7" s="750">
        <v>19.207999999999998</v>
      </c>
      <c r="G7" s="746">
        <f>'LSPD DCF'!U14*G19</f>
        <v>21.786595780000003</v>
      </c>
      <c r="H7" s="746">
        <f>'LSPD DCF'!V14*H19</f>
        <v>24.570911106385498</v>
      </c>
      <c r="I7" s="746">
        <f>'LSPD DCF'!W14*I19</f>
        <v>27.480893742359314</v>
      </c>
      <c r="J7" s="746">
        <f>'LSPD DCF'!X14*J19</f>
        <v>30.296506441405249</v>
      </c>
      <c r="K7" s="746">
        <f>'LSPD DCF'!Y14*K19</f>
        <v>32.916989208524654</v>
      </c>
      <c r="L7" s="751">
        <f>'LSPD DCF'!Z14*L19</f>
        <v>35.089577349999473</v>
      </c>
      <c r="M7" s="752">
        <f>'LSPD DCF'!AA14*M19</f>
        <v>36.820989888872234</v>
      </c>
      <c r="N7" s="752">
        <f>'LSPD DCF'!AB14*N19</f>
        <v>38.031798406037588</v>
      </c>
      <c r="O7" s="752">
        <f>'LSPD DCF'!AC14*O19</f>
        <v>38.438697230941891</v>
      </c>
      <c r="P7" s="753">
        <f>'LSPD DCF'!AD14*P19</f>
        <v>41.460616512143041</v>
      </c>
    </row>
    <row r="8" spans="1:16">
      <c r="A8" s="231" t="s">
        <v>231</v>
      </c>
      <c r="B8" s="754">
        <f t="shared" ref="B8:P8" si="0">SUM(B6:B7)</f>
        <v>16.914999999999999</v>
      </c>
      <c r="C8" s="754">
        <f t="shared" si="0"/>
        <v>32.966000000000001</v>
      </c>
      <c r="D8" s="754">
        <f t="shared" si="0"/>
        <v>63.647999999999996</v>
      </c>
      <c r="E8" s="754">
        <f t="shared" si="0"/>
        <v>85.977999999999994</v>
      </c>
      <c r="F8" s="754">
        <f t="shared" si="0"/>
        <v>93.792999999999992</v>
      </c>
      <c r="G8" s="754">
        <f t="shared" si="0"/>
        <v>109.82831845260274</v>
      </c>
      <c r="H8" s="754">
        <f t="shared" si="0"/>
        <v>127.31877297879782</v>
      </c>
      <c r="I8" s="754">
        <f t="shared" si="0"/>
        <v>140.4160735054798</v>
      </c>
      <c r="J8" s="754">
        <f t="shared" si="0"/>
        <v>159.68529301630275</v>
      </c>
      <c r="K8" s="754">
        <f t="shared" si="0"/>
        <v>171.01052270319144</v>
      </c>
      <c r="L8" s="755">
        <f t="shared" si="0"/>
        <v>188.9069027198602</v>
      </c>
      <c r="M8" s="756">
        <f t="shared" si="0"/>
        <v>206.15430933867606</v>
      </c>
      <c r="N8" s="756">
        <f t="shared" si="0"/>
        <v>222.37982018451274</v>
      </c>
      <c r="O8" s="756">
        <f t="shared" si="0"/>
        <v>240.28573748474633</v>
      </c>
      <c r="P8" s="757">
        <f t="shared" si="0"/>
        <v>259.17618267179824</v>
      </c>
    </row>
    <row r="9" spans="1:16">
      <c r="A9" s="233"/>
      <c r="B9" s="756"/>
      <c r="C9" s="756"/>
      <c r="D9" s="756"/>
      <c r="E9" s="756"/>
      <c r="F9" s="756"/>
      <c r="G9" s="756"/>
      <c r="H9" s="756"/>
      <c r="I9" s="756"/>
      <c r="J9" s="756"/>
      <c r="K9" s="756"/>
      <c r="L9" s="755"/>
      <c r="M9" s="756"/>
      <c r="N9" s="756"/>
      <c r="O9" s="756"/>
      <c r="P9" s="757"/>
    </row>
    <row r="10" spans="1:16">
      <c r="A10" s="224"/>
      <c r="B10" s="758"/>
      <c r="C10" s="758"/>
      <c r="D10" s="758"/>
      <c r="E10" s="758"/>
      <c r="F10" s="758"/>
      <c r="G10" s="746"/>
      <c r="H10" s="746"/>
      <c r="I10" s="746"/>
      <c r="J10" s="746"/>
      <c r="K10" s="746"/>
      <c r="L10" s="748"/>
      <c r="M10" s="746"/>
      <c r="N10" s="746"/>
      <c r="O10" s="746"/>
      <c r="P10" s="749"/>
    </row>
    <row r="11" spans="1:16">
      <c r="A11" s="229" t="s">
        <v>459</v>
      </c>
      <c r="B11" s="759"/>
      <c r="C11" s="759"/>
      <c r="D11" s="759"/>
      <c r="E11" s="759"/>
      <c r="F11" s="759"/>
      <c r="G11" s="752"/>
      <c r="H11" s="752"/>
      <c r="I11" s="752"/>
      <c r="J11" s="752"/>
      <c r="K11" s="752"/>
      <c r="L11" s="751"/>
      <c r="M11" s="752"/>
      <c r="N11" s="752"/>
      <c r="O11" s="752"/>
      <c r="P11" s="753"/>
    </row>
    <row r="12" spans="1:16">
      <c r="A12" s="224" t="s">
        <v>460</v>
      </c>
      <c r="B12" s="750">
        <v>30.81</v>
      </c>
      <c r="C12" s="750">
        <v>65.052000000000007</v>
      </c>
      <c r="D12" s="750">
        <v>78.307000000000002</v>
      </c>
      <c r="E12" s="750">
        <v>68.826999999999998</v>
      </c>
      <c r="F12" s="750">
        <v>68.679000000000002</v>
      </c>
      <c r="G12" s="746">
        <f>('LSPD DCF'!U$14*G21)/$B$16</f>
        <v>74.611629383561649</v>
      </c>
      <c r="H12" s="746">
        <f>('LSPD DCF'!V$14*H21)/$B$16</f>
        <v>90.347257853328088</v>
      </c>
      <c r="I12" s="746">
        <f>('LSPD DCF'!W$14*I21)/$B$16</f>
        <v>108.75239532744934</v>
      </c>
      <c r="J12" s="746">
        <f>('LSPD DCF'!X$14*J21)/$B$16</f>
        <v>126.9474887149938</v>
      </c>
      <c r="K12" s="746">
        <f>('LSPD DCF'!Y$14*K21)/$B$16</f>
        <v>146.54823962699331</v>
      </c>
      <c r="L12" s="748">
        <f>('LSPD DCF'!Z$14*L21)/$B$16</f>
        <v>166.63543581734911</v>
      </c>
      <c r="M12" s="746">
        <f>('LSPD DCF'!AA$14*M21)/$B$16</f>
        <v>187.34750236999571</v>
      </c>
      <c r="N12" s="746">
        <f>('LSPD DCF'!AB$14*N21)/$B$16</f>
        <v>208.39341592349365</v>
      </c>
      <c r="O12" s="746">
        <f>('LSPD DCF'!AC$14*O21)/$B$16</f>
        <v>228.17491506951808</v>
      </c>
      <c r="P12" s="749">
        <f>('LSPD DCF'!AD$14*P21)/$B$16</f>
        <v>246.11324870221895</v>
      </c>
    </row>
    <row r="13" spans="1:16">
      <c r="A13" s="232" t="s">
        <v>461</v>
      </c>
      <c r="B13" s="750">
        <v>36.622</v>
      </c>
      <c r="C13" s="750">
        <v>43.116</v>
      </c>
      <c r="D13" s="750">
        <v>65.194000000000003</v>
      </c>
      <c r="E13" s="750">
        <v>68.093999999999994</v>
      </c>
      <c r="F13" s="750">
        <v>67.335999999999999</v>
      </c>
      <c r="G13" s="760">
        <f>('LSPD DCF'!U$14*G22)/$B$16</f>
        <v>0.44766977630136989</v>
      </c>
      <c r="H13" s="760">
        <f>('LSPD DCF'!V$14*H22)/$B$16</f>
        <v>0.49602416076336991</v>
      </c>
      <c r="I13" s="760">
        <f>('LSPD DCF'!W$14*I22)/$B$16</f>
        <v>0.50193413228053541</v>
      </c>
      <c r="J13" s="760">
        <f>('LSPD DCF'!X$14*J22)/$B$16</f>
        <v>0.48825957198074532</v>
      </c>
      <c r="K13" s="761">
        <f>('LSPD DCF'!Y$14*K22)/$B$16</f>
        <v>0.43964471888097995</v>
      </c>
      <c r="L13" s="789">
        <f>('LSPD DCF'!Z$14*L22)/$B$16</f>
        <v>0.48067914178081472</v>
      </c>
      <c r="M13" s="761">
        <f>('LSPD DCF'!AA$14*M22)/$B$16</f>
        <v>0.51880846810152659</v>
      </c>
      <c r="N13" s="761">
        <f>('LSPD DCF'!AB$14*N22)/$B$16</f>
        <v>0.4809078829003699</v>
      </c>
      <c r="O13" s="761">
        <f>('LSPD DCF'!AC$14*O22)/$B$16</f>
        <v>0.5265574963142724</v>
      </c>
      <c r="P13" s="790">
        <f>('LSPD DCF'!AD$14*P22)/$B$16</f>
        <v>0.56795365085127447</v>
      </c>
    </row>
    <row r="14" spans="1:16">
      <c r="A14" s="231" t="s">
        <v>242</v>
      </c>
      <c r="B14" s="754">
        <f t="shared" ref="B14:P14" si="1">SUM(B12:B13)</f>
        <v>67.432000000000002</v>
      </c>
      <c r="C14" s="754">
        <f t="shared" si="1"/>
        <v>108.16800000000001</v>
      </c>
      <c r="D14" s="754">
        <f t="shared" si="1"/>
        <v>143.501</v>
      </c>
      <c r="E14" s="754">
        <f t="shared" si="1"/>
        <v>136.92099999999999</v>
      </c>
      <c r="F14" s="754">
        <f t="shared" si="1"/>
        <v>136.01499999999999</v>
      </c>
      <c r="G14" s="754">
        <f t="shared" si="1"/>
        <v>75.059299159863016</v>
      </c>
      <c r="H14" s="754">
        <f t="shared" si="1"/>
        <v>90.843282014091457</v>
      </c>
      <c r="I14" s="754">
        <f t="shared" si="1"/>
        <v>109.25432945972987</v>
      </c>
      <c r="J14" s="754">
        <f t="shared" si="1"/>
        <v>127.43574828697454</v>
      </c>
      <c r="K14" s="756">
        <f t="shared" si="1"/>
        <v>146.98788434587428</v>
      </c>
      <c r="L14" s="755">
        <f t="shared" si="1"/>
        <v>167.11611495912993</v>
      </c>
      <c r="M14" s="756">
        <f t="shared" si="1"/>
        <v>187.86631083809723</v>
      </c>
      <c r="N14" s="756">
        <f t="shared" si="1"/>
        <v>208.87432380639402</v>
      </c>
      <c r="O14" s="756">
        <f t="shared" si="1"/>
        <v>228.70147256583235</v>
      </c>
      <c r="P14" s="757">
        <f t="shared" si="1"/>
        <v>246.68120235307023</v>
      </c>
    </row>
    <row r="15" spans="1:16">
      <c r="A15" s="224"/>
      <c r="B15" s="762"/>
      <c r="C15" s="762"/>
      <c r="D15" s="762"/>
      <c r="E15" s="762"/>
      <c r="F15" s="762"/>
      <c r="G15" s="762"/>
      <c r="H15" s="762"/>
      <c r="I15" s="762"/>
      <c r="J15" s="762"/>
      <c r="K15" s="762"/>
      <c r="L15" s="763"/>
      <c r="M15" s="762"/>
      <c r="N15" s="762"/>
      <c r="O15" s="762"/>
      <c r="P15" s="764"/>
    </row>
    <row r="16" spans="1:16">
      <c r="A16" s="233" t="s">
        <v>462</v>
      </c>
      <c r="B16" s="765">
        <v>365</v>
      </c>
      <c r="C16" s="765"/>
      <c r="D16" s="765"/>
      <c r="E16" s="765"/>
      <c r="F16" s="765"/>
      <c r="G16" s="765"/>
      <c r="H16" s="765"/>
      <c r="I16" s="765"/>
      <c r="J16" s="765"/>
      <c r="K16" s="765"/>
      <c r="L16" s="766"/>
      <c r="M16" s="765"/>
      <c r="N16" s="765"/>
      <c r="O16" s="765"/>
      <c r="P16" s="767"/>
    </row>
    <row r="17" spans="1:16">
      <c r="A17" s="224"/>
      <c r="B17" s="765"/>
      <c r="C17" s="765"/>
      <c r="D17" s="765"/>
      <c r="E17" s="765"/>
      <c r="F17" s="765"/>
      <c r="G17" s="765"/>
      <c r="H17" s="765"/>
      <c r="I17" s="765"/>
      <c r="J17" s="765"/>
      <c r="K17" s="765"/>
      <c r="L17" s="766"/>
      <c r="M17" s="765"/>
      <c r="N17" s="765"/>
      <c r="O17" s="765"/>
      <c r="P17" s="767"/>
    </row>
    <row r="18" spans="1:16">
      <c r="A18" s="224" t="s">
        <v>463</v>
      </c>
      <c r="B18" s="765">
        <f>(B6/'LSPD DCF'!O14)*$B$16</f>
        <v>32.912018234562787</v>
      </c>
      <c r="C18" s="765">
        <f>(C6/'LSPD DCF'!P14)*$B$16</f>
        <v>36.811200030447395</v>
      </c>
      <c r="D18" s="765">
        <f>(D6/'LSPD DCF'!Q14)*$B$16</f>
        <v>29.244468924737355</v>
      </c>
      <c r="E18" s="765">
        <f>(E6/'LSPD DCF'!R14)*$B$16</f>
        <v>32.041772717791282</v>
      </c>
      <c r="F18" s="765">
        <f>(F6/'LSPD DCF'!S14)*$B$16</f>
        <v>29.939979324073157</v>
      </c>
      <c r="G18" s="768">
        <v>29.5</v>
      </c>
      <c r="H18" s="768">
        <v>29</v>
      </c>
      <c r="I18" s="768">
        <v>27</v>
      </c>
      <c r="J18" s="768">
        <v>26.5</v>
      </c>
      <c r="K18" s="768">
        <v>24.5</v>
      </c>
      <c r="L18" s="769">
        <v>24</v>
      </c>
      <c r="M18" s="768">
        <v>23.5</v>
      </c>
      <c r="N18" s="768">
        <v>23</v>
      </c>
      <c r="O18" s="768">
        <v>23</v>
      </c>
      <c r="P18" s="770">
        <v>23</v>
      </c>
    </row>
    <row r="19" spans="1:16" ht="30">
      <c r="A19" s="224" t="s">
        <v>464</v>
      </c>
      <c r="B19" s="771">
        <f>B7/'LSPD DCF'!O14</f>
        <v>5.0029009531703271E-2</v>
      </c>
      <c r="C19" s="771">
        <f>C7/'LSPD DCF'!P14</f>
        <v>4.7162128931275027E-2</v>
      </c>
      <c r="D19" s="771">
        <f>D7/'LSPD DCF'!Q14</f>
        <v>3.5691180429044539E-2</v>
      </c>
      <c r="E19" s="771">
        <f>E7/'LSPD DCF'!R14</f>
        <v>2.983005842535159E-2</v>
      </c>
      <c r="F19" s="771">
        <f>F7/'LSPD DCF'!S14</f>
        <v>2.1124638446226092E-2</v>
      </c>
      <c r="G19" s="772">
        <v>0.02</v>
      </c>
      <c r="H19" s="772">
        <v>1.9E-2</v>
      </c>
      <c r="I19" s="772">
        <v>1.7999999999999999E-2</v>
      </c>
      <c r="J19" s="772">
        <v>1.7000000000000001E-2</v>
      </c>
      <c r="K19" s="772">
        <v>1.6E-2</v>
      </c>
      <c r="L19" s="773">
        <v>1.4999999999999999E-2</v>
      </c>
      <c r="M19" s="772">
        <v>1.4E-2</v>
      </c>
      <c r="N19" s="772">
        <v>1.2999999999999999E-2</v>
      </c>
      <c r="O19" s="772">
        <v>1.2E-2</v>
      </c>
      <c r="P19" s="774">
        <v>1.2E-2</v>
      </c>
    </row>
    <row r="20" spans="1:16">
      <c r="A20" s="224"/>
      <c r="B20" s="762"/>
      <c r="C20" s="762"/>
      <c r="D20" s="762"/>
      <c r="E20" s="762"/>
      <c r="F20" s="762"/>
      <c r="G20" s="762"/>
      <c r="H20" s="762"/>
      <c r="I20" s="762"/>
      <c r="J20" s="762"/>
      <c r="K20" s="762"/>
      <c r="L20" s="763"/>
      <c r="M20" s="762"/>
      <c r="N20" s="762"/>
      <c r="O20" s="762"/>
      <c r="P20" s="764"/>
    </row>
    <row r="21" spans="1:16">
      <c r="A21" s="224" t="s">
        <v>465</v>
      </c>
      <c r="B21" s="765">
        <f>(B12/'LSPD DCF'!O18)*$B$16</f>
        <v>138.86947394418377</v>
      </c>
      <c r="C21" s="765">
        <f>(C12/'LSPD DCF'!P18)*$B$16</f>
        <v>184.54672646468427</v>
      </c>
      <c r="D21" s="765">
        <f>(D12/'LSPD DCF'!Q18)*$B$16</f>
        <v>104.93620053808401</v>
      </c>
      <c r="E21" s="765">
        <f>(E12/'LSPD DCF'!R18)*$B$16</f>
        <v>75.56408252999708</v>
      </c>
      <c r="F21" s="765">
        <f>(F12/'LSPD DCF'!S18)*$B$16</f>
        <v>65.069007138221934</v>
      </c>
      <c r="G21" s="768">
        <v>25</v>
      </c>
      <c r="H21" s="768">
        <v>25.5</v>
      </c>
      <c r="I21" s="768">
        <v>26</v>
      </c>
      <c r="J21" s="768">
        <v>26</v>
      </c>
      <c r="K21" s="768">
        <v>26</v>
      </c>
      <c r="L21" s="769">
        <v>26</v>
      </c>
      <c r="M21" s="768">
        <v>26</v>
      </c>
      <c r="N21" s="768">
        <v>26</v>
      </c>
      <c r="O21" s="768">
        <v>26</v>
      </c>
      <c r="P21" s="770">
        <v>26</v>
      </c>
    </row>
    <row r="22" spans="1:16" ht="30">
      <c r="A22" s="232" t="s">
        <v>466</v>
      </c>
      <c r="B22" s="775">
        <f>B13/'LSPD DCF'!O18</f>
        <v>0.45223511978266245</v>
      </c>
      <c r="C22" s="775">
        <f>C13/'LSPD DCF'!P18</f>
        <v>0.33511301215092526</v>
      </c>
      <c r="D22" s="775">
        <f>D13/'LSPD DCF'!Q18</f>
        <v>0.23935335153052675</v>
      </c>
      <c r="E22" s="775">
        <f>E13/'LSPD DCF'!R18</f>
        <v>0.20482009134268234</v>
      </c>
      <c r="F22" s="775">
        <f>F13/'LSPD DCF'!S18</f>
        <v>0.174785204412719</v>
      </c>
      <c r="G22" s="772">
        <v>0.15</v>
      </c>
      <c r="H22" s="772">
        <v>0.14000000000000001</v>
      </c>
      <c r="I22" s="772">
        <v>0.12</v>
      </c>
      <c r="J22" s="772">
        <v>0.1</v>
      </c>
      <c r="K22" s="772">
        <v>7.8E-2</v>
      </c>
      <c r="L22" s="773">
        <v>7.4999999999999997E-2</v>
      </c>
      <c r="M22" s="772">
        <v>7.1999999999999995E-2</v>
      </c>
      <c r="N22" s="772">
        <v>0.06</v>
      </c>
      <c r="O22" s="772">
        <v>0.06</v>
      </c>
      <c r="P22" s="774">
        <v>0.06</v>
      </c>
    </row>
    <row r="23" spans="1:16">
      <c r="A23" s="156"/>
      <c r="B23" s="762"/>
      <c r="C23" s="762"/>
      <c r="D23" s="762"/>
      <c r="E23" s="762"/>
      <c r="F23" s="762"/>
      <c r="G23" s="776"/>
      <c r="H23" s="776"/>
      <c r="I23" s="776"/>
      <c r="J23" s="776"/>
      <c r="K23" s="776"/>
      <c r="L23" s="777"/>
      <c r="M23" s="776"/>
      <c r="N23" s="776"/>
      <c r="O23" s="776"/>
      <c r="P23" s="778"/>
    </row>
    <row r="24" spans="1:16" ht="16" thickBot="1">
      <c r="A24" s="224" t="s">
        <v>467</v>
      </c>
      <c r="B24" s="779">
        <f t="shared" ref="B24:P24" si="2">B8-B14</f>
        <v>-50.517000000000003</v>
      </c>
      <c r="C24" s="779">
        <f t="shared" si="2"/>
        <v>-75.201999999999998</v>
      </c>
      <c r="D24" s="779">
        <f t="shared" si="2"/>
        <v>-79.853000000000009</v>
      </c>
      <c r="E24" s="779">
        <f t="shared" si="2"/>
        <v>-50.942999999999998</v>
      </c>
      <c r="F24" s="779">
        <f t="shared" si="2"/>
        <v>-42.221999999999994</v>
      </c>
      <c r="G24" s="746">
        <f t="shared" si="2"/>
        <v>34.769019292739728</v>
      </c>
      <c r="H24" s="746">
        <f t="shared" si="2"/>
        <v>36.475490964706367</v>
      </c>
      <c r="I24" s="746">
        <f t="shared" si="2"/>
        <v>31.161744045749927</v>
      </c>
      <c r="J24" s="746">
        <f t="shared" si="2"/>
        <v>32.249544729328207</v>
      </c>
      <c r="K24" s="746">
        <f t="shared" si="2"/>
        <v>24.022638357317163</v>
      </c>
      <c r="L24" s="748">
        <f t="shared" si="2"/>
        <v>21.790787760730268</v>
      </c>
      <c r="M24" s="746">
        <f t="shared" si="2"/>
        <v>18.287998500578823</v>
      </c>
      <c r="N24" s="746">
        <f t="shared" si="2"/>
        <v>13.505496378118721</v>
      </c>
      <c r="O24" s="746">
        <f t="shared" si="2"/>
        <v>11.584264918913988</v>
      </c>
      <c r="P24" s="749">
        <f t="shared" si="2"/>
        <v>12.494980318728011</v>
      </c>
    </row>
    <row r="25" spans="1:16" ht="31" thickBot="1">
      <c r="A25" s="234" t="s">
        <v>468</v>
      </c>
      <c r="B25" s="780"/>
      <c r="C25" s="781">
        <f t="shared" ref="C25:P25" si="3">C24-B24</f>
        <v>-24.684999999999995</v>
      </c>
      <c r="D25" s="781">
        <f t="shared" si="3"/>
        <v>-4.6510000000000105</v>
      </c>
      <c r="E25" s="781">
        <f t="shared" si="3"/>
        <v>28.910000000000011</v>
      </c>
      <c r="F25" s="781">
        <f t="shared" si="3"/>
        <v>8.7210000000000036</v>
      </c>
      <c r="G25" s="781">
        <f t="shared" si="3"/>
        <v>76.991019292739722</v>
      </c>
      <c r="H25" s="781">
        <f t="shared" si="3"/>
        <v>1.7064716719666393</v>
      </c>
      <c r="I25" s="781">
        <f t="shared" si="3"/>
        <v>-5.3137469189564399</v>
      </c>
      <c r="J25" s="781">
        <f t="shared" si="3"/>
        <v>1.0878006835782799</v>
      </c>
      <c r="K25" s="781">
        <f t="shared" si="3"/>
        <v>-8.2269063720110438</v>
      </c>
      <c r="L25" s="782">
        <f t="shared" si="3"/>
        <v>-2.2318505965868951</v>
      </c>
      <c r="M25" s="781">
        <f t="shared" si="3"/>
        <v>-3.5027892601514452</v>
      </c>
      <c r="N25" s="781">
        <f t="shared" si="3"/>
        <v>-4.7825021224601016</v>
      </c>
      <c r="O25" s="781">
        <f t="shared" si="3"/>
        <v>-1.9212314592047335</v>
      </c>
      <c r="P25" s="783">
        <f t="shared" si="3"/>
        <v>0.91071539981402339</v>
      </c>
    </row>
    <row r="26" spans="1:16" ht="16" thickBot="1">
      <c r="A26" s="235"/>
      <c r="B26" s="784"/>
      <c r="C26" s="784"/>
      <c r="D26" s="784"/>
      <c r="E26" s="784"/>
      <c r="F26" s="784"/>
      <c r="G26" s="785">
        <v>1</v>
      </c>
      <c r="H26" s="785">
        <v>2</v>
      </c>
      <c r="I26" s="785">
        <v>3</v>
      </c>
      <c r="J26" s="785">
        <v>4</v>
      </c>
      <c r="K26" s="785">
        <v>5</v>
      </c>
      <c r="L26" s="786">
        <v>6</v>
      </c>
      <c r="M26" s="787">
        <v>7</v>
      </c>
      <c r="N26" s="787">
        <v>8</v>
      </c>
      <c r="O26" s="787">
        <v>9</v>
      </c>
      <c r="P26" s="788">
        <v>10</v>
      </c>
    </row>
  </sheetData>
  <mergeCells count="2">
    <mergeCell ref="G2:K2"/>
    <mergeCell ref="L2:P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1FF11-6A8C-484C-940C-F549DD588D5D}">
  <dimension ref="C4:AE88"/>
  <sheetViews>
    <sheetView showGridLines="0" topLeftCell="C50" zoomScale="90" zoomScaleNormal="100" zoomScaleSheetLayoutView="100" workbookViewId="0">
      <selection activeCell="L73" sqref="L73"/>
    </sheetView>
  </sheetViews>
  <sheetFormatPr baseColWidth="10" defaultColWidth="8.83203125" defaultRowHeight="15"/>
  <cols>
    <col min="3" max="3" width="31" customWidth="1"/>
    <col min="4" max="4" width="16.33203125" customWidth="1"/>
    <col min="6" max="6" width="5.6640625" customWidth="1"/>
    <col min="8" max="8" width="26.33203125" customWidth="1"/>
    <col min="9" max="9" width="13" customWidth="1"/>
    <col min="15" max="15" width="9.33203125" bestFit="1" customWidth="1"/>
  </cols>
  <sheetData>
    <row r="4" spans="3:31">
      <c r="C4" s="27"/>
      <c r="D4" s="27"/>
      <c r="E4" s="27"/>
    </row>
    <row r="5" spans="3:31" ht="18">
      <c r="D5" s="897" t="s">
        <v>351</v>
      </c>
      <c r="E5" s="897"/>
      <c r="H5" s="899" t="s">
        <v>352</v>
      </c>
      <c r="I5" s="900"/>
      <c r="J5" s="900"/>
      <c r="K5" s="900"/>
      <c r="L5" s="900"/>
      <c r="M5" s="900"/>
      <c r="N5" s="900"/>
      <c r="O5" s="900"/>
      <c r="P5" s="900"/>
      <c r="Q5" s="900"/>
      <c r="R5" s="900"/>
      <c r="S5" s="900"/>
      <c r="T5" s="900"/>
      <c r="U5" s="900"/>
      <c r="V5" s="900"/>
      <c r="W5" s="900"/>
      <c r="X5" s="901"/>
    </row>
    <row r="6" spans="3:31">
      <c r="D6" s="243" t="s">
        <v>131</v>
      </c>
      <c r="E6" s="244">
        <v>152.97</v>
      </c>
      <c r="I6" s="898"/>
      <c r="J6" s="898"/>
      <c r="K6" s="898"/>
      <c r="L6" s="898"/>
      <c r="M6" s="898"/>
      <c r="N6" s="898"/>
      <c r="O6" s="898"/>
      <c r="P6" s="898"/>
      <c r="Q6" s="898"/>
      <c r="R6" s="898"/>
      <c r="S6" s="898"/>
      <c r="T6" s="898"/>
      <c r="U6" s="898"/>
      <c r="V6" s="898"/>
      <c r="W6" s="898"/>
      <c r="X6" s="898"/>
    </row>
    <row r="7" spans="3:31" ht="18">
      <c r="D7" s="245" t="s">
        <v>288</v>
      </c>
      <c r="E7" s="246">
        <f>E6-6.91</f>
        <v>146.06</v>
      </c>
      <c r="H7" s="378" t="s">
        <v>284</v>
      </c>
      <c r="I7" s="379">
        <v>2020</v>
      </c>
      <c r="J7" s="379">
        <f>I7+1</f>
        <v>2021</v>
      </c>
      <c r="K7" s="379">
        <f t="shared" ref="K7:M7" si="0">J7+1</f>
        <v>2022</v>
      </c>
      <c r="L7" s="379">
        <f t="shared" si="0"/>
        <v>2023</v>
      </c>
      <c r="M7" s="379">
        <f t="shared" si="0"/>
        <v>2024</v>
      </c>
      <c r="N7" s="380" t="s">
        <v>337</v>
      </c>
      <c r="O7" s="379">
        <v>2025</v>
      </c>
      <c r="P7" s="379">
        <f>O7+1</f>
        <v>2026</v>
      </c>
      <c r="Q7" s="379">
        <f t="shared" ref="Q7:X7" si="1">P7+1</f>
        <v>2027</v>
      </c>
      <c r="R7" s="379">
        <f t="shared" si="1"/>
        <v>2028</v>
      </c>
      <c r="S7" s="379">
        <f t="shared" si="1"/>
        <v>2029</v>
      </c>
      <c r="T7" s="379">
        <f t="shared" si="1"/>
        <v>2030</v>
      </c>
      <c r="U7" s="379">
        <f t="shared" si="1"/>
        <v>2031</v>
      </c>
      <c r="V7" s="379">
        <f t="shared" si="1"/>
        <v>2032</v>
      </c>
      <c r="W7" s="379">
        <f t="shared" si="1"/>
        <v>2033</v>
      </c>
      <c r="X7" s="379">
        <f t="shared" si="1"/>
        <v>2034</v>
      </c>
    </row>
    <row r="8" spans="3:31">
      <c r="D8" s="243" t="s">
        <v>290</v>
      </c>
      <c r="E8" s="247">
        <v>0.1138</v>
      </c>
      <c r="H8" s="163" t="s">
        <v>188</v>
      </c>
      <c r="I8" s="297">
        <v>78.8</v>
      </c>
      <c r="J8" s="297">
        <v>119.32</v>
      </c>
      <c r="K8" s="297">
        <v>248.43</v>
      </c>
      <c r="L8" s="297">
        <v>298.76</v>
      </c>
      <c r="M8" s="297">
        <v>322</v>
      </c>
      <c r="N8" s="345">
        <v>338.26</v>
      </c>
      <c r="O8" s="266">
        <f>O23*0.28</f>
        <v>305.48</v>
      </c>
      <c r="P8" s="266">
        <f t="shared" ref="P8:X8" si="2">P23*0.28</f>
        <v>354.35680000000002</v>
      </c>
      <c r="Q8" s="266">
        <f t="shared" si="2"/>
        <v>411.05388799999997</v>
      </c>
      <c r="R8" s="266">
        <f t="shared" si="2"/>
        <v>476.82251007999997</v>
      </c>
      <c r="S8" s="266">
        <f t="shared" si="2"/>
        <v>553.11411169279995</v>
      </c>
      <c r="T8" s="266">
        <f t="shared" si="2"/>
        <v>641.61236956364792</v>
      </c>
      <c r="U8" s="266">
        <f t="shared" si="2"/>
        <v>744.27034869383147</v>
      </c>
      <c r="V8" s="266">
        <f t="shared" si="2"/>
        <v>863.35360448484437</v>
      </c>
      <c r="W8" s="266">
        <f t="shared" si="2"/>
        <v>1001.4901812024194</v>
      </c>
      <c r="X8" s="266">
        <f t="shared" si="2"/>
        <v>1161.7286101948064</v>
      </c>
    </row>
    <row r="9" spans="3:31">
      <c r="D9" s="243" t="s">
        <v>292</v>
      </c>
      <c r="E9" s="247">
        <v>0.02</v>
      </c>
      <c r="H9" s="346" t="s">
        <v>353</v>
      </c>
      <c r="I9" s="347">
        <v>19.43</v>
      </c>
      <c r="J9" s="347">
        <v>31.76</v>
      </c>
      <c r="K9" s="347">
        <v>72.19</v>
      </c>
      <c r="L9" s="347">
        <v>80.06</v>
      </c>
      <c r="M9" s="347">
        <v>77.59</v>
      </c>
      <c r="N9" s="348">
        <f>(18.39+18.01+17.51+18.52)</f>
        <v>72.430000000000007</v>
      </c>
      <c r="O9" s="347">
        <f>O8*0.25</f>
        <v>76.37</v>
      </c>
      <c r="P9" s="347">
        <f t="shared" ref="P9:X9" si="3">P8*0.25</f>
        <v>88.589200000000005</v>
      </c>
      <c r="Q9" s="347">
        <f t="shared" si="3"/>
        <v>102.76347199999999</v>
      </c>
      <c r="R9" s="347">
        <f t="shared" si="3"/>
        <v>119.20562751999999</v>
      </c>
      <c r="S9" s="347">
        <f t="shared" si="3"/>
        <v>138.27852792319999</v>
      </c>
      <c r="T9" s="347">
        <f t="shared" si="3"/>
        <v>160.40309239091198</v>
      </c>
      <c r="U9" s="347">
        <f t="shared" si="3"/>
        <v>186.06758717345787</v>
      </c>
      <c r="V9" s="347">
        <f t="shared" si="3"/>
        <v>215.83840112121109</v>
      </c>
      <c r="W9" s="347">
        <f t="shared" si="3"/>
        <v>250.37254530060486</v>
      </c>
      <c r="X9" s="347">
        <f t="shared" si="3"/>
        <v>290.43215254870159</v>
      </c>
      <c r="Z9" s="21"/>
      <c r="AA9" s="21"/>
      <c r="AB9" s="21"/>
      <c r="AC9" s="21"/>
      <c r="AD9" s="21"/>
      <c r="AE9" s="21"/>
    </row>
    <row r="10" spans="3:31">
      <c r="D10" s="243" t="s">
        <v>294</v>
      </c>
      <c r="E10" s="247">
        <v>0.12</v>
      </c>
      <c r="H10" s="214" t="s">
        <v>293</v>
      </c>
      <c r="I10" s="266">
        <f t="shared" ref="I10:L10" si="4">I8-I9</f>
        <v>59.37</v>
      </c>
      <c r="J10" s="266">
        <f t="shared" si="4"/>
        <v>87.559999999999988</v>
      </c>
      <c r="K10" s="266">
        <f t="shared" si="4"/>
        <v>176.24</v>
      </c>
      <c r="L10" s="266">
        <f t="shared" si="4"/>
        <v>218.7</v>
      </c>
      <c r="M10" s="266">
        <f>M8-M9</f>
        <v>244.41</v>
      </c>
      <c r="N10" s="345">
        <f t="shared" ref="N10:X10" si="5">N8-N9</f>
        <v>265.83</v>
      </c>
      <c r="O10" s="266">
        <f t="shared" si="5"/>
        <v>229.11</v>
      </c>
      <c r="P10" s="266">
        <f t="shared" si="5"/>
        <v>265.76760000000002</v>
      </c>
      <c r="Q10" s="266">
        <f t="shared" si="5"/>
        <v>308.29041599999999</v>
      </c>
      <c r="R10" s="266">
        <f t="shared" si="5"/>
        <v>357.61688255999996</v>
      </c>
      <c r="S10" s="266">
        <f t="shared" si="5"/>
        <v>414.83558376959996</v>
      </c>
      <c r="T10" s="266">
        <f t="shared" si="5"/>
        <v>481.20927717273594</v>
      </c>
      <c r="U10" s="266">
        <f t="shared" si="5"/>
        <v>558.20276152037354</v>
      </c>
      <c r="V10" s="266">
        <f t="shared" si="5"/>
        <v>647.5152033636333</v>
      </c>
      <c r="W10" s="266">
        <f t="shared" si="5"/>
        <v>751.11763590181454</v>
      </c>
      <c r="X10" s="266">
        <f t="shared" si="5"/>
        <v>871.29645764610473</v>
      </c>
      <c r="Z10" s="5"/>
      <c r="AA10" s="5"/>
      <c r="AB10" s="5"/>
      <c r="AC10" s="5"/>
      <c r="AD10" s="5"/>
      <c r="AE10" s="5"/>
    </row>
    <row r="11" spans="3:31">
      <c r="D11" s="243" t="s">
        <v>296</v>
      </c>
      <c r="E11" s="244">
        <v>661.57</v>
      </c>
      <c r="H11" s="349" t="s">
        <v>354</v>
      </c>
      <c r="I11" s="350">
        <f t="shared" ref="I11:L11" si="6">I10/I8</f>
        <v>0.75342639593908634</v>
      </c>
      <c r="J11" s="350">
        <f t="shared" si="6"/>
        <v>0.73382500838082465</v>
      </c>
      <c r="K11" s="350">
        <f t="shared" si="6"/>
        <v>0.70941512699754461</v>
      </c>
      <c r="L11" s="350">
        <f t="shared" si="6"/>
        <v>0.7320257062525104</v>
      </c>
      <c r="M11" s="350">
        <f>M10/M8</f>
        <v>0.75903726708074537</v>
      </c>
      <c r="N11" s="351">
        <f t="shared" ref="N11:X11" si="7">N10/N8</f>
        <v>0.78587477088630042</v>
      </c>
      <c r="O11" s="350">
        <f t="shared" si="7"/>
        <v>0.75</v>
      </c>
      <c r="P11" s="350">
        <f t="shared" si="7"/>
        <v>0.75</v>
      </c>
      <c r="Q11" s="350">
        <f t="shared" si="7"/>
        <v>0.75</v>
      </c>
      <c r="R11" s="350">
        <f t="shared" si="7"/>
        <v>0.75</v>
      </c>
      <c r="S11" s="350">
        <f t="shared" si="7"/>
        <v>0.75</v>
      </c>
      <c r="T11" s="350">
        <f t="shared" si="7"/>
        <v>0.75</v>
      </c>
      <c r="U11" s="350">
        <f t="shared" si="7"/>
        <v>0.74999999999999989</v>
      </c>
      <c r="V11" s="350">
        <f t="shared" si="7"/>
        <v>0.75</v>
      </c>
      <c r="W11" s="350">
        <f t="shared" si="7"/>
        <v>0.75</v>
      </c>
      <c r="X11" s="350">
        <f t="shared" si="7"/>
        <v>0.75</v>
      </c>
      <c r="Z11" s="5"/>
      <c r="AA11" s="5"/>
      <c r="AB11" s="5"/>
      <c r="AC11" s="5"/>
      <c r="AD11" s="5"/>
      <c r="AE11" s="5"/>
    </row>
    <row r="12" spans="3:31">
      <c r="D12" s="243" t="s">
        <v>297</v>
      </c>
      <c r="E12" s="244">
        <v>19.16</v>
      </c>
      <c r="H12" s="300"/>
      <c r="I12" s="163"/>
      <c r="J12" s="163"/>
      <c r="K12" s="163"/>
      <c r="L12" s="163"/>
      <c r="M12" s="163"/>
      <c r="N12" s="352"/>
      <c r="O12" s="163"/>
      <c r="P12" s="163"/>
      <c r="Q12" s="163"/>
      <c r="R12" s="163"/>
      <c r="S12" s="163"/>
      <c r="T12" s="163"/>
      <c r="U12" s="163"/>
      <c r="V12" s="163"/>
      <c r="W12" s="163"/>
      <c r="X12" s="163"/>
      <c r="Z12" s="5"/>
      <c r="AA12" s="5"/>
      <c r="AB12" s="5"/>
      <c r="AC12" s="5"/>
      <c r="AD12" s="5"/>
      <c r="AE12" s="5"/>
    </row>
    <row r="13" spans="3:31">
      <c r="D13" s="376" t="s">
        <v>298</v>
      </c>
      <c r="E13" s="377">
        <v>561.57000000000005</v>
      </c>
      <c r="H13" s="163" t="s">
        <v>189</v>
      </c>
      <c r="I13" s="297">
        <v>28.08</v>
      </c>
      <c r="J13" s="297">
        <v>82.95</v>
      </c>
      <c r="K13" s="297">
        <v>264.04000000000002</v>
      </c>
      <c r="L13" s="297">
        <v>399.55</v>
      </c>
      <c r="M13" s="297">
        <v>545.47</v>
      </c>
      <c r="N13" s="345">
        <v>678.46</v>
      </c>
      <c r="O13" s="266">
        <f>O23*0.7</f>
        <v>763.69999999999993</v>
      </c>
      <c r="P13" s="266">
        <f t="shared" ref="P13:X13" si="8">P23*0.7</f>
        <v>885.89199999999994</v>
      </c>
      <c r="Q13" s="266">
        <f t="shared" si="8"/>
        <v>1027.6347199999998</v>
      </c>
      <c r="R13" s="266">
        <f t="shared" si="8"/>
        <v>1192.0562751999996</v>
      </c>
      <c r="S13" s="266">
        <f t="shared" si="8"/>
        <v>1382.7852792319995</v>
      </c>
      <c r="T13" s="266">
        <f t="shared" si="8"/>
        <v>1604.0309239091196</v>
      </c>
      <c r="U13" s="266">
        <f t="shared" si="8"/>
        <v>1860.6758717345783</v>
      </c>
      <c r="V13" s="266">
        <f t="shared" si="8"/>
        <v>2158.3840112121106</v>
      </c>
      <c r="W13" s="266">
        <f t="shared" si="8"/>
        <v>2503.7254530060482</v>
      </c>
      <c r="X13" s="266">
        <f t="shared" si="8"/>
        <v>2904.3215254870156</v>
      </c>
      <c r="Z13" s="5"/>
      <c r="AA13" s="5"/>
      <c r="AB13" s="5"/>
      <c r="AC13" s="5"/>
      <c r="AD13" s="5"/>
      <c r="AE13" s="5"/>
    </row>
    <row r="14" spans="3:31">
      <c r="D14" s="81"/>
      <c r="E14" s="82"/>
      <c r="H14" s="346" t="s">
        <v>355</v>
      </c>
      <c r="I14" s="347">
        <v>9.02</v>
      </c>
      <c r="J14" s="347">
        <v>42.63</v>
      </c>
      <c r="K14" s="347">
        <v>159.43</v>
      </c>
      <c r="L14" s="347">
        <v>271.04000000000002</v>
      </c>
      <c r="M14" s="347">
        <v>390.52</v>
      </c>
      <c r="N14" s="348">
        <f>(131.44+133.5+127.95+98.28)</f>
        <v>491.16999999999996</v>
      </c>
      <c r="O14" s="347">
        <f>O13*0.28</f>
        <v>213.83600000000001</v>
      </c>
      <c r="P14" s="347">
        <f t="shared" ref="P14:X14" si="9">P13*0.28</f>
        <v>248.04976000000002</v>
      </c>
      <c r="Q14" s="347">
        <f t="shared" si="9"/>
        <v>287.73772159999999</v>
      </c>
      <c r="R14" s="347">
        <f t="shared" si="9"/>
        <v>333.77575705599992</v>
      </c>
      <c r="S14" s="347">
        <f t="shared" si="9"/>
        <v>387.17987818495993</v>
      </c>
      <c r="T14" s="347">
        <f t="shared" si="9"/>
        <v>449.12865869455351</v>
      </c>
      <c r="U14" s="347">
        <f t="shared" si="9"/>
        <v>520.989244085682</v>
      </c>
      <c r="V14" s="347">
        <f t="shared" si="9"/>
        <v>604.347523139391</v>
      </c>
      <c r="W14" s="347">
        <f t="shared" si="9"/>
        <v>701.04312684169361</v>
      </c>
      <c r="X14" s="347">
        <f t="shared" si="9"/>
        <v>813.21002713636449</v>
      </c>
      <c r="Z14" s="21"/>
      <c r="AA14" s="21"/>
      <c r="AB14" s="21"/>
      <c r="AC14" s="21"/>
      <c r="AD14" s="21"/>
      <c r="AE14" s="21"/>
    </row>
    <row r="15" spans="3:31">
      <c r="D15" s="79"/>
      <c r="E15" s="80"/>
      <c r="H15" s="214" t="s">
        <v>300</v>
      </c>
      <c r="I15" s="266">
        <f t="shared" ref="I15:L15" si="10">I13-I14</f>
        <v>19.059999999999999</v>
      </c>
      <c r="J15" s="266">
        <f t="shared" si="10"/>
        <v>40.32</v>
      </c>
      <c r="K15" s="266">
        <f t="shared" si="10"/>
        <v>104.61000000000001</v>
      </c>
      <c r="L15" s="266">
        <f t="shared" si="10"/>
        <v>128.51</v>
      </c>
      <c r="M15" s="266">
        <f>M13-M14</f>
        <v>154.95000000000005</v>
      </c>
      <c r="N15" s="345">
        <f t="shared" ref="N15:X15" si="11">N13-N14</f>
        <v>187.29000000000008</v>
      </c>
      <c r="O15" s="266">
        <f t="shared" si="11"/>
        <v>549.86399999999992</v>
      </c>
      <c r="P15" s="266">
        <f t="shared" si="11"/>
        <v>637.84223999999995</v>
      </c>
      <c r="Q15" s="266">
        <f t="shared" si="11"/>
        <v>739.8969983999998</v>
      </c>
      <c r="R15" s="266">
        <f t="shared" si="11"/>
        <v>858.28051814399964</v>
      </c>
      <c r="S15" s="266">
        <f t="shared" si="11"/>
        <v>995.60540104703955</v>
      </c>
      <c r="T15" s="266">
        <f t="shared" si="11"/>
        <v>1154.9022652145661</v>
      </c>
      <c r="U15" s="266">
        <f t="shared" si="11"/>
        <v>1339.6866276488963</v>
      </c>
      <c r="V15" s="266">
        <f t="shared" si="11"/>
        <v>1554.0364880727197</v>
      </c>
      <c r="W15" s="266">
        <f t="shared" si="11"/>
        <v>1802.6823261643544</v>
      </c>
      <c r="X15" s="266">
        <f t="shared" si="11"/>
        <v>2091.1114983506513</v>
      </c>
      <c r="Z15" s="5"/>
      <c r="AA15" s="5"/>
      <c r="AB15" s="5"/>
      <c r="AC15" s="5"/>
      <c r="AD15" s="5"/>
      <c r="AE15" s="5"/>
    </row>
    <row r="16" spans="3:31">
      <c r="D16" s="79"/>
      <c r="E16" s="80"/>
      <c r="H16" s="349" t="s">
        <v>354</v>
      </c>
      <c r="I16" s="350">
        <f t="shared" ref="I16:L16" si="12">I15/I13</f>
        <v>0.67877492877492873</v>
      </c>
      <c r="J16" s="350">
        <f t="shared" si="12"/>
        <v>0.48607594936708859</v>
      </c>
      <c r="K16" s="350">
        <f t="shared" si="12"/>
        <v>0.39618997121648236</v>
      </c>
      <c r="L16" s="350">
        <f t="shared" si="12"/>
        <v>0.32163684144662741</v>
      </c>
      <c r="M16" s="350">
        <f>M15/M13</f>
        <v>0.28406695143637606</v>
      </c>
      <c r="N16" s="351">
        <f t="shared" ref="N16" si="13">N15/N13</f>
        <v>0.27605164637561547</v>
      </c>
      <c r="O16" s="350">
        <f t="shared" ref="O16" si="14">O15/O13</f>
        <v>0.72</v>
      </c>
      <c r="P16" s="350">
        <f t="shared" ref="P16" si="15">P15/P13</f>
        <v>0.72</v>
      </c>
      <c r="Q16" s="350">
        <f t="shared" ref="Q16:R16" si="16">Q15/Q13</f>
        <v>0.72</v>
      </c>
      <c r="R16" s="350">
        <f t="shared" si="16"/>
        <v>0.72</v>
      </c>
      <c r="S16" s="350">
        <f t="shared" ref="S16" si="17">S15/S13</f>
        <v>0.71999999999999986</v>
      </c>
      <c r="T16" s="350">
        <f t="shared" ref="T16" si="18">T15/T13</f>
        <v>0.72</v>
      </c>
      <c r="U16" s="350">
        <f t="shared" ref="U16" si="19">U15/U13</f>
        <v>0.72</v>
      </c>
      <c r="V16" s="350">
        <f t="shared" ref="V16:W16" si="20">V15/V13</f>
        <v>0.72000000000000008</v>
      </c>
      <c r="W16" s="350">
        <f t="shared" si="20"/>
        <v>0.71999999999999986</v>
      </c>
      <c r="X16" s="350">
        <f t="shared" ref="X16" si="21">X15/X13</f>
        <v>0.72000000000000008</v>
      </c>
      <c r="Z16" s="5"/>
      <c r="AA16" s="5"/>
      <c r="AB16" s="5"/>
      <c r="AC16" s="5"/>
      <c r="AD16" s="5"/>
      <c r="AE16" s="5"/>
    </row>
    <row r="17" spans="3:31">
      <c r="D17" s="18"/>
      <c r="E17" s="5"/>
      <c r="H17" s="300"/>
      <c r="I17" s="163"/>
      <c r="J17" s="163"/>
      <c r="K17" s="163"/>
      <c r="L17" s="163"/>
      <c r="M17" s="163"/>
      <c r="N17" s="352"/>
      <c r="O17" s="163"/>
      <c r="P17" s="163"/>
      <c r="Q17" s="163"/>
      <c r="R17" s="163"/>
      <c r="S17" s="163"/>
      <c r="T17" s="163"/>
      <c r="U17" s="163"/>
      <c r="V17" s="163"/>
      <c r="W17" s="163"/>
      <c r="X17" s="163"/>
      <c r="Z17" s="5"/>
      <c r="AA17" s="5"/>
      <c r="AB17" s="5"/>
      <c r="AC17" s="5"/>
      <c r="AD17" s="5"/>
      <c r="AE17" s="5"/>
    </row>
    <row r="18" spans="3:31">
      <c r="D18" s="70" t="s">
        <v>306</v>
      </c>
      <c r="E18" s="5"/>
      <c r="H18" s="163" t="s">
        <v>190</v>
      </c>
      <c r="I18" s="297">
        <v>13.77</v>
      </c>
      <c r="J18" s="297">
        <v>19.45</v>
      </c>
      <c r="K18" s="297">
        <v>35.9</v>
      </c>
      <c r="L18" s="297">
        <v>32.19</v>
      </c>
      <c r="M18" s="297">
        <v>41.8</v>
      </c>
      <c r="N18" s="345">
        <v>36.899999999999991</v>
      </c>
      <c r="O18" s="266">
        <f>O23*0.02</f>
        <v>21.82</v>
      </c>
      <c r="P18" s="266">
        <f t="shared" ref="P18:X18" si="22">P23*0.02</f>
        <v>25.311199999999999</v>
      </c>
      <c r="Q18" s="266">
        <f t="shared" si="22"/>
        <v>29.360991999999996</v>
      </c>
      <c r="R18" s="266">
        <f t="shared" si="22"/>
        <v>34.058750719999992</v>
      </c>
      <c r="S18" s="266">
        <f t="shared" si="22"/>
        <v>39.508150835199991</v>
      </c>
      <c r="T18" s="266">
        <f t="shared" si="22"/>
        <v>45.829454968831989</v>
      </c>
      <c r="U18" s="266">
        <f t="shared" si="22"/>
        <v>53.162167763845105</v>
      </c>
      <c r="V18" s="266">
        <f t="shared" si="22"/>
        <v>61.668114606060307</v>
      </c>
      <c r="W18" s="266">
        <f t="shared" si="22"/>
        <v>71.535012943029955</v>
      </c>
      <c r="X18" s="266">
        <f t="shared" si="22"/>
        <v>82.980615013914743</v>
      </c>
      <c r="Z18" s="5"/>
      <c r="AA18" s="5"/>
      <c r="AB18" s="5"/>
      <c r="AC18" s="5"/>
      <c r="AD18" s="5"/>
      <c r="AE18" s="5"/>
    </row>
    <row r="19" spans="3:31" ht="15" customHeight="1">
      <c r="D19" s="19" t="s">
        <v>307</v>
      </c>
      <c r="E19" s="71">
        <f>SUM(O47:X47)</f>
        <v>743.60499116845301</v>
      </c>
      <c r="F19" s="835" t="s">
        <v>308</v>
      </c>
      <c r="H19" s="346" t="s">
        <v>356</v>
      </c>
      <c r="I19" s="347">
        <v>11.22</v>
      </c>
      <c r="J19" s="347">
        <v>19.68</v>
      </c>
      <c r="K19" s="347">
        <v>45.58</v>
      </c>
      <c r="L19" s="347">
        <v>47.45</v>
      </c>
      <c r="M19" s="347">
        <v>55.91</v>
      </c>
      <c r="N19" s="348">
        <f>(14.44+11.39+12.42+13.71)</f>
        <v>51.96</v>
      </c>
      <c r="O19" s="347">
        <f>O18*0.81</f>
        <v>17.674200000000003</v>
      </c>
      <c r="P19" s="347">
        <f t="shared" ref="P19:X19" si="23">P18*0.81</f>
        <v>20.502072000000002</v>
      </c>
      <c r="Q19" s="347">
        <f t="shared" si="23"/>
        <v>23.782403519999999</v>
      </c>
      <c r="R19" s="347">
        <f t="shared" si="23"/>
        <v>27.587588083199996</v>
      </c>
      <c r="S19" s="347">
        <f t="shared" si="23"/>
        <v>32.001602176511994</v>
      </c>
      <c r="T19" s="347">
        <f t="shared" si="23"/>
        <v>37.121858524753911</v>
      </c>
      <c r="U19" s="347">
        <f t="shared" si="23"/>
        <v>43.061355888714537</v>
      </c>
      <c r="V19" s="347">
        <f t="shared" si="23"/>
        <v>49.951172830908853</v>
      </c>
      <c r="W19" s="347">
        <f t="shared" si="23"/>
        <v>57.943360483854264</v>
      </c>
      <c r="X19" s="347">
        <f t="shared" si="23"/>
        <v>67.214298161270946</v>
      </c>
      <c r="Z19" s="21"/>
      <c r="AA19" s="21"/>
      <c r="AB19" s="21"/>
      <c r="AC19" s="21"/>
      <c r="AD19" s="21"/>
      <c r="AE19" s="21"/>
    </row>
    <row r="20" spans="3:31">
      <c r="C20" t="s">
        <v>345</v>
      </c>
      <c r="D20" s="18" t="s">
        <v>310</v>
      </c>
      <c r="E20" s="72">
        <f>(X46*(1+E9))/(E10-E9)</f>
        <v>3045.2970061941032</v>
      </c>
      <c r="F20" s="835"/>
      <c r="H20" s="214" t="s">
        <v>302</v>
      </c>
      <c r="I20" s="266">
        <f t="shared" ref="I20:L20" si="24">I18-I19</f>
        <v>2.5499999999999989</v>
      </c>
      <c r="J20" s="266">
        <f t="shared" si="24"/>
        <v>-0.23000000000000043</v>
      </c>
      <c r="K20" s="266">
        <f t="shared" si="24"/>
        <v>-9.68</v>
      </c>
      <c r="L20" s="266">
        <f t="shared" si="24"/>
        <v>-15.260000000000005</v>
      </c>
      <c r="M20" s="266">
        <f>M18-M19</f>
        <v>-14.11</v>
      </c>
      <c r="N20" s="345">
        <f t="shared" ref="N20:X20" si="25">N18-N19</f>
        <v>-15.060000000000009</v>
      </c>
      <c r="O20" s="266">
        <f t="shared" si="25"/>
        <v>4.1457999999999977</v>
      </c>
      <c r="P20" s="266">
        <f t="shared" si="25"/>
        <v>4.8091279999999976</v>
      </c>
      <c r="Q20" s="266">
        <f t="shared" si="25"/>
        <v>5.578588479999997</v>
      </c>
      <c r="R20" s="266">
        <f t="shared" si="25"/>
        <v>6.4711626367999955</v>
      </c>
      <c r="S20" s="266">
        <f t="shared" si="25"/>
        <v>7.506548658687997</v>
      </c>
      <c r="T20" s="266">
        <f t="shared" si="25"/>
        <v>8.707596444078078</v>
      </c>
      <c r="U20" s="266">
        <f t="shared" si="25"/>
        <v>10.100811875130567</v>
      </c>
      <c r="V20" s="266">
        <f t="shared" si="25"/>
        <v>11.716941775151454</v>
      </c>
      <c r="W20" s="266">
        <f t="shared" si="25"/>
        <v>13.591652459175691</v>
      </c>
      <c r="X20" s="266">
        <f t="shared" si="25"/>
        <v>15.766316852643797</v>
      </c>
    </row>
    <row r="21" spans="3:31">
      <c r="C21" t="s">
        <v>347</v>
      </c>
      <c r="D21" s="19" t="s">
        <v>311</v>
      </c>
      <c r="E21" s="71">
        <f>E20/((1+E10)^10)</f>
        <v>980.50413346427229</v>
      </c>
      <c r="F21" s="835"/>
      <c r="H21" s="349" t="s">
        <v>354</v>
      </c>
      <c r="I21" s="350">
        <f t="shared" ref="I21:L21" si="26">I20/I18</f>
        <v>0.18518518518518512</v>
      </c>
      <c r="J21" s="350">
        <f t="shared" si="26"/>
        <v>-1.1825192802056577E-2</v>
      </c>
      <c r="K21" s="350">
        <f t="shared" si="26"/>
        <v>-0.26963788300835656</v>
      </c>
      <c r="L21" s="350">
        <f t="shared" si="26"/>
        <v>-0.47406026716371563</v>
      </c>
      <c r="M21" s="350">
        <f>M20/M18</f>
        <v>-0.33755980861244023</v>
      </c>
      <c r="N21" s="351">
        <f t="shared" ref="N21:X21" si="27">N20/N18</f>
        <v>-0.40813008130081335</v>
      </c>
      <c r="O21" s="350">
        <f t="shared" si="27"/>
        <v>0.18999999999999989</v>
      </c>
      <c r="P21" s="350">
        <f t="shared" si="27"/>
        <v>0.18999999999999992</v>
      </c>
      <c r="Q21" s="350">
        <f t="shared" si="27"/>
        <v>0.18999999999999992</v>
      </c>
      <c r="R21" s="350">
        <f t="shared" si="27"/>
        <v>0.18999999999999992</v>
      </c>
      <c r="S21" s="350">
        <f t="shared" si="27"/>
        <v>0.18999999999999997</v>
      </c>
      <c r="T21" s="350">
        <f t="shared" si="27"/>
        <v>0.19</v>
      </c>
      <c r="U21" s="350">
        <f t="shared" si="27"/>
        <v>0.18999999999999995</v>
      </c>
      <c r="V21" s="350">
        <f t="shared" si="27"/>
        <v>0.18999999999999995</v>
      </c>
      <c r="W21" s="350">
        <f t="shared" si="27"/>
        <v>0.19</v>
      </c>
      <c r="X21" s="350">
        <f t="shared" si="27"/>
        <v>0.18999999999999995</v>
      </c>
      <c r="Y21" s="12"/>
      <c r="Z21" s="59"/>
      <c r="AA21" s="59"/>
      <c r="AB21" s="59"/>
      <c r="AC21" s="59"/>
      <c r="AD21" s="59"/>
      <c r="AE21" s="59"/>
    </row>
    <row r="22" spans="3:31">
      <c r="D22" s="18" t="s">
        <v>312</v>
      </c>
      <c r="E22" s="72">
        <f>E21+E19</f>
        <v>1724.1091246327253</v>
      </c>
      <c r="F22" s="835"/>
      <c r="H22" s="280"/>
      <c r="I22" s="280"/>
      <c r="J22" s="280"/>
      <c r="K22" s="280"/>
      <c r="L22" s="280"/>
      <c r="M22" s="280"/>
      <c r="N22" s="353"/>
      <c r="O22" s="354">
        <v>1</v>
      </c>
      <c r="P22" s="354">
        <f>O22+1</f>
        <v>2</v>
      </c>
      <c r="Q22" s="354">
        <f t="shared" ref="Q22:X22" si="28">P22+1</f>
        <v>3</v>
      </c>
      <c r="R22" s="354">
        <f t="shared" si="28"/>
        <v>4</v>
      </c>
      <c r="S22" s="354">
        <f t="shared" si="28"/>
        <v>5</v>
      </c>
      <c r="T22" s="354">
        <f t="shared" si="28"/>
        <v>6</v>
      </c>
      <c r="U22" s="354">
        <f t="shared" si="28"/>
        <v>7</v>
      </c>
      <c r="V22" s="354">
        <f t="shared" si="28"/>
        <v>8</v>
      </c>
      <c r="W22" s="354">
        <f t="shared" si="28"/>
        <v>9</v>
      </c>
      <c r="X22" s="354">
        <f t="shared" si="28"/>
        <v>10</v>
      </c>
    </row>
    <row r="23" spans="3:31">
      <c r="D23" s="18" t="s">
        <v>313</v>
      </c>
      <c r="E23" s="72">
        <f>E11</f>
        <v>661.57</v>
      </c>
      <c r="F23" s="835"/>
      <c r="H23" s="336" t="s">
        <v>191</v>
      </c>
      <c r="I23" s="282">
        <f>I8+I13+I18</f>
        <v>120.64999999999999</v>
      </c>
      <c r="J23" s="282">
        <f t="shared" ref="J23:N23" si="29">J8+J13+J18</f>
        <v>221.71999999999997</v>
      </c>
      <c r="K23" s="282">
        <f t="shared" si="29"/>
        <v>548.37</v>
      </c>
      <c r="L23" s="282">
        <f t="shared" si="29"/>
        <v>730.5</v>
      </c>
      <c r="M23" s="282">
        <f t="shared" si="29"/>
        <v>909.27</v>
      </c>
      <c r="N23" s="355">
        <f t="shared" si="29"/>
        <v>1053.6200000000001</v>
      </c>
      <c r="O23" s="282">
        <v>1091</v>
      </c>
      <c r="P23" s="282">
        <f>O23*1.16</f>
        <v>1265.56</v>
      </c>
      <c r="Q23" s="282">
        <f t="shared" ref="Q23:X23" si="30">P23*1.16</f>
        <v>1468.0495999999998</v>
      </c>
      <c r="R23" s="282">
        <f t="shared" si="30"/>
        <v>1702.9375359999997</v>
      </c>
      <c r="S23" s="282">
        <f t="shared" si="30"/>
        <v>1975.4075417599995</v>
      </c>
      <c r="T23" s="282">
        <f t="shared" si="30"/>
        <v>2291.4727484415994</v>
      </c>
      <c r="U23" s="282">
        <f t="shared" si="30"/>
        <v>2658.108388192255</v>
      </c>
      <c r="V23" s="282">
        <f t="shared" si="30"/>
        <v>3083.4057303030154</v>
      </c>
      <c r="W23" s="282">
        <f t="shared" si="30"/>
        <v>3576.7506471514976</v>
      </c>
      <c r="X23" s="282">
        <f t="shared" si="30"/>
        <v>4149.030750695737</v>
      </c>
    </row>
    <row r="24" spans="3:31">
      <c r="D24" s="19" t="s">
        <v>315</v>
      </c>
      <c r="E24" s="71">
        <f>E12</f>
        <v>19.16</v>
      </c>
      <c r="F24" s="835"/>
      <c r="H24" s="356" t="s">
        <v>357</v>
      </c>
      <c r="I24" s="347">
        <f>I9+I14+I19</f>
        <v>39.67</v>
      </c>
      <c r="J24" s="347">
        <f t="shared" ref="J24:N24" si="31">J9+J14+J19</f>
        <v>94.07</v>
      </c>
      <c r="K24" s="347">
        <f t="shared" si="31"/>
        <v>277.2</v>
      </c>
      <c r="L24" s="347">
        <f t="shared" si="31"/>
        <v>398.55</v>
      </c>
      <c r="M24" s="347">
        <f t="shared" si="31"/>
        <v>524.02</v>
      </c>
      <c r="N24" s="348">
        <f t="shared" si="31"/>
        <v>615.55999999999995</v>
      </c>
      <c r="O24" s="347">
        <f>O23-O25</f>
        <v>600.04999999999995</v>
      </c>
      <c r="P24" s="347">
        <f t="shared" ref="P24:X24" si="32">P23-P25</f>
        <v>696.05799999999999</v>
      </c>
      <c r="Q24" s="347">
        <f t="shared" si="32"/>
        <v>807.42727999999988</v>
      </c>
      <c r="R24" s="347">
        <f t="shared" si="32"/>
        <v>936.61564479999981</v>
      </c>
      <c r="S24" s="347">
        <f t="shared" si="32"/>
        <v>1086.4741479679997</v>
      </c>
      <c r="T24" s="347">
        <f t="shared" si="32"/>
        <v>1260.3100116428795</v>
      </c>
      <c r="U24" s="347">
        <f t="shared" si="32"/>
        <v>1461.9596135057402</v>
      </c>
      <c r="V24" s="347">
        <f t="shared" si="32"/>
        <v>1695.8731516666585</v>
      </c>
      <c r="W24" s="347">
        <f t="shared" si="32"/>
        <v>1967.2128559333237</v>
      </c>
      <c r="X24" s="347">
        <f t="shared" si="32"/>
        <v>2281.9669128826554</v>
      </c>
    </row>
    <row r="25" spans="3:31">
      <c r="D25" s="18" t="s">
        <v>316</v>
      </c>
      <c r="E25" s="72">
        <f>E22+E23-E24</f>
        <v>2366.5191246327254</v>
      </c>
      <c r="F25" s="835"/>
      <c r="H25" s="163" t="s">
        <v>194</v>
      </c>
      <c r="I25" s="266">
        <f>I23-I24</f>
        <v>80.97999999999999</v>
      </c>
      <c r="J25" s="266">
        <f t="shared" ref="J25:N25" si="33">J23-J24</f>
        <v>127.64999999999998</v>
      </c>
      <c r="K25" s="266">
        <f t="shared" si="33"/>
        <v>271.17</v>
      </c>
      <c r="L25" s="266">
        <f t="shared" si="33"/>
        <v>331.95</v>
      </c>
      <c r="M25" s="266">
        <f t="shared" si="33"/>
        <v>385.25</v>
      </c>
      <c r="N25" s="345">
        <f t="shared" si="33"/>
        <v>438.06000000000017</v>
      </c>
      <c r="O25" s="266">
        <f>O23*0.45</f>
        <v>490.95</v>
      </c>
      <c r="P25" s="266">
        <f t="shared" ref="P25:X25" si="34">P23*0.45</f>
        <v>569.50199999999995</v>
      </c>
      <c r="Q25" s="266">
        <f t="shared" si="34"/>
        <v>660.62231999999995</v>
      </c>
      <c r="R25" s="266">
        <f t="shared" si="34"/>
        <v>766.32189119999987</v>
      </c>
      <c r="S25" s="266">
        <f t="shared" si="34"/>
        <v>888.93339379199983</v>
      </c>
      <c r="T25" s="266">
        <f t="shared" si="34"/>
        <v>1031.1627367987198</v>
      </c>
      <c r="U25" s="266">
        <f t="shared" si="34"/>
        <v>1196.1487746865148</v>
      </c>
      <c r="V25" s="266">
        <f t="shared" si="34"/>
        <v>1387.5325786363569</v>
      </c>
      <c r="W25" s="266">
        <f t="shared" si="34"/>
        <v>1609.5377912181739</v>
      </c>
      <c r="X25" s="266">
        <f t="shared" si="34"/>
        <v>1867.0638378130816</v>
      </c>
    </row>
    <row r="26" spans="3:31" ht="16" thickBot="1">
      <c r="D26" s="18" t="s">
        <v>318</v>
      </c>
      <c r="E26" s="72">
        <f>E6</f>
        <v>152.97</v>
      </c>
      <c r="F26" s="835"/>
      <c r="H26" s="357" t="s">
        <v>295</v>
      </c>
      <c r="I26" s="358">
        <f>I25/I23</f>
        <v>0.67119767923746365</v>
      </c>
      <c r="J26" s="358">
        <f t="shared" ref="J26:X26" si="35">J25/J23</f>
        <v>0.57572614107883813</v>
      </c>
      <c r="K26" s="358">
        <f t="shared" si="35"/>
        <v>0.49450188741178402</v>
      </c>
      <c r="L26" s="358">
        <f t="shared" si="35"/>
        <v>0.45441478439425048</v>
      </c>
      <c r="M26" s="358">
        <f t="shared" si="35"/>
        <v>0.42369153276804472</v>
      </c>
      <c r="N26" s="359">
        <f t="shared" si="35"/>
        <v>0.41576659516713815</v>
      </c>
      <c r="O26" s="358">
        <f t="shared" si="35"/>
        <v>0.45</v>
      </c>
      <c r="P26" s="358">
        <f t="shared" si="35"/>
        <v>0.44999999999999996</v>
      </c>
      <c r="Q26" s="358">
        <f t="shared" si="35"/>
        <v>0.45</v>
      </c>
      <c r="R26" s="358">
        <f t="shared" si="35"/>
        <v>0.45</v>
      </c>
      <c r="S26" s="358">
        <f t="shared" si="35"/>
        <v>0.45</v>
      </c>
      <c r="T26" s="358">
        <f t="shared" si="35"/>
        <v>0.45000000000000007</v>
      </c>
      <c r="U26" s="358">
        <f t="shared" si="35"/>
        <v>0.45</v>
      </c>
      <c r="V26" s="358">
        <f t="shared" si="35"/>
        <v>0.45</v>
      </c>
      <c r="W26" s="358">
        <f t="shared" si="35"/>
        <v>0.45</v>
      </c>
      <c r="X26" s="358">
        <f t="shared" si="35"/>
        <v>0.45</v>
      </c>
    </row>
    <row r="27" spans="3:31" ht="16" thickBot="1">
      <c r="D27" s="73" t="s">
        <v>319</v>
      </c>
      <c r="E27" s="74">
        <f>E25/E26</f>
        <v>15.4704786862308</v>
      </c>
      <c r="F27" s="835"/>
      <c r="H27" s="163" t="s">
        <v>195</v>
      </c>
      <c r="I27" s="297">
        <v>32.75</v>
      </c>
      <c r="J27" s="297">
        <v>55.3</v>
      </c>
      <c r="K27" s="297">
        <v>121.15</v>
      </c>
      <c r="L27" s="297">
        <v>140.44</v>
      </c>
      <c r="M27" s="297">
        <v>129.41999999999999</v>
      </c>
      <c r="N27" s="345">
        <v>117.75999999999996</v>
      </c>
      <c r="O27" s="360">
        <f>O23*O28</f>
        <v>130.91999999999999</v>
      </c>
      <c r="P27" s="360">
        <f t="shared" ref="P27:X27" si="36">P23*P28</f>
        <v>151.8672</v>
      </c>
      <c r="Q27" s="360">
        <f t="shared" si="36"/>
        <v>176.16595199999998</v>
      </c>
      <c r="R27" s="360">
        <f t="shared" si="36"/>
        <v>187.32312895999996</v>
      </c>
      <c r="S27" s="360">
        <f t="shared" si="36"/>
        <v>217.29482959359996</v>
      </c>
      <c r="T27" s="360">
        <f t="shared" si="36"/>
        <v>252.06200232857594</v>
      </c>
      <c r="U27" s="360">
        <f t="shared" si="36"/>
        <v>292.39192270114808</v>
      </c>
      <c r="V27" s="360">
        <f t="shared" si="36"/>
        <v>339.17463033333172</v>
      </c>
      <c r="W27" s="360">
        <f t="shared" si="36"/>
        <v>393.44257118666474</v>
      </c>
      <c r="X27" s="360">
        <f t="shared" si="36"/>
        <v>456.39338257653105</v>
      </c>
    </row>
    <row r="28" spans="3:31">
      <c r="D28" s="18" t="s">
        <v>321</v>
      </c>
      <c r="E28" s="75">
        <v>13.29</v>
      </c>
      <c r="F28" s="835"/>
      <c r="H28" s="361" t="s">
        <v>289</v>
      </c>
      <c r="I28" s="362">
        <f>I27/I23</f>
        <v>0.27144633236634896</v>
      </c>
      <c r="J28" s="362">
        <f t="shared" ref="J28:N28" si="37">J27/J23</f>
        <v>0.24941367490528596</v>
      </c>
      <c r="K28" s="362">
        <f t="shared" si="37"/>
        <v>0.22092747597425097</v>
      </c>
      <c r="L28" s="362">
        <f t="shared" si="37"/>
        <v>0.19225188227241616</v>
      </c>
      <c r="M28" s="362">
        <f t="shared" si="37"/>
        <v>0.14233396020983866</v>
      </c>
      <c r="N28" s="363">
        <f t="shared" si="37"/>
        <v>0.11176705073935569</v>
      </c>
      <c r="O28" s="364">
        <v>0.12</v>
      </c>
      <c r="P28" s="364">
        <f>O28</f>
        <v>0.12</v>
      </c>
      <c r="Q28" s="364">
        <f t="shared" ref="Q28:X28" si="38">P28</f>
        <v>0.12</v>
      </c>
      <c r="R28" s="364">
        <v>0.11</v>
      </c>
      <c r="S28" s="364">
        <f t="shared" si="38"/>
        <v>0.11</v>
      </c>
      <c r="T28" s="364">
        <f t="shared" si="38"/>
        <v>0.11</v>
      </c>
      <c r="U28" s="364">
        <f t="shared" si="38"/>
        <v>0.11</v>
      </c>
      <c r="V28" s="364">
        <f t="shared" si="38"/>
        <v>0.11</v>
      </c>
      <c r="W28" s="364">
        <f t="shared" si="38"/>
        <v>0.11</v>
      </c>
      <c r="X28" s="364">
        <f t="shared" si="38"/>
        <v>0.11</v>
      </c>
    </row>
    <row r="29" spans="3:31">
      <c r="D29" s="130" t="s">
        <v>323</v>
      </c>
      <c r="E29" s="131">
        <f>(E27-E28)/E28</f>
        <v>0.16406912612722357</v>
      </c>
      <c r="F29" s="835"/>
      <c r="H29" s="163" t="s">
        <v>198</v>
      </c>
      <c r="I29" s="297">
        <v>82.47</v>
      </c>
      <c r="J29" s="297">
        <v>149.94</v>
      </c>
      <c r="K29" s="297">
        <v>311.90999999999997</v>
      </c>
      <c r="L29" s="297">
        <v>356.31</v>
      </c>
      <c r="M29" s="297">
        <v>338.03</v>
      </c>
      <c r="N29" s="345">
        <v>349.67999999999995</v>
      </c>
      <c r="O29" s="266">
        <f>O23*O30</f>
        <v>327.3</v>
      </c>
      <c r="P29" s="266">
        <f t="shared" ref="P29:X29" si="39">P23*P30</f>
        <v>379.66799999999995</v>
      </c>
      <c r="Q29" s="266">
        <f t="shared" si="39"/>
        <v>411.05388799999997</v>
      </c>
      <c r="R29" s="266">
        <f t="shared" si="39"/>
        <v>476.82251007999997</v>
      </c>
      <c r="S29" s="266">
        <f t="shared" si="39"/>
        <v>553.11411169279995</v>
      </c>
      <c r="T29" s="266">
        <f t="shared" si="39"/>
        <v>641.61236956364792</v>
      </c>
      <c r="U29" s="266">
        <f t="shared" si="39"/>
        <v>744.27034869383147</v>
      </c>
      <c r="V29" s="266">
        <f t="shared" si="39"/>
        <v>863.35360448484437</v>
      </c>
      <c r="W29" s="266">
        <f t="shared" si="39"/>
        <v>1001.4901812024194</v>
      </c>
      <c r="X29" s="266">
        <f t="shared" si="39"/>
        <v>1161.7286101948064</v>
      </c>
    </row>
    <row r="30" spans="3:31">
      <c r="D30" s="70" t="s">
        <v>306</v>
      </c>
      <c r="E30" s="60"/>
      <c r="H30" s="361" t="s">
        <v>289</v>
      </c>
      <c r="I30" s="362">
        <f>I29/I23</f>
        <v>0.68354745130542893</v>
      </c>
      <c r="J30" s="362">
        <f t="shared" ref="J30:N30" si="40">J29/J23</f>
        <v>0.67625834385711714</v>
      </c>
      <c r="K30" s="362">
        <f t="shared" si="40"/>
        <v>0.56879479183762782</v>
      </c>
      <c r="L30" s="362">
        <f t="shared" si="40"/>
        <v>0.4877618069815195</v>
      </c>
      <c r="M30" s="362">
        <f t="shared" si="40"/>
        <v>0.37175976332662464</v>
      </c>
      <c r="N30" s="363">
        <f t="shared" si="40"/>
        <v>0.33188436058541021</v>
      </c>
      <c r="O30" s="364">
        <v>0.3</v>
      </c>
      <c r="P30" s="364">
        <f>O30</f>
        <v>0.3</v>
      </c>
      <c r="Q30" s="364">
        <v>0.28000000000000003</v>
      </c>
      <c r="R30" s="364">
        <v>0.28000000000000003</v>
      </c>
      <c r="S30" s="364">
        <f t="shared" ref="S30:X30" si="41">R30</f>
        <v>0.28000000000000003</v>
      </c>
      <c r="T30" s="364">
        <f t="shared" si="41"/>
        <v>0.28000000000000003</v>
      </c>
      <c r="U30" s="364">
        <f t="shared" si="41"/>
        <v>0.28000000000000003</v>
      </c>
      <c r="V30" s="364">
        <f t="shared" si="41"/>
        <v>0.28000000000000003</v>
      </c>
      <c r="W30" s="364">
        <f t="shared" si="41"/>
        <v>0.28000000000000003</v>
      </c>
      <c r="X30" s="364">
        <f t="shared" si="41"/>
        <v>0.28000000000000003</v>
      </c>
    </row>
    <row r="31" spans="3:31" ht="15" customHeight="1">
      <c r="D31" s="11" t="s">
        <v>307</v>
      </c>
      <c r="E31" s="13">
        <f>SUM(O47:X47)</f>
        <v>743.60499116845301</v>
      </c>
      <c r="F31" s="837" t="s">
        <v>324</v>
      </c>
      <c r="H31" s="163" t="s">
        <v>358</v>
      </c>
      <c r="I31" s="297">
        <v>24.560000000000002</v>
      </c>
      <c r="J31" s="297">
        <v>50.059999999999995</v>
      </c>
      <c r="K31" s="297">
        <v>155.83000000000001</v>
      </c>
      <c r="L31" s="297">
        <v>185.73000000000002</v>
      </c>
      <c r="M31" s="297">
        <v>119.94999999999999</v>
      </c>
      <c r="N31" s="365">
        <v>126.10999999999999</v>
      </c>
      <c r="O31" s="266">
        <f>O23*O32</f>
        <v>163.65</v>
      </c>
      <c r="P31" s="266">
        <f t="shared" ref="P31:X31" si="42">P23*P32</f>
        <v>189.83399999999997</v>
      </c>
      <c r="Q31" s="266">
        <f t="shared" si="42"/>
        <v>190.84644799999998</v>
      </c>
      <c r="R31" s="266">
        <f t="shared" si="42"/>
        <v>204.35250431999995</v>
      </c>
      <c r="S31" s="266">
        <f t="shared" si="42"/>
        <v>197.54075417599995</v>
      </c>
      <c r="T31" s="266">
        <f t="shared" si="42"/>
        <v>229.14727484415994</v>
      </c>
      <c r="U31" s="266">
        <f t="shared" si="42"/>
        <v>265.81083881922552</v>
      </c>
      <c r="V31" s="266">
        <f t="shared" si="42"/>
        <v>308.34057303030158</v>
      </c>
      <c r="W31" s="266">
        <f t="shared" si="42"/>
        <v>357.6750647151498</v>
      </c>
      <c r="X31" s="266">
        <f t="shared" si="42"/>
        <v>414.90307506957373</v>
      </c>
    </row>
    <row r="32" spans="3:31">
      <c r="C32" t="s">
        <v>345</v>
      </c>
      <c r="D32" t="s">
        <v>310</v>
      </c>
      <c r="E32" s="12">
        <f>(X46*(1+E9))/(E10-E9)</f>
        <v>3045.2970061941032</v>
      </c>
      <c r="F32" s="837"/>
      <c r="H32" s="366" t="s">
        <v>289</v>
      </c>
      <c r="I32" s="367">
        <f>I31/I23</f>
        <v>0.20356402818068797</v>
      </c>
      <c r="J32" s="367">
        <f t="shared" ref="J32:N32" si="43">J31/J23</f>
        <v>0.22578026339527332</v>
      </c>
      <c r="K32" s="367">
        <f t="shared" si="43"/>
        <v>0.28416944763572044</v>
      </c>
      <c r="L32" s="367">
        <f t="shared" si="43"/>
        <v>0.25425051334702259</v>
      </c>
      <c r="M32" s="367">
        <f t="shared" si="43"/>
        <v>0.13191901195464492</v>
      </c>
      <c r="N32" s="368">
        <f t="shared" si="43"/>
        <v>0.11969210910954611</v>
      </c>
      <c r="O32" s="367">
        <v>0.15</v>
      </c>
      <c r="P32" s="367">
        <f>O32</f>
        <v>0.15</v>
      </c>
      <c r="Q32" s="367">
        <v>0.13</v>
      </c>
      <c r="R32" s="367">
        <v>0.12</v>
      </c>
      <c r="S32" s="367">
        <v>0.1</v>
      </c>
      <c r="T32" s="367">
        <f t="shared" ref="T32:X32" si="44">S32</f>
        <v>0.1</v>
      </c>
      <c r="U32" s="367">
        <f t="shared" si="44"/>
        <v>0.1</v>
      </c>
      <c r="V32" s="367">
        <f t="shared" si="44"/>
        <v>0.1</v>
      </c>
      <c r="W32" s="367">
        <f t="shared" si="44"/>
        <v>0.1</v>
      </c>
      <c r="X32" s="367">
        <f t="shared" si="44"/>
        <v>0.1</v>
      </c>
    </row>
    <row r="33" spans="3:24">
      <c r="C33" t="s">
        <v>347</v>
      </c>
      <c r="D33" s="11" t="s">
        <v>311</v>
      </c>
      <c r="E33" s="13">
        <f>E32/((1+E10)^10)</f>
        <v>980.50413346427229</v>
      </c>
      <c r="F33" s="837"/>
      <c r="H33" s="163" t="s">
        <v>305</v>
      </c>
      <c r="I33" s="266">
        <f>I25-I27-I29-I31</f>
        <v>-58.800000000000011</v>
      </c>
      <c r="J33" s="266">
        <f t="shared" ref="J33:N33" si="45">J25-J27-J29-J31</f>
        <v>-127.65</v>
      </c>
      <c r="K33" s="266">
        <f t="shared" si="45"/>
        <v>-317.71999999999997</v>
      </c>
      <c r="L33" s="266">
        <f t="shared" si="45"/>
        <v>-350.53000000000003</v>
      </c>
      <c r="M33" s="266">
        <f t="shared" si="45"/>
        <v>-202.14999999999995</v>
      </c>
      <c r="N33" s="369">
        <f t="shared" si="45"/>
        <v>-155.48999999999975</v>
      </c>
      <c r="O33" s="266">
        <f>O25-O27-O29-O31</f>
        <v>-130.92000000000004</v>
      </c>
      <c r="P33" s="266">
        <f t="shared" ref="P33:X33" si="46">P25-P27-P29-P31</f>
        <v>-151.8672</v>
      </c>
      <c r="Q33" s="266">
        <f t="shared" si="46"/>
        <v>-117.44396799999996</v>
      </c>
      <c r="R33" s="266">
        <f t="shared" si="46"/>
        <v>-102.17625216000002</v>
      </c>
      <c r="S33" s="266">
        <f t="shared" si="46"/>
        <v>-79.016301670400026</v>
      </c>
      <c r="T33" s="266">
        <f t="shared" si="46"/>
        <v>-91.658909937664021</v>
      </c>
      <c r="U33" s="266">
        <f t="shared" si="46"/>
        <v>-106.32433552769032</v>
      </c>
      <c r="V33" s="266">
        <f t="shared" si="46"/>
        <v>-123.33622921212066</v>
      </c>
      <c r="W33" s="266">
        <f t="shared" si="46"/>
        <v>-143.07002588606008</v>
      </c>
      <c r="X33" s="266">
        <f t="shared" si="46"/>
        <v>-165.96123002782969</v>
      </c>
    </row>
    <row r="34" spans="3:24">
      <c r="D34" t="s">
        <v>312</v>
      </c>
      <c r="E34" s="12">
        <f>+E33+E31</f>
        <v>1724.1091246327253</v>
      </c>
      <c r="F34" s="837"/>
      <c r="H34" s="361" t="s">
        <v>289</v>
      </c>
      <c r="I34" s="362">
        <f>I33/I23</f>
        <v>-0.48736013261500222</v>
      </c>
      <c r="J34" s="362">
        <f t="shared" ref="J34:N34" si="47">J33/J23</f>
        <v>-0.57572614107883824</v>
      </c>
      <c r="K34" s="362">
        <f t="shared" si="47"/>
        <v>-0.57938982803581518</v>
      </c>
      <c r="L34" s="362">
        <f t="shared" si="47"/>
        <v>-0.47984941820670779</v>
      </c>
      <c r="M34" s="362">
        <f t="shared" si="47"/>
        <v>-0.22232120272306349</v>
      </c>
      <c r="N34" s="363">
        <f t="shared" si="47"/>
        <v>-0.14757692526717386</v>
      </c>
      <c r="O34" s="364">
        <f>O33/O23</f>
        <v>-0.12000000000000004</v>
      </c>
      <c r="P34" s="364">
        <f>P33/P23</f>
        <v>-0.12000000000000001</v>
      </c>
      <c r="Q34" s="364">
        <f t="shared" ref="Q34:X34" si="48">Q33/Q23</f>
        <v>-7.9999999999999974E-2</v>
      </c>
      <c r="R34" s="364">
        <f t="shared" si="48"/>
        <v>-6.0000000000000019E-2</v>
      </c>
      <c r="S34" s="364">
        <f t="shared" si="48"/>
        <v>-4.0000000000000022E-2</v>
      </c>
      <c r="T34" s="364">
        <f t="shared" si="48"/>
        <v>-4.0000000000000022E-2</v>
      </c>
      <c r="U34" s="364">
        <f t="shared" si="48"/>
        <v>-4.0000000000000049E-2</v>
      </c>
      <c r="V34" s="364">
        <f t="shared" si="48"/>
        <v>-4.0000000000000015E-2</v>
      </c>
      <c r="W34" s="364">
        <f t="shared" si="48"/>
        <v>-4.0000000000000049E-2</v>
      </c>
      <c r="X34" s="364">
        <f t="shared" si="48"/>
        <v>-4.0000000000000049E-2</v>
      </c>
    </row>
    <row r="35" spans="3:24">
      <c r="D35" t="s">
        <v>313</v>
      </c>
      <c r="E35" s="12">
        <f>E13</f>
        <v>561.57000000000005</v>
      </c>
      <c r="F35" s="837"/>
      <c r="H35" s="163" t="s">
        <v>267</v>
      </c>
      <c r="I35" s="297">
        <v>1.77</v>
      </c>
      <c r="J35" s="297">
        <v>-0.35</v>
      </c>
      <c r="K35" s="297">
        <v>2.99</v>
      </c>
      <c r="L35" s="297">
        <v>24.81</v>
      </c>
      <c r="M35" s="297">
        <v>42.53</v>
      </c>
      <c r="N35" s="345">
        <v>38.620000000000005</v>
      </c>
      <c r="O35" s="266">
        <f>O23*O36</f>
        <v>43.64</v>
      </c>
      <c r="P35" s="266">
        <f t="shared" ref="P35:X35" si="49">P23*P36</f>
        <v>50.622399999999999</v>
      </c>
      <c r="Q35" s="266">
        <f t="shared" si="49"/>
        <v>58.721983999999992</v>
      </c>
      <c r="R35" s="266">
        <f t="shared" si="49"/>
        <v>68.117501439999984</v>
      </c>
      <c r="S35" s="266">
        <f t="shared" si="49"/>
        <v>79.016301670399983</v>
      </c>
      <c r="T35" s="266">
        <f t="shared" si="49"/>
        <v>91.658909937663978</v>
      </c>
      <c r="U35" s="266">
        <f t="shared" si="49"/>
        <v>106.32433552769021</v>
      </c>
      <c r="V35" s="266">
        <f t="shared" si="49"/>
        <v>123.33622921212061</v>
      </c>
      <c r="W35" s="266">
        <f t="shared" si="49"/>
        <v>143.07002588605991</v>
      </c>
      <c r="X35" s="266">
        <f t="shared" si="49"/>
        <v>165.96123002782949</v>
      </c>
    </row>
    <row r="36" spans="3:24">
      <c r="D36" s="11" t="s">
        <v>315</v>
      </c>
      <c r="E36" s="13">
        <f>E12</f>
        <v>19.16</v>
      </c>
      <c r="F36" s="837"/>
      <c r="H36" s="361" t="s">
        <v>289</v>
      </c>
      <c r="I36" s="362">
        <f>I35/I23</f>
        <v>1.4670534604227105E-2</v>
      </c>
      <c r="J36" s="362">
        <f t="shared" ref="J36:N36" si="50">J35/J23</f>
        <v>-1.5785675626916833E-3</v>
      </c>
      <c r="K36" s="362">
        <f t="shared" si="50"/>
        <v>5.4525229315972798E-3</v>
      </c>
      <c r="L36" s="362">
        <f t="shared" si="50"/>
        <v>3.3963039014373718E-2</v>
      </c>
      <c r="M36" s="362">
        <f t="shared" si="50"/>
        <v>4.6773785564243844E-2</v>
      </c>
      <c r="N36" s="363">
        <f t="shared" si="50"/>
        <v>3.6654581348114119E-2</v>
      </c>
      <c r="O36" s="364">
        <v>0.04</v>
      </c>
      <c r="P36" s="364">
        <f>O36</f>
        <v>0.04</v>
      </c>
      <c r="Q36" s="364">
        <f t="shared" ref="Q36:X36" si="51">P36</f>
        <v>0.04</v>
      </c>
      <c r="R36" s="364">
        <f t="shared" si="51"/>
        <v>0.04</v>
      </c>
      <c r="S36" s="364">
        <f t="shared" si="51"/>
        <v>0.04</v>
      </c>
      <c r="T36" s="364">
        <f t="shared" si="51"/>
        <v>0.04</v>
      </c>
      <c r="U36" s="364">
        <f t="shared" si="51"/>
        <v>0.04</v>
      </c>
      <c r="V36" s="364">
        <f t="shared" si="51"/>
        <v>0.04</v>
      </c>
      <c r="W36" s="364">
        <f t="shared" si="51"/>
        <v>0.04</v>
      </c>
      <c r="X36" s="364">
        <f t="shared" si="51"/>
        <v>0.04</v>
      </c>
    </row>
    <row r="37" spans="3:24">
      <c r="D37" t="s">
        <v>316</v>
      </c>
      <c r="E37" s="12">
        <f>E34+E35-E36</f>
        <v>2266.5191246327254</v>
      </c>
      <c r="F37" s="837"/>
      <c r="H37" s="163" t="s">
        <v>309</v>
      </c>
      <c r="I37" s="297">
        <v>-3.11</v>
      </c>
      <c r="J37" s="297">
        <v>-5.79</v>
      </c>
      <c r="K37" s="297">
        <v>-26.92</v>
      </c>
      <c r="L37" s="297">
        <v>-4.22</v>
      </c>
      <c r="M37" s="297">
        <v>3.48</v>
      </c>
      <c r="N37" s="345">
        <v>5.2900000000000009</v>
      </c>
      <c r="O37" s="266">
        <f>ABS(O33*O38)</f>
        <v>2.6184000000000007</v>
      </c>
      <c r="P37" s="266">
        <f>ABS(P33*P38)</f>
        <v>3.037344</v>
      </c>
      <c r="Q37" s="266">
        <f t="shared" ref="Q37:X37" si="52">ABS(Q33*Q38)</f>
        <v>2.3488793599999993</v>
      </c>
      <c r="R37" s="266">
        <f t="shared" si="52"/>
        <v>2.0435250432000003</v>
      </c>
      <c r="S37" s="266">
        <f t="shared" si="52"/>
        <v>1.5803260334080005</v>
      </c>
      <c r="T37" s="266">
        <f t="shared" si="52"/>
        <v>1.8331781987532805</v>
      </c>
      <c r="U37" s="266">
        <f t="shared" si="52"/>
        <v>2.1264867105538063</v>
      </c>
      <c r="V37" s="266">
        <f t="shared" si="52"/>
        <v>2.4667245842424133</v>
      </c>
      <c r="W37" s="266">
        <f t="shared" si="52"/>
        <v>2.8614005177212016</v>
      </c>
      <c r="X37" s="266">
        <f t="shared" si="52"/>
        <v>3.319224600556594</v>
      </c>
    </row>
    <row r="38" spans="3:24" ht="16" thickBot="1">
      <c r="D38" t="s">
        <v>318</v>
      </c>
      <c r="E38" s="12">
        <f>E7</f>
        <v>146.06</v>
      </c>
      <c r="F38" s="837"/>
      <c r="H38" s="366" t="s">
        <v>346</v>
      </c>
      <c r="I38" s="367">
        <f>ABS(I37/I33)</f>
        <v>5.2891156462585021E-2</v>
      </c>
      <c r="J38" s="367">
        <f t="shared" ref="J38:N38" si="53">ABS(J37/J33)</f>
        <v>4.5358401880141008E-2</v>
      </c>
      <c r="K38" s="367">
        <f t="shared" si="53"/>
        <v>8.4728691930001265E-2</v>
      </c>
      <c r="L38" s="367">
        <f t="shared" si="53"/>
        <v>1.203891250392263E-2</v>
      </c>
      <c r="M38" s="367">
        <f t="shared" si="53"/>
        <v>1.7214939401434582E-2</v>
      </c>
      <c r="N38" s="368">
        <f t="shared" si="53"/>
        <v>3.4021480481059935E-2</v>
      </c>
      <c r="O38" s="367">
        <v>0.02</v>
      </c>
      <c r="P38" s="367">
        <f>O38</f>
        <v>0.02</v>
      </c>
      <c r="Q38" s="367">
        <f t="shared" ref="Q38:X38" si="54">P38</f>
        <v>0.02</v>
      </c>
      <c r="R38" s="367">
        <f t="shared" si="54"/>
        <v>0.02</v>
      </c>
      <c r="S38" s="367">
        <f t="shared" si="54"/>
        <v>0.02</v>
      </c>
      <c r="T38" s="367">
        <f t="shared" si="54"/>
        <v>0.02</v>
      </c>
      <c r="U38" s="367">
        <f t="shared" si="54"/>
        <v>0.02</v>
      </c>
      <c r="V38" s="367">
        <f t="shared" si="54"/>
        <v>0.02</v>
      </c>
      <c r="W38" s="367">
        <f t="shared" si="54"/>
        <v>0.02</v>
      </c>
      <c r="X38" s="367">
        <f t="shared" si="54"/>
        <v>0.02</v>
      </c>
    </row>
    <row r="39" spans="3:24" ht="16" thickBot="1">
      <c r="D39" s="76" t="s">
        <v>319</v>
      </c>
      <c r="E39" s="77">
        <f>E37/E38</f>
        <v>15.517726445520507</v>
      </c>
      <c r="F39" s="837"/>
      <c r="H39" s="163" t="s">
        <v>215</v>
      </c>
      <c r="I39" s="266">
        <f>I33+I35-I37</f>
        <v>-53.920000000000009</v>
      </c>
      <c r="J39" s="266">
        <f t="shared" ref="J39:N39" si="55">J33+J35-J37</f>
        <v>-122.21</v>
      </c>
      <c r="K39" s="266">
        <f t="shared" si="55"/>
        <v>-287.80999999999995</v>
      </c>
      <c r="L39" s="266">
        <f t="shared" si="55"/>
        <v>-321.5</v>
      </c>
      <c r="M39" s="266">
        <f t="shared" si="55"/>
        <v>-163.09999999999994</v>
      </c>
      <c r="N39" s="369">
        <f t="shared" si="55"/>
        <v>-122.15999999999976</v>
      </c>
      <c r="O39" s="266">
        <f>O33+O35-O37</f>
        <v>-89.898400000000038</v>
      </c>
      <c r="P39" s="266">
        <f t="shared" ref="P39:X39" si="56">P33+P35-P37</f>
        <v>-104.282144</v>
      </c>
      <c r="Q39" s="266">
        <f t="shared" si="56"/>
        <v>-61.070863359999962</v>
      </c>
      <c r="R39" s="266">
        <f t="shared" si="56"/>
        <v>-36.102275763200034</v>
      </c>
      <c r="S39" s="266">
        <f t="shared" si="56"/>
        <v>-1.5803260334080431</v>
      </c>
      <c r="T39" s="266">
        <f t="shared" si="56"/>
        <v>-1.8331781987533231</v>
      </c>
      <c r="U39" s="266">
        <f t="shared" si="56"/>
        <v>-2.12648671055392</v>
      </c>
      <c r="V39" s="266">
        <f t="shared" si="56"/>
        <v>-2.4667245842424559</v>
      </c>
      <c r="W39" s="266">
        <f t="shared" si="56"/>
        <v>-2.8614005177213722</v>
      </c>
      <c r="X39" s="266">
        <f t="shared" si="56"/>
        <v>-3.3192246005567929</v>
      </c>
    </row>
    <row r="40" spans="3:24">
      <c r="D40" t="s">
        <v>321</v>
      </c>
      <c r="E40" s="78">
        <v>13.29</v>
      </c>
      <c r="F40" s="837"/>
      <c r="H40" s="163"/>
      <c r="I40" s="163"/>
      <c r="J40" s="163"/>
      <c r="K40" s="163"/>
      <c r="L40" s="163"/>
      <c r="M40" s="163"/>
      <c r="N40" s="352"/>
      <c r="O40" s="163"/>
      <c r="P40" s="163"/>
      <c r="Q40" s="163"/>
      <c r="R40" s="163"/>
      <c r="S40" s="163"/>
      <c r="T40" s="163"/>
      <c r="U40" s="163"/>
      <c r="V40" s="163"/>
      <c r="W40" s="163"/>
      <c r="X40" s="163"/>
    </row>
    <row r="41" spans="3:24">
      <c r="D41" s="128" t="s">
        <v>323</v>
      </c>
      <c r="E41" s="129">
        <f>(E39-E40)/E40</f>
        <v>0.16762426226640392</v>
      </c>
      <c r="F41" s="837"/>
      <c r="H41" s="163" t="s">
        <v>208</v>
      </c>
      <c r="I41" s="297">
        <v>13.470000000000006</v>
      </c>
      <c r="J41" s="297">
        <v>36.489999999999995</v>
      </c>
      <c r="K41" s="297">
        <v>104.55000000000001</v>
      </c>
      <c r="L41" s="297">
        <v>115.27000000000001</v>
      </c>
      <c r="M41" s="297">
        <v>109.64</v>
      </c>
      <c r="N41" s="365">
        <v>104.40999999999998</v>
      </c>
      <c r="O41" s="266">
        <f>0.8*O31</f>
        <v>130.92000000000002</v>
      </c>
      <c r="P41" s="266">
        <f t="shared" ref="P41:X41" si="57">0.8*P31</f>
        <v>151.8672</v>
      </c>
      <c r="Q41" s="266">
        <f t="shared" si="57"/>
        <v>152.6771584</v>
      </c>
      <c r="R41" s="266">
        <f t="shared" si="57"/>
        <v>163.48200345599997</v>
      </c>
      <c r="S41" s="266">
        <f t="shared" si="57"/>
        <v>158.03260334079997</v>
      </c>
      <c r="T41" s="266">
        <f t="shared" si="57"/>
        <v>183.31781987532796</v>
      </c>
      <c r="U41" s="266">
        <f t="shared" si="57"/>
        <v>212.64867105538042</v>
      </c>
      <c r="V41" s="266">
        <f t="shared" si="57"/>
        <v>246.67245842424128</v>
      </c>
      <c r="W41" s="266">
        <f t="shared" si="57"/>
        <v>286.14005177211988</v>
      </c>
      <c r="X41" s="266">
        <f t="shared" si="57"/>
        <v>331.92246005565903</v>
      </c>
    </row>
    <row r="42" spans="3:24">
      <c r="H42" s="361" t="s">
        <v>289</v>
      </c>
      <c r="I42" s="362">
        <f>I41/I23</f>
        <v>0.11164525486945716</v>
      </c>
      <c r="J42" s="362">
        <f t="shared" ref="J42:N42" si="58">J41/J23</f>
        <v>0.16457694389319863</v>
      </c>
      <c r="K42" s="362">
        <f t="shared" si="58"/>
        <v>0.19065594397942998</v>
      </c>
      <c r="L42" s="362">
        <f t="shared" si="58"/>
        <v>0.15779603011635868</v>
      </c>
      <c r="M42" s="362">
        <f t="shared" si="58"/>
        <v>0.12058024569159875</v>
      </c>
      <c r="N42" s="363">
        <f t="shared" si="58"/>
        <v>9.9096448434919576E-2</v>
      </c>
      <c r="O42" s="364">
        <f>O41/O23</f>
        <v>0.12000000000000001</v>
      </c>
      <c r="P42" s="364">
        <f t="shared" ref="P42:W42" si="59">P41/P23</f>
        <v>0.12000000000000001</v>
      </c>
      <c r="Q42" s="364">
        <f t="shared" si="59"/>
        <v>0.10400000000000001</v>
      </c>
      <c r="R42" s="364">
        <f t="shared" si="59"/>
        <v>9.6000000000000002E-2</v>
      </c>
      <c r="S42" s="364">
        <f t="shared" si="59"/>
        <v>0.08</v>
      </c>
      <c r="T42" s="364">
        <f t="shared" si="59"/>
        <v>0.08</v>
      </c>
      <c r="U42" s="364">
        <f t="shared" si="59"/>
        <v>0.08</v>
      </c>
      <c r="V42" s="364">
        <f t="shared" si="59"/>
        <v>8.0000000000000016E-2</v>
      </c>
      <c r="W42" s="364">
        <f t="shared" si="59"/>
        <v>8.0000000000000016E-2</v>
      </c>
      <c r="X42" s="364">
        <f>X41/X23</f>
        <v>8.0000000000000016E-2</v>
      </c>
    </row>
    <row r="43" spans="3:24">
      <c r="H43" s="163" t="s">
        <v>359</v>
      </c>
      <c r="I43" s="370">
        <v>3.61</v>
      </c>
      <c r="J43" s="370">
        <v>1.79</v>
      </c>
      <c r="K43" s="370">
        <v>10.65</v>
      </c>
      <c r="L43" s="370">
        <v>9.23</v>
      </c>
      <c r="M43" s="370">
        <v>7.51</v>
      </c>
      <c r="N43" s="371">
        <v>6.16</v>
      </c>
      <c r="O43" s="266">
        <f>O23*O44</f>
        <v>10.91</v>
      </c>
      <c r="P43" s="266">
        <f t="shared" ref="P43:X43" si="60">P23*P44</f>
        <v>12.6556</v>
      </c>
      <c r="Q43" s="266">
        <f t="shared" si="60"/>
        <v>14.680495999999998</v>
      </c>
      <c r="R43" s="266">
        <f t="shared" si="60"/>
        <v>17.029375359999996</v>
      </c>
      <c r="S43" s="266">
        <f t="shared" si="60"/>
        <v>19.754075417599996</v>
      </c>
      <c r="T43" s="266">
        <f t="shared" si="60"/>
        <v>22.914727484415994</v>
      </c>
      <c r="U43" s="266">
        <f t="shared" si="60"/>
        <v>26.581083881922552</v>
      </c>
      <c r="V43" s="266">
        <f t="shared" si="60"/>
        <v>30.834057303030153</v>
      </c>
      <c r="W43" s="266">
        <f t="shared" si="60"/>
        <v>35.767506471514977</v>
      </c>
      <c r="X43" s="266">
        <f t="shared" si="60"/>
        <v>41.490307506957372</v>
      </c>
    </row>
    <row r="44" spans="3:24">
      <c r="H44" s="361" t="s">
        <v>289</v>
      </c>
      <c r="I44" s="362">
        <f>I43/I23</f>
        <v>2.9921259842519685E-2</v>
      </c>
      <c r="J44" s="362">
        <f t="shared" ref="J44:N44" si="61">J43/J23</f>
        <v>8.0732455349088947E-3</v>
      </c>
      <c r="K44" s="362">
        <f t="shared" si="61"/>
        <v>1.9421193719568904E-2</v>
      </c>
      <c r="L44" s="362">
        <f t="shared" si="61"/>
        <v>1.2635181382614649E-2</v>
      </c>
      <c r="M44" s="362">
        <f t="shared" si="61"/>
        <v>8.2593729035380023E-3</v>
      </c>
      <c r="N44" s="363">
        <f t="shared" si="61"/>
        <v>5.8465101269907548E-3</v>
      </c>
      <c r="O44" s="364">
        <v>0.01</v>
      </c>
      <c r="P44" s="364">
        <f>O44</f>
        <v>0.01</v>
      </c>
      <c r="Q44" s="364">
        <f t="shared" ref="Q44:X44" si="62">P44</f>
        <v>0.01</v>
      </c>
      <c r="R44" s="364">
        <f t="shared" si="62"/>
        <v>0.01</v>
      </c>
      <c r="S44" s="364">
        <f t="shared" si="62"/>
        <v>0.01</v>
      </c>
      <c r="T44" s="364">
        <f t="shared" si="62"/>
        <v>0.01</v>
      </c>
      <c r="U44" s="364">
        <f t="shared" si="62"/>
        <v>0.01</v>
      </c>
      <c r="V44" s="364">
        <f t="shared" si="62"/>
        <v>0.01</v>
      </c>
      <c r="W44" s="364">
        <f t="shared" si="62"/>
        <v>0.01</v>
      </c>
      <c r="X44" s="364">
        <f t="shared" si="62"/>
        <v>0.01</v>
      </c>
    </row>
    <row r="45" spans="3:24" ht="16" thickBot="1">
      <c r="H45" s="218" t="s">
        <v>320</v>
      </c>
      <c r="I45" s="218"/>
      <c r="J45" s="218"/>
      <c r="K45" s="218"/>
      <c r="L45" s="218"/>
      <c r="M45" s="218"/>
      <c r="N45" s="372"/>
      <c r="O45" s="373">
        <v>-0.13999999999999346</v>
      </c>
      <c r="P45" s="374">
        <v>-3.4911999999999992</v>
      </c>
      <c r="Q45" s="374">
        <v>-4.0497919999999965</v>
      </c>
      <c r="R45" s="374">
        <v>-4.6977587199999959</v>
      </c>
      <c r="S45" s="374">
        <v>-5.4494001151999996</v>
      </c>
      <c r="T45" s="374">
        <v>-6.3213041336319975</v>
      </c>
      <c r="U45" s="374">
        <v>-7.3327127950131157</v>
      </c>
      <c r="V45" s="374">
        <v>-8.5059468422152023</v>
      </c>
      <c r="W45" s="374">
        <v>-9.8668983369696477</v>
      </c>
      <c r="X45" s="374">
        <v>-11.445602070884789</v>
      </c>
    </row>
    <row r="46" spans="3:24">
      <c r="H46" s="336" t="s">
        <v>322</v>
      </c>
      <c r="I46" s="336"/>
      <c r="J46" s="336"/>
      <c r="K46" s="336"/>
      <c r="L46" s="336"/>
      <c r="M46" s="336"/>
      <c r="N46" s="375"/>
      <c r="O46" s="282">
        <f>O39+O41-O43-O45</f>
        <v>30.251599999999971</v>
      </c>
      <c r="P46" s="282">
        <f t="shared" ref="P46:X46" si="63">P39+P41-P43-P45</f>
        <v>38.420655999999994</v>
      </c>
      <c r="Q46" s="282">
        <f t="shared" si="63"/>
        <v>80.97559104000004</v>
      </c>
      <c r="R46" s="282">
        <f t="shared" si="63"/>
        <v>115.04811105279995</v>
      </c>
      <c r="S46" s="282">
        <f t="shared" si="63"/>
        <v>142.14760200499191</v>
      </c>
      <c r="T46" s="282">
        <f t="shared" si="63"/>
        <v>164.89121832579062</v>
      </c>
      <c r="U46" s="282">
        <f t="shared" si="63"/>
        <v>191.27381325791706</v>
      </c>
      <c r="V46" s="282">
        <f t="shared" si="63"/>
        <v>221.87762337918386</v>
      </c>
      <c r="W46" s="282">
        <f t="shared" si="63"/>
        <v>257.37804311985315</v>
      </c>
      <c r="X46" s="282">
        <f t="shared" si="63"/>
        <v>298.55853001902966</v>
      </c>
    </row>
    <row r="47" spans="3:24">
      <c r="H47" s="163" t="s">
        <v>349</v>
      </c>
      <c r="I47" s="163"/>
      <c r="J47" s="163"/>
      <c r="K47" s="163"/>
      <c r="L47" s="163"/>
      <c r="M47" s="163"/>
      <c r="N47" s="352"/>
      <c r="O47" s="266">
        <f>O46/((1+$E$8)^O22)</f>
        <v>27.160711079188342</v>
      </c>
      <c r="P47" s="266">
        <f t="shared" ref="P47:X47" si="64">P46/((1+$E$8)^P22)</f>
        <v>30.970652027659593</v>
      </c>
      <c r="Q47" s="266">
        <f t="shared" si="64"/>
        <v>58.604705239757628</v>
      </c>
      <c r="R47" s="266">
        <f t="shared" si="64"/>
        <v>74.756788870998008</v>
      </c>
      <c r="S47" s="266">
        <f t="shared" si="64"/>
        <v>82.928435055633386</v>
      </c>
      <c r="T47" s="266">
        <f t="shared" si="64"/>
        <v>86.36827497264747</v>
      </c>
      <c r="U47" s="266">
        <f t="shared" si="64"/>
        <v>89.950798139945263</v>
      </c>
      <c r="V47" s="266">
        <f t="shared" si="64"/>
        <v>93.681923004432164</v>
      </c>
      <c r="W47" s="266">
        <f t="shared" si="64"/>
        <v>97.567813507937927</v>
      </c>
      <c r="X47" s="266">
        <f t="shared" si="64"/>
        <v>101.61488927025319</v>
      </c>
    </row>
    <row r="53" spans="8:24">
      <c r="O53">
        <v>1</v>
      </c>
      <c r="P53">
        <f>O53+1</f>
        <v>2</v>
      </c>
      <c r="Q53">
        <f t="shared" ref="Q53:X53" si="65">P53+1</f>
        <v>3</v>
      </c>
      <c r="R53">
        <f t="shared" si="65"/>
        <v>4</v>
      </c>
      <c r="S53">
        <f t="shared" si="65"/>
        <v>5</v>
      </c>
      <c r="T53">
        <f t="shared" si="65"/>
        <v>6</v>
      </c>
      <c r="U53">
        <f t="shared" si="65"/>
        <v>7</v>
      </c>
      <c r="V53">
        <f t="shared" si="65"/>
        <v>8</v>
      </c>
      <c r="W53">
        <f t="shared" si="65"/>
        <v>9</v>
      </c>
      <c r="X53">
        <f t="shared" si="65"/>
        <v>10</v>
      </c>
    </row>
    <row r="54" spans="8:24">
      <c r="H54" s="654" t="s">
        <v>740</v>
      </c>
      <c r="I54" s="654"/>
      <c r="J54" s="654"/>
      <c r="K54" s="654"/>
      <c r="L54" s="654"/>
      <c r="M54" s="654"/>
      <c r="N54" s="654"/>
      <c r="O54" s="654"/>
      <c r="P54" s="654"/>
      <c r="Q54" s="654"/>
      <c r="R54" s="654"/>
      <c r="S54" s="654"/>
      <c r="T54" s="654"/>
      <c r="U54" s="654"/>
      <c r="V54" s="654"/>
      <c r="W54" s="654"/>
      <c r="X54" s="654"/>
    </row>
    <row r="55" spans="8:24">
      <c r="H55" s="597"/>
      <c r="I55" s="598" t="s">
        <v>175</v>
      </c>
      <c r="J55" s="598" t="s">
        <v>175</v>
      </c>
      <c r="K55" s="598" t="s">
        <v>175</v>
      </c>
      <c r="L55" s="598" t="s">
        <v>175</v>
      </c>
      <c r="M55" s="598" t="s">
        <v>175</v>
      </c>
      <c r="N55" s="598" t="s">
        <v>175</v>
      </c>
      <c r="O55" s="895" t="s">
        <v>440</v>
      </c>
      <c r="P55" s="895"/>
      <c r="Q55" s="895"/>
      <c r="R55" s="895"/>
      <c r="S55" s="895"/>
      <c r="T55" s="895"/>
      <c r="U55" s="895"/>
      <c r="V55" s="895"/>
      <c r="W55" s="895"/>
      <c r="X55" s="896"/>
    </row>
    <row r="56" spans="8:24">
      <c r="H56" s="599" t="s">
        <v>759</v>
      </c>
      <c r="I56" s="300" t="s">
        <v>763</v>
      </c>
      <c r="J56" s="300" t="s">
        <v>764</v>
      </c>
      <c r="K56" s="300" t="s">
        <v>765</v>
      </c>
      <c r="L56" s="300" t="s">
        <v>766</v>
      </c>
      <c r="M56" s="300" t="s">
        <v>767</v>
      </c>
      <c r="N56" s="300" t="s">
        <v>361</v>
      </c>
      <c r="O56" s="300" t="s">
        <v>446</v>
      </c>
      <c r="P56" s="300" t="s">
        <v>447</v>
      </c>
      <c r="Q56" s="300" t="s">
        <v>448</v>
      </c>
      <c r="R56" s="300" t="s">
        <v>449</v>
      </c>
      <c r="S56" s="300" t="s">
        <v>450</v>
      </c>
      <c r="T56" s="300" t="s">
        <v>451</v>
      </c>
      <c r="U56" s="300" t="s">
        <v>452</v>
      </c>
      <c r="V56" s="300" t="s">
        <v>453</v>
      </c>
      <c r="W56" s="300" t="s">
        <v>454</v>
      </c>
      <c r="X56" s="600" t="s">
        <v>455</v>
      </c>
    </row>
    <row r="57" spans="8:24">
      <c r="H57" s="601" t="s">
        <v>717</v>
      </c>
      <c r="I57" s="721">
        <v>120.64999999999999</v>
      </c>
      <c r="J57" s="721">
        <v>221.71999999999997</v>
      </c>
      <c r="K57" s="721">
        <v>548.37</v>
      </c>
      <c r="L57" s="721">
        <v>730.5</v>
      </c>
      <c r="M57" s="721">
        <v>909.27</v>
      </c>
      <c r="N57" s="721">
        <v>1053.6200000000001</v>
      </c>
      <c r="O57" s="722">
        <v>1091</v>
      </c>
      <c r="P57" s="722">
        <v>1254.6499999999999</v>
      </c>
      <c r="Q57" s="722">
        <v>1442.8474999999996</v>
      </c>
      <c r="R57" s="722">
        <v>1659.2746249999993</v>
      </c>
      <c r="S57" s="722">
        <v>1908.1658187499991</v>
      </c>
      <c r="T57" s="722">
        <v>2194.3906915624989</v>
      </c>
      <c r="U57" s="722">
        <v>2523.5492952968734</v>
      </c>
      <c r="V57" s="722">
        <v>2902.081689591404</v>
      </c>
      <c r="W57" s="722">
        <v>3337.3939430301143</v>
      </c>
      <c r="X57" s="723">
        <v>3838.0030344846314</v>
      </c>
    </row>
    <row r="58" spans="8:24">
      <c r="H58" s="602" t="s">
        <v>432</v>
      </c>
      <c r="I58" s="724">
        <v>39.67</v>
      </c>
      <c r="J58" s="724">
        <v>94.07</v>
      </c>
      <c r="K58" s="724">
        <v>277.2</v>
      </c>
      <c r="L58" s="724">
        <v>398.55</v>
      </c>
      <c r="M58" s="724">
        <v>524.02</v>
      </c>
      <c r="N58" s="724">
        <v>615.55999999999995</v>
      </c>
      <c r="O58" s="725">
        <v>654.59999999999991</v>
      </c>
      <c r="P58" s="725">
        <v>752.79</v>
      </c>
      <c r="Q58" s="725">
        <v>865.70849999999973</v>
      </c>
      <c r="R58" s="725">
        <v>995.5647749999996</v>
      </c>
      <c r="S58" s="725">
        <v>1144.8994912499993</v>
      </c>
      <c r="T58" s="725">
        <v>1316.6344149374993</v>
      </c>
      <c r="U58" s="725">
        <v>1514.129577178124</v>
      </c>
      <c r="V58" s="725">
        <v>1741.2490137548423</v>
      </c>
      <c r="W58" s="725">
        <v>2002.4363658180685</v>
      </c>
      <c r="X58" s="726">
        <v>2302.8018206907786</v>
      </c>
    </row>
    <row r="59" spans="8:24">
      <c r="H59" s="602" t="s">
        <v>195</v>
      </c>
      <c r="I59" s="724">
        <v>32.75</v>
      </c>
      <c r="J59" s="724">
        <v>55.3</v>
      </c>
      <c r="K59" s="724">
        <v>121.15</v>
      </c>
      <c r="L59" s="724">
        <v>140.44</v>
      </c>
      <c r="M59" s="724">
        <v>129.41999999999999</v>
      </c>
      <c r="N59" s="724">
        <v>117.75999999999996</v>
      </c>
      <c r="O59" s="791">
        <v>130.91999999999999</v>
      </c>
      <c r="P59" s="791">
        <v>150.55799999999996</v>
      </c>
      <c r="Q59" s="791">
        <v>173.14169999999996</v>
      </c>
      <c r="R59" s="791">
        <v>199.11295499999991</v>
      </c>
      <c r="S59" s="791">
        <v>228.97989824999988</v>
      </c>
      <c r="T59" s="791">
        <v>263.32688298749986</v>
      </c>
      <c r="U59" s="791">
        <v>302.82591543562478</v>
      </c>
      <c r="V59" s="791">
        <v>348.24980275096846</v>
      </c>
      <c r="W59" s="791">
        <v>400.48727316361368</v>
      </c>
      <c r="X59" s="792">
        <v>460.56036413815576</v>
      </c>
    </row>
    <row r="60" spans="8:24">
      <c r="H60" s="602" t="s">
        <v>198</v>
      </c>
      <c r="I60" s="724">
        <v>82.47</v>
      </c>
      <c r="J60" s="724">
        <v>149.94</v>
      </c>
      <c r="K60" s="724">
        <v>311.90999999999997</v>
      </c>
      <c r="L60" s="724">
        <v>356.31</v>
      </c>
      <c r="M60" s="724">
        <v>338.03</v>
      </c>
      <c r="N60" s="724">
        <v>349.67999999999995</v>
      </c>
      <c r="O60" s="725">
        <v>305.48</v>
      </c>
      <c r="P60" s="725">
        <v>351.30200000000002</v>
      </c>
      <c r="Q60" s="725">
        <v>403.99729999999994</v>
      </c>
      <c r="R60" s="725">
        <v>464.59689499999985</v>
      </c>
      <c r="S60" s="725">
        <v>534.28642924999974</v>
      </c>
      <c r="T60" s="725">
        <v>614.42939363749974</v>
      </c>
      <c r="U60" s="725">
        <v>706.59380268312464</v>
      </c>
      <c r="V60" s="725">
        <v>812.58287308559318</v>
      </c>
      <c r="W60" s="725">
        <v>934.47030404843213</v>
      </c>
      <c r="X60" s="726">
        <v>1074.6408496556969</v>
      </c>
    </row>
    <row r="61" spans="8:24">
      <c r="H61" s="603" t="s">
        <v>208</v>
      </c>
      <c r="I61" s="727">
        <v>24.560000000000002</v>
      </c>
      <c r="J61" s="727">
        <v>50.059999999999995</v>
      </c>
      <c r="K61" s="727">
        <v>155.83000000000001</v>
      </c>
      <c r="L61" s="727">
        <v>185.73000000000002</v>
      </c>
      <c r="M61" s="727">
        <v>119.94999999999999</v>
      </c>
      <c r="N61" s="727">
        <v>126.10999999999999</v>
      </c>
      <c r="O61" s="728">
        <v>109.10000000000001</v>
      </c>
      <c r="P61" s="728">
        <v>125.46499999999999</v>
      </c>
      <c r="Q61" s="728">
        <v>144.28474999999997</v>
      </c>
      <c r="R61" s="728">
        <v>165.92746249999993</v>
      </c>
      <c r="S61" s="728">
        <v>190.81658187499991</v>
      </c>
      <c r="T61" s="728">
        <v>219.4390691562499</v>
      </c>
      <c r="U61" s="728">
        <v>252.35492952968735</v>
      </c>
      <c r="V61" s="728">
        <v>290.20816895914044</v>
      </c>
      <c r="W61" s="728">
        <v>333.73939430301147</v>
      </c>
      <c r="X61" s="729">
        <v>383.80030344846318</v>
      </c>
    </row>
    <row r="62" spans="8:24">
      <c r="H62" s="601" t="s">
        <v>305</v>
      </c>
      <c r="I62" s="721">
        <f>I57-I58-I59-I60-I61</f>
        <v>-58.800000000000011</v>
      </c>
      <c r="J62" s="721">
        <f t="shared" ref="J62:X62" si="66">J57-J58-J59-J60-J61</f>
        <v>-127.65</v>
      </c>
      <c r="K62" s="721">
        <f t="shared" si="66"/>
        <v>-317.71999999999997</v>
      </c>
      <c r="L62" s="721">
        <f t="shared" si="66"/>
        <v>-350.53000000000003</v>
      </c>
      <c r="M62" s="721">
        <f t="shared" si="66"/>
        <v>-202.14999999999995</v>
      </c>
      <c r="N62" s="721">
        <f t="shared" si="66"/>
        <v>-155.48999999999975</v>
      </c>
      <c r="O62" s="721">
        <f t="shared" si="66"/>
        <v>-109.09999999999989</v>
      </c>
      <c r="P62" s="721">
        <f t="shared" si="66"/>
        <v>-125.4650000000001</v>
      </c>
      <c r="Q62" s="721">
        <f t="shared" si="66"/>
        <v>-144.28474999999997</v>
      </c>
      <c r="R62" s="721">
        <f t="shared" si="66"/>
        <v>-165.92746249999999</v>
      </c>
      <c r="S62" s="721">
        <f t="shared" si="66"/>
        <v>-190.8165818749998</v>
      </c>
      <c r="T62" s="721">
        <f t="shared" si="66"/>
        <v>-219.4390691562499</v>
      </c>
      <c r="U62" s="721">
        <f t="shared" si="66"/>
        <v>-252.35492952968735</v>
      </c>
      <c r="V62" s="721">
        <f t="shared" si="66"/>
        <v>-290.20816895914032</v>
      </c>
      <c r="W62" s="721">
        <f t="shared" si="66"/>
        <v>-333.73939430301147</v>
      </c>
      <c r="X62" s="730">
        <f t="shared" si="66"/>
        <v>-383.80030344846318</v>
      </c>
    </row>
    <row r="63" spans="8:24">
      <c r="H63" s="602" t="s">
        <v>760</v>
      </c>
      <c r="I63" s="724">
        <v>1.77</v>
      </c>
      <c r="J63" s="724">
        <v>-0.35</v>
      </c>
      <c r="K63" s="724">
        <v>2.99</v>
      </c>
      <c r="L63" s="724">
        <v>24.81</v>
      </c>
      <c r="M63" s="724">
        <v>42.53</v>
      </c>
      <c r="N63" s="724">
        <v>38.620000000000005</v>
      </c>
      <c r="O63" s="725">
        <v>54.550000000000004</v>
      </c>
      <c r="P63" s="725">
        <v>62.732499999999995</v>
      </c>
      <c r="Q63" s="725">
        <v>72.142374999999987</v>
      </c>
      <c r="R63" s="725">
        <v>82.963731249999967</v>
      </c>
      <c r="S63" s="725">
        <v>95.408290937499956</v>
      </c>
      <c r="T63" s="725">
        <v>109.71953457812495</v>
      </c>
      <c r="U63" s="725">
        <v>126.17746476484368</v>
      </c>
      <c r="V63" s="725">
        <v>145.10408447957022</v>
      </c>
      <c r="W63" s="725">
        <v>166.86969715150573</v>
      </c>
      <c r="X63" s="726">
        <v>191.90015172423159</v>
      </c>
    </row>
    <row r="64" spans="8:24">
      <c r="H64" s="602" t="s">
        <v>761</v>
      </c>
      <c r="I64" s="724">
        <v>-3.11</v>
      </c>
      <c r="J64" s="724">
        <v>-5.79</v>
      </c>
      <c r="K64" s="724">
        <v>-26.92</v>
      </c>
      <c r="L64" s="724">
        <v>-4.22</v>
      </c>
      <c r="M64" s="724">
        <v>3.48</v>
      </c>
      <c r="N64" s="724">
        <v>5.2900000000000009</v>
      </c>
      <c r="O64" s="725">
        <v>4.3640000000000008</v>
      </c>
      <c r="P64" s="725">
        <v>5.0186000000000019</v>
      </c>
      <c r="Q64" s="725">
        <v>5.7713900000000002</v>
      </c>
      <c r="R64" s="725">
        <v>6.6370984999999996</v>
      </c>
      <c r="S64" s="725">
        <v>7.6326632749999952</v>
      </c>
      <c r="T64" s="725">
        <v>8.7775627662499947</v>
      </c>
      <c r="U64" s="725">
        <v>10.094197181187495</v>
      </c>
      <c r="V64" s="725">
        <v>11.608326758365619</v>
      </c>
      <c r="W64" s="725">
        <v>13.349575772120463</v>
      </c>
      <c r="X64" s="726">
        <v>15.352012137938528</v>
      </c>
    </row>
    <row r="65" spans="8:24">
      <c r="H65" s="602" t="s">
        <v>314</v>
      </c>
      <c r="I65" s="724">
        <v>13.470000000000006</v>
      </c>
      <c r="J65" s="724">
        <v>36.489999999999995</v>
      </c>
      <c r="K65" s="724">
        <v>104.55000000000001</v>
      </c>
      <c r="L65" s="724">
        <v>115.27000000000001</v>
      </c>
      <c r="M65" s="724">
        <v>109.64</v>
      </c>
      <c r="N65" s="724">
        <v>104.40999999999998</v>
      </c>
      <c r="O65" s="725">
        <v>109.10000000000001</v>
      </c>
      <c r="P65" s="725">
        <v>125.46499999999999</v>
      </c>
      <c r="Q65" s="725">
        <v>144.28474999999997</v>
      </c>
      <c r="R65" s="725">
        <v>165.92746249999993</v>
      </c>
      <c r="S65" s="725">
        <v>190.81658187499991</v>
      </c>
      <c r="T65" s="725">
        <v>219.4390691562499</v>
      </c>
      <c r="U65" s="725">
        <v>252.35492952968735</v>
      </c>
      <c r="V65" s="725">
        <v>290.20816895914044</v>
      </c>
      <c r="W65" s="725">
        <v>333.73939430301147</v>
      </c>
      <c r="X65" s="726">
        <v>383.80030344846318</v>
      </c>
    </row>
    <row r="66" spans="8:24">
      <c r="H66" s="602" t="s">
        <v>317</v>
      </c>
      <c r="I66" s="724">
        <v>3.61</v>
      </c>
      <c r="J66" s="724">
        <v>1.79</v>
      </c>
      <c r="K66" s="724">
        <v>10.65</v>
      </c>
      <c r="L66" s="724">
        <v>9.23</v>
      </c>
      <c r="M66" s="724">
        <v>7.51</v>
      </c>
      <c r="N66" s="724">
        <v>6.16</v>
      </c>
      <c r="O66" s="725">
        <v>10.91</v>
      </c>
      <c r="P66" s="725">
        <v>12.546499999999998</v>
      </c>
      <c r="Q66" s="725">
        <v>14.428474999999997</v>
      </c>
      <c r="R66" s="725">
        <v>16.592746249999994</v>
      </c>
      <c r="S66" s="725">
        <v>19.08165818749999</v>
      </c>
      <c r="T66" s="725">
        <v>21.943906915624989</v>
      </c>
      <c r="U66" s="725">
        <v>25.235492952968734</v>
      </c>
      <c r="V66" s="725">
        <v>29.020816895914042</v>
      </c>
      <c r="W66" s="725">
        <v>33.373939430301142</v>
      </c>
      <c r="X66" s="726">
        <v>38.380030344846311</v>
      </c>
    </row>
    <row r="67" spans="8:24">
      <c r="H67" s="603" t="s">
        <v>762</v>
      </c>
      <c r="I67" s="727"/>
      <c r="J67" s="727"/>
      <c r="K67" s="727"/>
      <c r="L67" s="727"/>
      <c r="M67" s="727"/>
      <c r="N67" s="727"/>
      <c r="O67" s="728">
        <v>-0.13999999999999346</v>
      </c>
      <c r="P67" s="728">
        <v>-3.4911999999999992</v>
      </c>
      <c r="Q67" s="728">
        <v>-4.0497919999999965</v>
      </c>
      <c r="R67" s="728">
        <v>-4.6977587199999959</v>
      </c>
      <c r="S67" s="728">
        <v>-5.4494001151999996</v>
      </c>
      <c r="T67" s="728">
        <v>-6.3213041336319975</v>
      </c>
      <c r="U67" s="728">
        <v>-7.3327127950131157</v>
      </c>
      <c r="V67" s="728">
        <v>-8.5059468422152023</v>
      </c>
      <c r="W67" s="728">
        <v>-9.8668983369696477</v>
      </c>
      <c r="X67" s="729">
        <v>-11.445602070884789</v>
      </c>
    </row>
    <row r="68" spans="8:24">
      <c r="H68" s="601" t="s">
        <v>322</v>
      </c>
      <c r="I68" s="721"/>
      <c r="J68" s="721"/>
      <c r="K68" s="721"/>
      <c r="L68" s="721"/>
      <c r="M68" s="721"/>
      <c r="N68" s="721"/>
      <c r="O68" s="721">
        <f>O62+O63-O64+O65-O66-O67</f>
        <v>39.416000000000118</v>
      </c>
      <c r="P68" s="721">
        <f t="shared" ref="P68:X68" si="67">P62+P63-P64+P65-P66-P67</f>
        <v>48.658599999999886</v>
      </c>
      <c r="Q68" s="721">
        <f t="shared" si="67"/>
        <v>55.992301999999988</v>
      </c>
      <c r="R68" s="721">
        <f t="shared" si="67"/>
        <v>64.431645219999922</v>
      </c>
      <c r="S68" s="721">
        <f t="shared" si="67"/>
        <v>74.143369590200081</v>
      </c>
      <c r="T68" s="721">
        <f t="shared" si="67"/>
        <v>85.319369029881955</v>
      </c>
      <c r="U68" s="721">
        <f t="shared" si="67"/>
        <v>98.180487425700562</v>
      </c>
      <c r="V68" s="721">
        <f t="shared" si="67"/>
        <v>112.98088766750587</v>
      </c>
      <c r="W68" s="721">
        <f t="shared" si="67"/>
        <v>130.01308028605379</v>
      </c>
      <c r="X68" s="731">
        <f t="shared" si="67"/>
        <v>149.61371131233153</v>
      </c>
    </row>
    <row r="69" spans="8:24">
      <c r="H69" s="604" t="s">
        <v>638</v>
      </c>
      <c r="I69" s="732"/>
      <c r="J69" s="732"/>
      <c r="K69" s="732"/>
      <c r="L69" s="732"/>
      <c r="M69" s="732"/>
      <c r="N69" s="732"/>
      <c r="O69" s="732">
        <f>O68/((1+$I$73)^O53)</f>
        <v>35.801049949881993</v>
      </c>
      <c r="P69" s="732">
        <f t="shared" ref="P69:X69" si="68">P68/((1+$I$73)^P53)</f>
        <v>40.142649905344449</v>
      </c>
      <c r="Q69" s="732">
        <f t="shared" si="68"/>
        <v>41.956375706449741</v>
      </c>
      <c r="R69" s="732">
        <f t="shared" si="68"/>
        <v>43.852269856704382</v>
      </c>
      <c r="S69" s="732">
        <f t="shared" si="68"/>
        <v>45.834066534525682</v>
      </c>
      <c r="T69" s="732">
        <f t="shared" si="68"/>
        <v>47.905670233957629</v>
      </c>
      <c r="U69" s="732">
        <f t="shared" si="68"/>
        <v>50.071163565021095</v>
      </c>
      <c r="V69" s="732">
        <f t="shared" si="68"/>
        <v>52.334815413001891</v>
      </c>
      <c r="W69" s="732">
        <f t="shared" si="68"/>
        <v>54.701089473284839</v>
      </c>
      <c r="X69" s="733">
        <f t="shared" si="68"/>
        <v>57.174653179110692</v>
      </c>
    </row>
    <row r="72" spans="8:24">
      <c r="H72" s="894" t="s">
        <v>769</v>
      </c>
      <c r="I72" s="894"/>
    </row>
    <row r="73" spans="8:24">
      <c r="H73" s="248" t="s">
        <v>290</v>
      </c>
      <c r="I73" s="605">
        <f>'LSPD WACC'!F44</f>
        <v>0.10097329701723003</v>
      </c>
    </row>
    <row r="74" spans="8:24">
      <c r="H74" s="248" t="s">
        <v>641</v>
      </c>
      <c r="I74" s="605">
        <v>0.03</v>
      </c>
    </row>
    <row r="75" spans="8:24">
      <c r="H75" s="248" t="s">
        <v>294</v>
      </c>
      <c r="I75" s="605">
        <f>'LSPD WACC'!F72</f>
        <v>9.4935770112407197E-2</v>
      </c>
    </row>
    <row r="76" spans="8:24">
      <c r="H76" s="248" t="s">
        <v>298</v>
      </c>
      <c r="I76" s="606">
        <v>561.57000000000005</v>
      </c>
    </row>
    <row r="77" spans="8:24">
      <c r="H77" s="248" t="s">
        <v>297</v>
      </c>
      <c r="I77" s="607">
        <v>19.16</v>
      </c>
    </row>
    <row r="78" spans="8:24">
      <c r="H78" s="248" t="s">
        <v>768</v>
      </c>
      <c r="I78" s="607">
        <v>146.06</v>
      </c>
    </row>
    <row r="80" spans="8:24">
      <c r="H80" s="609" t="s">
        <v>307</v>
      </c>
      <c r="I80" s="610">
        <f>SUM(O69:X69)</f>
        <v>469.77380381728244</v>
      </c>
    </row>
    <row r="81" spans="8:9">
      <c r="H81" s="3" t="s">
        <v>310</v>
      </c>
      <c r="I81" s="7">
        <f>(X68*(1+I74))/(I75-I74)</f>
        <v>2373.1469170988917</v>
      </c>
    </row>
    <row r="82" spans="8:9">
      <c r="H82" s="4" t="s">
        <v>311</v>
      </c>
      <c r="I82" s="6">
        <f>I81/((1+I75)^10)</f>
        <v>958.16033217781296</v>
      </c>
    </row>
    <row r="83" spans="8:9">
      <c r="H83" s="3" t="s">
        <v>141</v>
      </c>
      <c r="I83" s="7">
        <f>I82+I80</f>
        <v>1427.9341359950954</v>
      </c>
    </row>
    <row r="84" spans="8:9">
      <c r="H84" s="3" t="s">
        <v>770</v>
      </c>
      <c r="I84" s="7">
        <f>I76</f>
        <v>561.57000000000005</v>
      </c>
    </row>
    <row r="85" spans="8:9">
      <c r="H85" s="4" t="s">
        <v>771</v>
      </c>
      <c r="I85" s="6">
        <f>I77</f>
        <v>19.16</v>
      </c>
    </row>
    <row r="86" spans="8:9">
      <c r="H86" s="3" t="s">
        <v>316</v>
      </c>
      <c r="I86" s="7">
        <f>I83+I84-I85</f>
        <v>1970.3441359950955</v>
      </c>
    </row>
    <row r="87" spans="8:9">
      <c r="H87" s="3" t="s">
        <v>318</v>
      </c>
      <c r="I87" s="608">
        <f>I78</f>
        <v>146.06</v>
      </c>
    </row>
    <row r="88" spans="8:9">
      <c r="H88" s="611" t="s">
        <v>5</v>
      </c>
      <c r="I88" s="612">
        <f>I86/I87</f>
        <v>13.489963959982852</v>
      </c>
    </row>
  </sheetData>
  <mergeCells count="8">
    <mergeCell ref="H72:I72"/>
    <mergeCell ref="O55:X55"/>
    <mergeCell ref="D5:E5"/>
    <mergeCell ref="I6:N6"/>
    <mergeCell ref="O6:X6"/>
    <mergeCell ref="H5:X5"/>
    <mergeCell ref="F31:F41"/>
    <mergeCell ref="F19:F29"/>
  </mergeCells>
  <pageMargins left="0.7" right="0.7" top="0.75" bottom="0.75" header="0.3" footer="0.3"/>
  <ignoredErrors>
    <ignoredError sqref="P29:X29 P31:X31 P37:X37"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B0CA7-EB37-904D-8F4C-3AA25C5A6835}">
  <dimension ref="B5:M74"/>
  <sheetViews>
    <sheetView showGridLines="0" topLeftCell="A35" zoomScale="120" zoomScaleNormal="120" zoomScaleSheetLayoutView="100" workbookViewId="0">
      <selection activeCell="B20" sqref="B20:C20"/>
    </sheetView>
  </sheetViews>
  <sheetFormatPr baseColWidth="10" defaultColWidth="8.83203125" defaultRowHeight="14"/>
  <cols>
    <col min="1" max="1" width="8.83203125" style="163"/>
    <col min="2" max="2" width="16.33203125" style="163" customWidth="1"/>
    <col min="3" max="3" width="17.1640625" style="163" customWidth="1"/>
    <col min="4" max="4" width="12.6640625" style="163" customWidth="1"/>
    <col min="5" max="5" width="12.1640625" style="163" customWidth="1"/>
    <col min="6" max="6" width="20.5" style="163" bestFit="1" customWidth="1"/>
    <col min="7" max="7" width="13.6640625" style="163" customWidth="1"/>
    <col min="8" max="9" width="8.83203125" style="163"/>
    <col min="10" max="10" width="12.1640625" style="163" customWidth="1"/>
    <col min="11" max="11" width="16.6640625" style="163" customWidth="1"/>
    <col min="12" max="12" width="8.83203125" style="163"/>
    <col min="13" max="13" width="48.6640625" style="163" customWidth="1"/>
    <col min="14" max="16384" width="8.83203125" style="163"/>
  </cols>
  <sheetData>
    <row r="5" spans="4:13" ht="18">
      <c r="D5" s="563" t="s">
        <v>421</v>
      </c>
    </row>
    <row r="6" spans="4:13" ht="30">
      <c r="D6" s="172" t="s">
        <v>363</v>
      </c>
      <c r="E6" s="172" t="s">
        <v>366</v>
      </c>
      <c r="F6" s="172" t="s">
        <v>135</v>
      </c>
      <c r="G6" s="564" t="s">
        <v>422</v>
      </c>
      <c r="H6" s="564" t="s">
        <v>423</v>
      </c>
      <c r="I6" s="172" t="s">
        <v>424</v>
      </c>
      <c r="J6" s="564" t="s">
        <v>425</v>
      </c>
      <c r="K6" s="564" t="s">
        <v>426</v>
      </c>
      <c r="L6" s="172" t="s">
        <v>381</v>
      </c>
      <c r="M6" s="172" t="s">
        <v>283</v>
      </c>
    </row>
    <row r="7" spans="4:13" ht="15">
      <c r="D7" s="300" t="s">
        <v>382</v>
      </c>
      <c r="E7" s="300" t="s">
        <v>385</v>
      </c>
      <c r="F7" s="266">
        <v>89332.774999999994</v>
      </c>
      <c r="G7" s="308">
        <v>0.19500000000000001</v>
      </c>
      <c r="H7" s="300">
        <v>1.44</v>
      </c>
      <c r="I7" s="300">
        <v>0.66</v>
      </c>
      <c r="J7" s="308">
        <v>0.22500000000000001</v>
      </c>
      <c r="K7" s="565">
        <f>H7/(1+(1-J7)*(I7))</f>
        <v>0.9526959973536222</v>
      </c>
      <c r="L7" s="566">
        <v>0.15</v>
      </c>
      <c r="M7" s="567" t="s">
        <v>622</v>
      </c>
    </row>
    <row r="8" spans="4:13">
      <c r="D8" s="300" t="s">
        <v>386</v>
      </c>
      <c r="E8" s="300" t="s">
        <v>389</v>
      </c>
      <c r="F8" s="266">
        <v>139133.32800000001</v>
      </c>
      <c r="G8" s="308">
        <v>0.13600000000000001</v>
      </c>
      <c r="H8" s="300">
        <v>2.4500000000000002</v>
      </c>
      <c r="I8" s="300">
        <v>0.11</v>
      </c>
      <c r="J8" s="308">
        <v>7.0999999999999994E-2</v>
      </c>
      <c r="K8" s="565">
        <f t="shared" ref="K8:K12" si="0">H8/(1+(1-J8)*(I8))</f>
        <v>2.2228472404939259</v>
      </c>
      <c r="L8" s="566">
        <v>0.3</v>
      </c>
      <c r="M8" s="300" t="s">
        <v>623</v>
      </c>
    </row>
    <row r="9" spans="4:13">
      <c r="D9" s="300" t="s">
        <v>390</v>
      </c>
      <c r="E9" s="300" t="s">
        <v>385</v>
      </c>
      <c r="F9" s="266">
        <v>54948.799000000006</v>
      </c>
      <c r="G9" s="308">
        <v>5.2999999999999999E-2</v>
      </c>
      <c r="H9" s="300">
        <v>2.5099999999999998</v>
      </c>
      <c r="I9" s="300">
        <v>0.37</v>
      </c>
      <c r="J9" s="308">
        <v>7.0000000000000007E-2</v>
      </c>
      <c r="K9" s="565">
        <f t="shared" si="0"/>
        <v>1.8674205788259799</v>
      </c>
      <c r="L9" s="566">
        <v>0.25</v>
      </c>
      <c r="M9" s="300" t="s">
        <v>624</v>
      </c>
    </row>
    <row r="10" spans="4:13">
      <c r="D10" s="300" t="s">
        <v>392</v>
      </c>
      <c r="E10" s="300" t="s">
        <v>385</v>
      </c>
      <c r="F10" s="266">
        <v>22339.439999999999</v>
      </c>
      <c r="G10" s="308">
        <v>0</v>
      </c>
      <c r="H10" s="300">
        <v>1.97</v>
      </c>
      <c r="I10" s="300">
        <v>0.03</v>
      </c>
      <c r="J10" s="308">
        <v>0</v>
      </c>
      <c r="K10" s="565">
        <f t="shared" si="0"/>
        <v>1.9126213592233008</v>
      </c>
      <c r="L10" s="566">
        <v>0.2</v>
      </c>
      <c r="M10" s="300" t="s">
        <v>625</v>
      </c>
    </row>
    <row r="11" spans="4:13">
      <c r="D11" s="300" t="s">
        <v>396</v>
      </c>
      <c r="E11" s="300" t="s">
        <v>385</v>
      </c>
      <c r="F11" s="266">
        <v>17504.793000000001</v>
      </c>
      <c r="G11" s="308">
        <v>-0.11600000000000001</v>
      </c>
      <c r="H11" s="300">
        <v>3.68</v>
      </c>
      <c r="I11" s="300">
        <v>2.5099999999999998</v>
      </c>
      <c r="J11" s="308">
        <v>0</v>
      </c>
      <c r="K11" s="565">
        <f t="shared" si="0"/>
        <v>1.0484330484330486</v>
      </c>
      <c r="L11" s="566">
        <v>0.1</v>
      </c>
      <c r="M11" s="300" t="s">
        <v>626</v>
      </c>
    </row>
    <row r="12" spans="4:13">
      <c r="D12" s="568" t="s">
        <v>427</v>
      </c>
      <c r="E12" s="568" t="s">
        <v>389</v>
      </c>
      <c r="F12" s="569">
        <v>2227.0005999999998</v>
      </c>
      <c r="G12" s="570">
        <v>-6.9099999999999995E-2</v>
      </c>
      <c r="H12" s="568">
        <v>2.79</v>
      </c>
      <c r="I12" s="568">
        <v>0.01</v>
      </c>
      <c r="J12" s="570">
        <v>3.4700000000000002E-2</v>
      </c>
      <c r="K12" s="571">
        <f t="shared" si="0"/>
        <v>2.763325617811268</v>
      </c>
      <c r="L12" s="568"/>
      <c r="M12" s="568"/>
    </row>
    <row r="13" spans="4:13">
      <c r="K13" s="572" t="s">
        <v>428</v>
      </c>
      <c r="L13" s="573">
        <f>L15*(1+(1-J12)*(I12))</f>
        <v>1.7810090045684162</v>
      </c>
    </row>
    <row r="15" spans="4:13">
      <c r="K15" s="163" t="s">
        <v>429</v>
      </c>
      <c r="L15" s="574">
        <f>(K7*L7)+(K8*L8)+(K9*L9)+(K10*L10)+(K11*L11)</f>
        <v>1.7639812931456811</v>
      </c>
    </row>
    <row r="16" spans="4:13" ht="18">
      <c r="D16" s="563"/>
    </row>
    <row r="17" spans="2:7">
      <c r="E17" s="266"/>
      <c r="G17" s="575"/>
    </row>
    <row r="18" spans="2:7">
      <c r="E18" s="266"/>
      <c r="G18" s="575"/>
    </row>
    <row r="19" spans="2:7" ht="15" thickBot="1">
      <c r="E19" s="266"/>
    </row>
    <row r="20" spans="2:7" ht="45" customHeight="1">
      <c r="B20" s="904" t="s">
        <v>621</v>
      </c>
      <c r="C20" s="905"/>
      <c r="D20" s="135"/>
      <c r="E20" s="906" t="s">
        <v>669</v>
      </c>
      <c r="F20" s="903"/>
      <c r="G20" s="407"/>
    </row>
    <row r="21" spans="2:7" ht="15">
      <c r="B21" s="408" t="s">
        <v>431</v>
      </c>
      <c r="C21" s="155"/>
      <c r="D21" s="135"/>
      <c r="E21" s="154"/>
      <c r="F21" s="155"/>
      <c r="G21" s="407"/>
    </row>
    <row r="22" spans="2:7" ht="30">
      <c r="B22" s="408"/>
      <c r="C22" s="155"/>
      <c r="D22" s="135"/>
      <c r="E22" s="154" t="s">
        <v>435</v>
      </c>
      <c r="F22" s="157">
        <v>3.1099999999999999E-2</v>
      </c>
      <c r="G22" s="407"/>
    </row>
    <row r="23" spans="2:7" ht="30">
      <c r="B23" s="154" t="s">
        <v>671</v>
      </c>
      <c r="C23" s="423">
        <v>0</v>
      </c>
      <c r="D23" s="135"/>
      <c r="E23" s="154" t="s">
        <v>430</v>
      </c>
      <c r="F23" s="157">
        <f>'Cost of Debt'!C21</f>
        <v>2.6100000000000002E-2</v>
      </c>
      <c r="G23" s="407"/>
    </row>
    <row r="24" spans="2:7" ht="15">
      <c r="B24" s="154" t="s">
        <v>672</v>
      </c>
      <c r="C24" s="423">
        <v>0</v>
      </c>
      <c r="D24" s="135"/>
      <c r="E24" s="154" t="s">
        <v>436</v>
      </c>
      <c r="F24" s="417" t="str">
        <f>'Cost of Debt'!C22</f>
        <v>B1/B+</v>
      </c>
      <c r="G24" s="407"/>
    </row>
    <row r="25" spans="2:7" ht="30">
      <c r="B25" s="154" t="s">
        <v>673</v>
      </c>
      <c r="C25" s="423">
        <f>'LSPD DCF'!S97</f>
        <v>16.27</v>
      </c>
      <c r="D25" s="135"/>
      <c r="E25" s="154" t="s">
        <v>437</v>
      </c>
      <c r="F25" s="411">
        <f>F22+F23</f>
        <v>5.7200000000000001E-2</v>
      </c>
      <c r="G25" s="407"/>
    </row>
    <row r="26" spans="2:7" ht="15">
      <c r="B26" s="412" t="s">
        <v>674</v>
      </c>
      <c r="C26" s="424">
        <f>C23+C24+C25</f>
        <v>16.27</v>
      </c>
      <c r="D26" s="135"/>
      <c r="E26" s="154" t="s">
        <v>214</v>
      </c>
      <c r="F26" s="157">
        <v>0.26500000000000001</v>
      </c>
      <c r="G26" s="407"/>
    </row>
    <row r="27" spans="2:7" ht="31" thickBot="1">
      <c r="B27" s="413"/>
      <c r="C27" s="414"/>
      <c r="D27" s="135"/>
      <c r="E27" s="161" t="s">
        <v>438</v>
      </c>
      <c r="F27" s="162">
        <f>F25*(1-F26)</f>
        <v>4.2042000000000003E-2</v>
      </c>
      <c r="G27" s="407"/>
    </row>
    <row r="28" spans="2:7" ht="30">
      <c r="B28" s="154" t="s">
        <v>675</v>
      </c>
      <c r="C28" s="423">
        <f>'LSPD DCF'!S75</f>
        <v>722.1</v>
      </c>
      <c r="D28" s="135"/>
      <c r="E28" s="154"/>
      <c r="F28" s="414"/>
      <c r="G28" s="407"/>
    </row>
    <row r="29" spans="2:7" ht="30">
      <c r="B29" s="154" t="s">
        <v>676</v>
      </c>
      <c r="C29" s="423">
        <v>0</v>
      </c>
      <c r="D29" s="135"/>
      <c r="E29" s="413" t="s">
        <v>435</v>
      </c>
      <c r="F29" s="157">
        <v>3.1099999999999999E-2</v>
      </c>
      <c r="G29" s="407"/>
    </row>
    <row r="30" spans="2:7" ht="15">
      <c r="B30" s="412" t="s">
        <v>296</v>
      </c>
      <c r="C30" s="424">
        <f>C28+C29</f>
        <v>722.1</v>
      </c>
      <c r="D30" s="135"/>
      <c r="E30" s="413" t="s">
        <v>677</v>
      </c>
      <c r="F30" s="427">
        <f>L13</f>
        <v>1.7810090045684162</v>
      </c>
      <c r="G30" s="407"/>
    </row>
    <row r="31" spans="2:7" ht="30">
      <c r="B31" s="154"/>
      <c r="C31" s="425"/>
      <c r="D31" s="135"/>
      <c r="E31" s="419" t="s">
        <v>678</v>
      </c>
      <c r="F31" s="157">
        <f>'Market Return'!D26</f>
        <v>7.0599999999999996E-2</v>
      </c>
      <c r="G31" s="407"/>
    </row>
    <row r="32" spans="2:7" ht="31" thickBot="1">
      <c r="B32" s="161" t="s">
        <v>621</v>
      </c>
      <c r="C32" s="426">
        <v>-648.6</v>
      </c>
      <c r="D32" s="135"/>
      <c r="E32" s="419" t="s">
        <v>679</v>
      </c>
      <c r="F32" s="157">
        <f>'Market Return'!D24</f>
        <v>3.95E-2</v>
      </c>
      <c r="G32" s="407"/>
    </row>
    <row r="33" spans="2:10" ht="31" thickBot="1">
      <c r="B33" s="135"/>
      <c r="C33" s="135"/>
      <c r="D33" s="135"/>
      <c r="E33" s="161" t="s">
        <v>680</v>
      </c>
      <c r="F33" s="447">
        <f>(F30*F32)+F29</f>
        <v>0.10144985568045244</v>
      </c>
      <c r="G33" s="407"/>
    </row>
    <row r="34" spans="2:10">
      <c r="B34" s="135"/>
      <c r="C34" s="135"/>
      <c r="D34" s="135"/>
      <c r="E34" s="420"/>
      <c r="F34" s="421"/>
      <c r="G34" s="407"/>
    </row>
    <row r="35" spans="2:10" ht="30">
      <c r="B35" s="135"/>
      <c r="C35" s="135"/>
      <c r="D35" s="135"/>
      <c r="E35" s="413" t="s">
        <v>318</v>
      </c>
      <c r="F35" s="446">
        <f>'LSPD vs Shop'!D13</f>
        <v>152.97</v>
      </c>
      <c r="G35" s="407"/>
    </row>
    <row r="36" spans="2:10" ht="30">
      <c r="B36" s="135"/>
      <c r="C36" s="135"/>
      <c r="D36" s="135"/>
      <c r="E36" s="413" t="s">
        <v>681</v>
      </c>
      <c r="F36" s="418">
        <v>0</v>
      </c>
      <c r="G36" s="407"/>
    </row>
    <row r="37" spans="2:10" ht="45">
      <c r="B37" s="135"/>
      <c r="C37" s="135"/>
      <c r="D37" s="135"/>
      <c r="E37" s="413" t="s">
        <v>682</v>
      </c>
      <c r="F37" s="155">
        <v>153</v>
      </c>
      <c r="G37" s="407"/>
    </row>
    <row r="38" spans="2:10" ht="30">
      <c r="B38" s="135"/>
      <c r="C38" s="135"/>
      <c r="D38" s="135"/>
      <c r="E38" s="413" t="s">
        <v>3</v>
      </c>
      <c r="F38" s="448">
        <f>'Cover Sheet'!J21</f>
        <v>13.15</v>
      </c>
      <c r="G38" s="407"/>
    </row>
    <row r="39" spans="2:10" ht="15">
      <c r="B39" s="135"/>
      <c r="C39" s="135"/>
      <c r="D39" s="135"/>
      <c r="E39" s="413" t="s">
        <v>316</v>
      </c>
      <c r="F39" s="449">
        <f>F37*F38</f>
        <v>2011.95</v>
      </c>
      <c r="G39" s="407"/>
    </row>
    <row r="40" spans="2:10">
      <c r="B40" s="135"/>
      <c r="C40" s="135"/>
      <c r="D40" s="135"/>
      <c r="E40" s="413"/>
      <c r="F40" s="414"/>
      <c r="G40" s="407"/>
    </row>
    <row r="41" spans="2:10" ht="15">
      <c r="B41" s="135"/>
      <c r="C41" s="135"/>
      <c r="D41" s="135"/>
      <c r="E41" s="413" t="s">
        <v>683</v>
      </c>
      <c r="F41" s="160">
        <f>C26/(C26+F39)</f>
        <v>8.0218122294425653E-3</v>
      </c>
      <c r="G41" s="407"/>
      <c r="J41" s="320"/>
    </row>
    <row r="42" spans="2:10" ht="15">
      <c r="B42" s="135"/>
      <c r="C42" s="135"/>
      <c r="D42" s="135"/>
      <c r="E42" s="413" t="s">
        <v>684</v>
      </c>
      <c r="F42" s="160">
        <f>F39/(F39+C26)</f>
        <v>0.99197818777055746</v>
      </c>
      <c r="G42" s="407"/>
      <c r="J42" s="320"/>
    </row>
    <row r="43" spans="2:10">
      <c r="B43" s="135"/>
      <c r="C43" s="135"/>
      <c r="D43" s="135"/>
      <c r="E43" s="154"/>
      <c r="F43" s="415"/>
      <c r="G43" s="407"/>
      <c r="J43" s="320"/>
    </row>
    <row r="44" spans="2:10" ht="15">
      <c r="B44" s="135"/>
      <c r="C44" s="135"/>
      <c r="D44" s="135"/>
      <c r="E44" s="454" t="s">
        <v>290</v>
      </c>
      <c r="F44" s="455">
        <f>(F27*F41)+(F33*F42)</f>
        <v>0.10097329701723003</v>
      </c>
      <c r="G44" s="407"/>
    </row>
    <row r="45" spans="2:10">
      <c r="B45" s="135"/>
      <c r="C45" s="135"/>
      <c r="D45" s="135"/>
      <c r="E45" s="453"/>
      <c r="F45" s="452"/>
      <c r="G45" s="407"/>
      <c r="J45" s="320"/>
    </row>
    <row r="46" spans="2:10">
      <c r="B46" s="135"/>
      <c r="C46" s="135"/>
      <c r="D46" s="135"/>
      <c r="E46" s="264"/>
      <c r="F46" s="451"/>
      <c r="G46" s="407"/>
      <c r="J46" s="320"/>
    </row>
    <row r="47" spans="2:10" ht="15" thickBot="1"/>
    <row r="48" spans="2:10">
      <c r="D48" s="269"/>
      <c r="E48" s="902" t="s">
        <v>670</v>
      </c>
      <c r="F48" s="903"/>
      <c r="J48" s="576"/>
    </row>
    <row r="49" spans="4:6">
      <c r="D49" s="269"/>
      <c r="E49" s="456"/>
      <c r="F49" s="410"/>
    </row>
    <row r="50" spans="4:6" ht="30">
      <c r="D50" s="269"/>
      <c r="E50" s="456" t="s">
        <v>435</v>
      </c>
      <c r="F50" s="157">
        <f>F22</f>
        <v>3.1099999999999999E-2</v>
      </c>
    </row>
    <row r="51" spans="4:6" ht="30">
      <c r="D51" s="269"/>
      <c r="E51" s="456" t="s">
        <v>430</v>
      </c>
      <c r="F51" s="157">
        <f>'Cost of Debt'!M12</f>
        <v>1.83E-2</v>
      </c>
    </row>
    <row r="52" spans="4:6" ht="15">
      <c r="D52" s="269"/>
      <c r="E52" s="456" t="s">
        <v>436</v>
      </c>
      <c r="F52" s="417" t="str">
        <f>'Cost of Debt'!L12</f>
        <v>Ba2/BB</v>
      </c>
    </row>
    <row r="53" spans="4:6" ht="30">
      <c r="D53" s="269"/>
      <c r="E53" s="456" t="s">
        <v>437</v>
      </c>
      <c r="F53" s="411">
        <f>F50+F51</f>
        <v>4.9399999999999999E-2</v>
      </c>
    </row>
    <row r="54" spans="4:6" ht="15">
      <c r="D54" s="269"/>
      <c r="E54" s="456" t="s">
        <v>214</v>
      </c>
      <c r="F54" s="157">
        <v>0.26500000000000001</v>
      </c>
    </row>
    <row r="55" spans="4:6" ht="31" thickBot="1">
      <c r="D55" s="269"/>
      <c r="E55" s="457" t="s">
        <v>438</v>
      </c>
      <c r="F55" s="162">
        <f>F53*(1-F54)</f>
        <v>3.6309000000000001E-2</v>
      </c>
    </row>
    <row r="56" spans="4:6">
      <c r="D56" s="269"/>
      <c r="E56" s="456"/>
      <c r="F56" s="415"/>
    </row>
    <row r="57" spans="4:6" ht="30">
      <c r="D57" s="269"/>
      <c r="E57" s="458" t="s">
        <v>435</v>
      </c>
      <c r="F57" s="417">
        <v>3.1099999999999999E-2</v>
      </c>
    </row>
    <row r="58" spans="4:6" ht="15">
      <c r="D58" s="269"/>
      <c r="E58" s="458" t="s">
        <v>677</v>
      </c>
      <c r="F58" s="427">
        <f>F30</f>
        <v>1.7810090045684162</v>
      </c>
    </row>
    <row r="59" spans="4:6" ht="30">
      <c r="D59" s="269"/>
      <c r="E59" s="459" t="s">
        <v>678</v>
      </c>
      <c r="F59" s="157">
        <f>F31</f>
        <v>7.0599999999999996E-2</v>
      </c>
    </row>
    <row r="60" spans="4:6" ht="30">
      <c r="D60" s="269"/>
      <c r="E60" s="459" t="s">
        <v>679</v>
      </c>
      <c r="F60" s="157">
        <f>F32</f>
        <v>3.95E-2</v>
      </c>
    </row>
    <row r="61" spans="4:6" ht="31" thickBot="1">
      <c r="D61" s="269"/>
      <c r="E61" s="457" t="s">
        <v>680</v>
      </c>
      <c r="F61" s="162">
        <f>(F58*F60)+F57</f>
        <v>0.10144985568045244</v>
      </c>
    </row>
    <row r="62" spans="4:6">
      <c r="D62" s="269"/>
      <c r="E62" s="460"/>
      <c r="F62" s="422"/>
    </row>
    <row r="63" spans="4:6" ht="30">
      <c r="D63" s="269"/>
      <c r="E63" s="458" t="s">
        <v>318</v>
      </c>
      <c r="F63" s="418">
        <v>153</v>
      </c>
    </row>
    <row r="64" spans="4:6" ht="30">
      <c r="E64" s="416" t="s">
        <v>681</v>
      </c>
      <c r="F64" s="418">
        <v>0</v>
      </c>
    </row>
    <row r="65" spans="5:6" ht="45">
      <c r="E65" s="416" t="s">
        <v>682</v>
      </c>
      <c r="F65" s="410">
        <v>153</v>
      </c>
    </row>
    <row r="66" spans="5:6" ht="30">
      <c r="E66" s="416" t="s">
        <v>3</v>
      </c>
      <c r="F66" s="448">
        <f>F38</f>
        <v>13.15</v>
      </c>
    </row>
    <row r="67" spans="5:6" ht="15">
      <c r="E67" s="416" t="s">
        <v>316</v>
      </c>
      <c r="F67" s="464">
        <f>F65*F66</f>
        <v>2011.95</v>
      </c>
    </row>
    <row r="68" spans="5:6">
      <c r="E68" s="416"/>
      <c r="F68" s="415"/>
    </row>
    <row r="69" spans="5:6" ht="15">
      <c r="E69" s="416" t="s">
        <v>683</v>
      </c>
      <c r="F69" s="160">
        <f>10%</f>
        <v>0.1</v>
      </c>
    </row>
    <row r="70" spans="5:6" ht="30" customHeight="1">
      <c r="E70" s="416" t="s">
        <v>684</v>
      </c>
      <c r="F70" s="160">
        <f>90%</f>
        <v>0.9</v>
      </c>
    </row>
    <row r="71" spans="5:6">
      <c r="E71" s="409"/>
      <c r="F71" s="415"/>
    </row>
    <row r="72" spans="5:6" ht="16" thickBot="1">
      <c r="E72" s="462" t="s">
        <v>290</v>
      </c>
      <c r="F72" s="463">
        <f>(F55*F69)+(F61*F70)</f>
        <v>9.4935770112407197E-2</v>
      </c>
    </row>
    <row r="73" spans="5:6">
      <c r="E73" s="263"/>
      <c r="F73" s="450"/>
    </row>
    <row r="74" spans="5:6">
      <c r="E74" s="461"/>
      <c r="F74" s="451"/>
    </row>
  </sheetData>
  <mergeCells count="3">
    <mergeCell ref="E48:F48"/>
    <mergeCell ref="B20:C20"/>
    <mergeCell ref="E20:F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355C3-9CCE-D54E-8ED9-ED614CC0691E}">
  <dimension ref="B1:M38"/>
  <sheetViews>
    <sheetView showGridLines="0" workbookViewId="0">
      <selection activeCell="C13" sqref="C13"/>
    </sheetView>
  </sheetViews>
  <sheetFormatPr baseColWidth="10" defaultColWidth="11.5" defaultRowHeight="15"/>
  <cols>
    <col min="2" max="2" width="23" customWidth="1"/>
    <col min="3" max="3" width="20.6640625" customWidth="1"/>
  </cols>
  <sheetData>
    <row r="1" spans="2:13" ht="16" thickBot="1"/>
    <row r="2" spans="2:13" ht="35" thickBot="1">
      <c r="B2" s="132" t="s">
        <v>225</v>
      </c>
      <c r="C2" s="133"/>
      <c r="E2" s="910" t="s">
        <v>646</v>
      </c>
      <c r="F2" s="911"/>
      <c r="G2" s="911"/>
      <c r="H2" s="911"/>
      <c r="I2" s="386"/>
      <c r="J2" s="910" t="s">
        <v>647</v>
      </c>
      <c r="K2" s="911"/>
      <c r="L2" s="911"/>
      <c r="M2" s="911"/>
    </row>
    <row r="3" spans="2:13" ht="28" customHeight="1">
      <c r="B3" s="134" t="s">
        <v>431</v>
      </c>
      <c r="C3" s="136"/>
      <c r="E3" s="912" t="s">
        <v>648</v>
      </c>
      <c r="F3" s="913"/>
      <c r="G3" s="387"/>
      <c r="H3" s="388"/>
      <c r="I3" s="386"/>
      <c r="J3" s="914" t="s">
        <v>648</v>
      </c>
      <c r="K3" s="915"/>
      <c r="L3" s="389"/>
      <c r="M3" s="390"/>
    </row>
    <row r="4" spans="2:13">
      <c r="B4" s="134"/>
      <c r="C4" s="136"/>
      <c r="E4" s="391" t="s">
        <v>649</v>
      </c>
      <c r="F4" s="392" t="s">
        <v>650</v>
      </c>
      <c r="G4" s="392" t="s">
        <v>651</v>
      </c>
      <c r="H4" s="393" t="s">
        <v>652</v>
      </c>
      <c r="I4" s="386"/>
      <c r="J4" s="394" t="s">
        <v>653</v>
      </c>
      <c r="K4" s="395" t="s">
        <v>650</v>
      </c>
      <c r="L4" s="395" t="s">
        <v>651</v>
      </c>
      <c r="M4" s="396" t="s">
        <v>652</v>
      </c>
    </row>
    <row r="5" spans="2:13">
      <c r="B5" s="137" t="s">
        <v>327</v>
      </c>
      <c r="C5" s="138">
        <f>'LSPD DCF'!S14</f>
        <v>909.27</v>
      </c>
      <c r="E5" s="397">
        <v>-100000</v>
      </c>
      <c r="F5" s="398">
        <v>0.19999900000000001</v>
      </c>
      <c r="G5" s="398" t="s">
        <v>654</v>
      </c>
      <c r="H5" s="399">
        <v>0.19</v>
      </c>
      <c r="I5" s="386"/>
      <c r="J5" s="397">
        <v>-100000</v>
      </c>
      <c r="K5" s="398">
        <v>0.49999900000000003</v>
      </c>
      <c r="L5" s="398" t="s">
        <v>654</v>
      </c>
      <c r="M5" s="399">
        <v>0.19</v>
      </c>
    </row>
    <row r="6" spans="2:13">
      <c r="B6" s="139"/>
      <c r="C6" s="140"/>
      <c r="E6" s="397">
        <v>0.2</v>
      </c>
      <c r="F6" s="398">
        <v>0.64999899999999999</v>
      </c>
      <c r="G6" s="398" t="s">
        <v>655</v>
      </c>
      <c r="H6" s="399">
        <v>0.155</v>
      </c>
      <c r="I6" s="386"/>
      <c r="J6" s="397">
        <v>0.5</v>
      </c>
      <c r="K6" s="398">
        <v>0.79999900000000002</v>
      </c>
      <c r="L6" s="398" t="s">
        <v>655</v>
      </c>
      <c r="M6" s="399">
        <v>0.155</v>
      </c>
    </row>
    <row r="7" spans="2:13">
      <c r="B7" s="139" t="s">
        <v>432</v>
      </c>
      <c r="C7" s="385">
        <f>'LSPD DCF'!S16</f>
        <v>524.02</v>
      </c>
      <c r="E7" s="397">
        <v>0.65</v>
      </c>
      <c r="F7" s="398">
        <v>0.79999900000000002</v>
      </c>
      <c r="G7" s="398" t="s">
        <v>656</v>
      </c>
      <c r="H7" s="399">
        <v>0.10100000000000001</v>
      </c>
      <c r="I7" s="386"/>
      <c r="J7" s="397">
        <v>0.8</v>
      </c>
      <c r="K7" s="398">
        <v>1.2499990000000001</v>
      </c>
      <c r="L7" s="398" t="s">
        <v>656</v>
      </c>
      <c r="M7" s="399">
        <v>0.10100000000000001</v>
      </c>
    </row>
    <row r="8" spans="2:13">
      <c r="B8" s="139" t="s">
        <v>195</v>
      </c>
      <c r="C8" s="385">
        <f>'LSPD DCF'!S19</f>
        <v>129.41999999999999</v>
      </c>
      <c r="E8" s="397">
        <v>0.8</v>
      </c>
      <c r="F8" s="398">
        <v>1.2499990000000001</v>
      </c>
      <c r="G8" s="398" t="s">
        <v>657</v>
      </c>
      <c r="H8" s="399">
        <v>7.2800000000000004E-2</v>
      </c>
      <c r="I8" s="386"/>
      <c r="J8" s="397">
        <v>1.25</v>
      </c>
      <c r="K8" s="398">
        <v>1.4999990000000001</v>
      </c>
      <c r="L8" s="398" t="s">
        <v>657</v>
      </c>
      <c r="M8" s="399">
        <v>7.2800000000000004E-2</v>
      </c>
    </row>
    <row r="9" spans="2:13">
      <c r="B9" s="141" t="s">
        <v>198</v>
      </c>
      <c r="C9" s="142">
        <f>'LSPD DCF'!S25</f>
        <v>340.22899999999998</v>
      </c>
      <c r="E9" s="397">
        <v>1.25</v>
      </c>
      <c r="F9" s="398">
        <v>1.4999990000000001</v>
      </c>
      <c r="G9" s="398" t="s">
        <v>658</v>
      </c>
      <c r="H9" s="399">
        <v>4.4200000000000003E-2</v>
      </c>
      <c r="I9" s="386"/>
      <c r="J9" s="397">
        <v>1.5</v>
      </c>
      <c r="K9" s="398">
        <v>1.9999990000000001</v>
      </c>
      <c r="L9" s="398" t="s">
        <v>658</v>
      </c>
      <c r="M9" s="399">
        <v>4.4200000000000003E-2</v>
      </c>
    </row>
    <row r="10" spans="2:13">
      <c r="B10" s="143" t="s">
        <v>208</v>
      </c>
      <c r="C10" s="144">
        <f>'LSPD DCF'!S45</f>
        <v>109.628</v>
      </c>
      <c r="E10" s="397">
        <v>1.5</v>
      </c>
      <c r="F10" s="398">
        <v>1.7499990000000001</v>
      </c>
      <c r="G10" s="398" t="s">
        <v>659</v>
      </c>
      <c r="H10" s="399">
        <v>0.03</v>
      </c>
      <c r="I10" s="386"/>
      <c r="J10" s="397">
        <v>2</v>
      </c>
      <c r="K10" s="398">
        <v>2.4999989999999999</v>
      </c>
      <c r="L10" s="398" t="s">
        <v>659</v>
      </c>
      <c r="M10" s="399">
        <v>0.03</v>
      </c>
    </row>
    <row r="11" spans="2:13">
      <c r="B11" s="145" t="s">
        <v>433</v>
      </c>
      <c r="C11" s="146">
        <f>C5-C7-C8-C9-C10</f>
        <v>-194.02699999999999</v>
      </c>
      <c r="E11" s="397">
        <v>1.75</v>
      </c>
      <c r="F11" s="398">
        <v>1.9999990000000001</v>
      </c>
      <c r="G11" s="398" t="s">
        <v>660</v>
      </c>
      <c r="H11" s="399">
        <v>2.6100000000000002E-2</v>
      </c>
      <c r="I11" s="386"/>
      <c r="J11" s="397">
        <v>2.5</v>
      </c>
      <c r="K11" s="398">
        <v>2.9999989999999999</v>
      </c>
      <c r="L11" s="398" t="s">
        <v>660</v>
      </c>
      <c r="M11" s="399">
        <v>2.6100000000000002E-2</v>
      </c>
    </row>
    <row r="12" spans="2:13">
      <c r="B12" s="141"/>
      <c r="C12" s="147"/>
      <c r="E12" s="397">
        <v>2</v>
      </c>
      <c r="F12" s="398">
        <v>2.2499999000000002</v>
      </c>
      <c r="G12" s="398" t="s">
        <v>661</v>
      </c>
      <c r="H12" s="399">
        <v>1.83E-2</v>
      </c>
      <c r="I12" s="386"/>
      <c r="J12" s="397">
        <v>3</v>
      </c>
      <c r="K12" s="398">
        <v>3.4999989999999999</v>
      </c>
      <c r="L12" s="398" t="s">
        <v>661</v>
      </c>
      <c r="M12" s="399">
        <v>1.83E-2</v>
      </c>
    </row>
    <row r="13" spans="2:13">
      <c r="B13" s="141" t="s">
        <v>797</v>
      </c>
      <c r="C13" s="704">
        <v>0</v>
      </c>
      <c r="E13" s="397">
        <v>2.25</v>
      </c>
      <c r="F13" s="398">
        <v>2.4999899999999999</v>
      </c>
      <c r="G13" s="398" t="s">
        <v>662</v>
      </c>
      <c r="H13" s="399">
        <v>1.55E-2</v>
      </c>
      <c r="I13" s="386"/>
      <c r="J13" s="397">
        <v>3.5</v>
      </c>
      <c r="K13" s="398">
        <v>3.9999999000000002</v>
      </c>
      <c r="L13" s="398" t="s">
        <v>662</v>
      </c>
      <c r="M13" s="399">
        <v>1.55E-2</v>
      </c>
    </row>
    <row r="14" spans="2:13">
      <c r="B14" s="148"/>
      <c r="C14" s="149"/>
      <c r="E14" s="397">
        <v>2.5</v>
      </c>
      <c r="F14" s="398">
        <v>2.9999989999999999</v>
      </c>
      <c r="G14" s="398" t="s">
        <v>663</v>
      </c>
      <c r="H14" s="399">
        <v>1.2E-2</v>
      </c>
      <c r="I14" s="386"/>
      <c r="J14" s="397">
        <v>4</v>
      </c>
      <c r="K14" s="398">
        <v>4.4999989999999999</v>
      </c>
      <c r="L14" s="398" t="s">
        <v>663</v>
      </c>
      <c r="M14" s="399">
        <v>1.2E-2</v>
      </c>
    </row>
    <row r="15" spans="2:13" ht="16" thickBot="1">
      <c r="B15" s="150" t="s">
        <v>225</v>
      </c>
      <c r="C15" s="151" t="e">
        <f>(C11/C13)</f>
        <v>#DIV/0!</v>
      </c>
      <c r="E15" s="397">
        <v>3</v>
      </c>
      <c r="F15" s="398">
        <v>4.2499989999999999</v>
      </c>
      <c r="G15" s="398" t="s">
        <v>664</v>
      </c>
      <c r="H15" s="399">
        <v>9.4999999999999998E-3</v>
      </c>
      <c r="I15" s="386"/>
      <c r="J15" s="397">
        <v>4.5</v>
      </c>
      <c r="K15" s="398">
        <v>5.9999989999999999</v>
      </c>
      <c r="L15" s="398" t="s">
        <v>664</v>
      </c>
      <c r="M15" s="399">
        <v>9.4999999999999998E-3</v>
      </c>
    </row>
    <row r="16" spans="2:13">
      <c r="B16" s="135"/>
      <c r="C16" s="135"/>
      <c r="E16" s="397">
        <v>4.25</v>
      </c>
      <c r="F16" s="398">
        <v>5.4999989999999999</v>
      </c>
      <c r="G16" s="400" t="s">
        <v>665</v>
      </c>
      <c r="H16" s="399">
        <v>8.5000000000000006E-3</v>
      </c>
      <c r="I16" s="386"/>
      <c r="J16" s="397">
        <v>6</v>
      </c>
      <c r="K16" s="398">
        <v>7.4999989999999999</v>
      </c>
      <c r="L16" s="398" t="s">
        <v>665</v>
      </c>
      <c r="M16" s="399">
        <v>8.5000000000000006E-3</v>
      </c>
    </row>
    <row r="17" spans="2:13" ht="16" thickBot="1">
      <c r="B17" s="135"/>
      <c r="C17" s="135"/>
      <c r="E17" s="397">
        <v>5.5</v>
      </c>
      <c r="F17" s="401">
        <v>6.4999989999999999</v>
      </c>
      <c r="G17" s="402" t="s">
        <v>666</v>
      </c>
      <c r="H17" s="399">
        <v>7.7000000000000002E-3</v>
      </c>
      <c r="I17" s="386"/>
      <c r="J17" s="397">
        <v>7.5</v>
      </c>
      <c r="K17" s="398">
        <v>9.4999990000000007</v>
      </c>
      <c r="L17" s="398" t="s">
        <v>666</v>
      </c>
      <c r="M17" s="399">
        <v>7.7000000000000002E-3</v>
      </c>
    </row>
    <row r="18" spans="2:13" ht="16" thickBot="1">
      <c r="B18" s="152" t="s">
        <v>434</v>
      </c>
      <c r="C18" s="153"/>
      <c r="E18" s="397">
        <v>6.5</v>
      </c>
      <c r="F18" s="398">
        <v>8.4999990000000007</v>
      </c>
      <c r="G18" s="398" t="s">
        <v>667</v>
      </c>
      <c r="H18" s="399">
        <v>6.0000000000000001E-3</v>
      </c>
      <c r="I18" s="386"/>
      <c r="J18" s="397">
        <v>9.5</v>
      </c>
      <c r="K18" s="398">
        <v>12.499999000000001</v>
      </c>
      <c r="L18" s="398" t="s">
        <v>667</v>
      </c>
      <c r="M18" s="399">
        <v>6.0000000000000001E-3</v>
      </c>
    </row>
    <row r="19" spans="2:13" ht="16" thickBot="1">
      <c r="B19" s="154"/>
      <c r="C19" s="155"/>
      <c r="E19" s="403">
        <v>8.5</v>
      </c>
      <c r="F19" s="404">
        <v>100000</v>
      </c>
      <c r="G19" s="404" t="s">
        <v>668</v>
      </c>
      <c r="H19" s="405">
        <v>4.4999999999999997E-3</v>
      </c>
      <c r="I19" s="386"/>
      <c r="J19" s="403">
        <v>12.5</v>
      </c>
      <c r="K19" s="404">
        <v>100000</v>
      </c>
      <c r="L19" s="404" t="s">
        <v>668</v>
      </c>
      <c r="M19" s="405">
        <v>4.4999999999999997E-3</v>
      </c>
    </row>
    <row r="20" spans="2:13">
      <c r="B20" s="154" t="s">
        <v>435</v>
      </c>
      <c r="C20" s="406">
        <v>3.1099999999999999E-2</v>
      </c>
    </row>
    <row r="21" spans="2:13">
      <c r="B21" s="154" t="s">
        <v>430</v>
      </c>
      <c r="C21" s="158">
        <v>2.6100000000000002E-2</v>
      </c>
    </row>
    <row r="22" spans="2:13">
      <c r="B22" s="154" t="s">
        <v>436</v>
      </c>
      <c r="C22" s="159" t="s">
        <v>660</v>
      </c>
    </row>
    <row r="23" spans="2:13">
      <c r="B23" s="154" t="s">
        <v>437</v>
      </c>
      <c r="C23" s="160">
        <f>C20+C21</f>
        <v>5.7200000000000001E-2</v>
      </c>
    </row>
    <row r="24" spans="2:13">
      <c r="B24" s="154" t="s">
        <v>214</v>
      </c>
      <c r="C24" s="406">
        <v>0.26500000000000001</v>
      </c>
    </row>
    <row r="25" spans="2:13" ht="16" thickBot="1">
      <c r="B25" s="161" t="s">
        <v>438</v>
      </c>
      <c r="C25" s="162">
        <f>C23*(1-C24)</f>
        <v>4.2042000000000003E-2</v>
      </c>
    </row>
    <row r="26" spans="2:13" ht="16" thickBot="1">
      <c r="B26" s="135"/>
      <c r="C26" s="135"/>
    </row>
    <row r="27" spans="2:13">
      <c r="B27" s="908" t="s">
        <v>283</v>
      </c>
      <c r="C27" s="909"/>
    </row>
    <row r="28" spans="2:13" ht="210" customHeight="1">
      <c r="B28" s="907" t="s">
        <v>798</v>
      </c>
      <c r="C28" s="907"/>
    </row>
    <row r="29" spans="2:13">
      <c r="B29" s="907"/>
      <c r="C29" s="907"/>
    </row>
    <row r="30" spans="2:13">
      <c r="B30" s="907"/>
      <c r="C30" s="907"/>
    </row>
    <row r="31" spans="2:13">
      <c r="B31" s="907"/>
      <c r="C31" s="907"/>
    </row>
    <row r="32" spans="2:13">
      <c r="B32" s="907"/>
      <c r="C32" s="907"/>
    </row>
    <row r="33" spans="2:3">
      <c r="B33" s="907"/>
      <c r="C33" s="907"/>
    </row>
    <row r="34" spans="2:3">
      <c r="B34" s="907"/>
      <c r="C34" s="907"/>
    </row>
    <row r="35" spans="2:3">
      <c r="B35" s="907"/>
      <c r="C35" s="907"/>
    </row>
    <row r="36" spans="2:3">
      <c r="B36" s="907"/>
      <c r="C36" s="907"/>
    </row>
    <row r="37" spans="2:3">
      <c r="B37" s="907"/>
      <c r="C37" s="907"/>
    </row>
    <row r="38" spans="2:3">
      <c r="B38" s="907"/>
      <c r="C38" s="907"/>
    </row>
  </sheetData>
  <mergeCells count="6">
    <mergeCell ref="B28:C38"/>
    <mergeCell ref="B27:C27"/>
    <mergeCell ref="E2:H2"/>
    <mergeCell ref="J2:M2"/>
    <mergeCell ref="E3:F3"/>
    <mergeCell ref="J3:K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8EF2-8944-F74C-B61C-ECC92C6E0F4F}">
  <dimension ref="A1:O32"/>
  <sheetViews>
    <sheetView showGridLines="0" workbookViewId="0">
      <selection activeCell="D27" sqref="D27"/>
    </sheetView>
  </sheetViews>
  <sheetFormatPr baseColWidth="10" defaultColWidth="11.5" defaultRowHeight="15"/>
  <sheetData>
    <row r="1" spans="1:15" ht="16" thickBot="1">
      <c r="A1" s="135"/>
      <c r="B1" s="135"/>
      <c r="C1" s="135"/>
      <c r="D1" s="135"/>
      <c r="E1" s="135"/>
      <c r="F1" s="135"/>
      <c r="G1" s="135"/>
      <c r="H1" s="135"/>
      <c r="I1" s="135"/>
      <c r="J1" s="135"/>
      <c r="K1" s="135"/>
      <c r="L1" s="135"/>
      <c r="M1" s="135"/>
      <c r="N1" s="135"/>
      <c r="O1" s="135"/>
    </row>
    <row r="2" spans="1:15" ht="16" thickBot="1">
      <c r="A2" s="428"/>
      <c r="B2" s="429" t="s">
        <v>678</v>
      </c>
      <c r="C2" s="430"/>
      <c r="D2" s="430"/>
      <c r="E2" s="430"/>
      <c r="F2" s="430"/>
      <c r="G2" s="430"/>
      <c r="H2" s="430"/>
      <c r="I2" s="430"/>
      <c r="J2" s="430"/>
      <c r="K2" s="430"/>
      <c r="L2" s="430"/>
      <c r="M2" s="430"/>
      <c r="N2" s="430"/>
      <c r="O2" s="430"/>
    </row>
    <row r="3" spans="1:15" ht="16" thickBot="1">
      <c r="A3" s="135"/>
      <c r="B3" s="135"/>
      <c r="C3" s="135"/>
      <c r="D3" s="135"/>
      <c r="E3" s="135"/>
      <c r="F3" s="135"/>
      <c r="G3" s="135"/>
      <c r="H3" s="135"/>
      <c r="I3" s="135"/>
      <c r="J3" s="135"/>
      <c r="K3" s="135"/>
      <c r="L3" s="135"/>
      <c r="M3" s="135"/>
      <c r="N3" s="135"/>
      <c r="O3" s="135"/>
    </row>
    <row r="4" spans="1:15" ht="28" customHeight="1" thickBot="1">
      <c r="A4" s="135"/>
      <c r="B4" s="916" t="s">
        <v>685</v>
      </c>
      <c r="C4" s="917"/>
      <c r="D4" s="135"/>
      <c r="E4" s="918" t="s">
        <v>686</v>
      </c>
      <c r="F4" s="919"/>
      <c r="G4" s="431" t="s">
        <v>605</v>
      </c>
      <c r="H4" s="135"/>
      <c r="I4" s="916" t="s">
        <v>687</v>
      </c>
      <c r="J4" s="917"/>
      <c r="K4" s="135"/>
      <c r="L4" s="918" t="s">
        <v>686</v>
      </c>
      <c r="M4" s="919"/>
      <c r="N4" s="431" t="s">
        <v>605</v>
      </c>
      <c r="O4" s="135"/>
    </row>
    <row r="5" spans="1:15">
      <c r="A5" s="135"/>
      <c r="B5" s="432" t="s">
        <v>603</v>
      </c>
      <c r="C5" s="433" t="s">
        <v>688</v>
      </c>
      <c r="D5" s="135"/>
      <c r="E5" s="920" t="s">
        <v>689</v>
      </c>
      <c r="F5" s="921"/>
      <c r="G5" s="434">
        <v>0.13500000000000001</v>
      </c>
      <c r="H5" s="135"/>
      <c r="I5" s="432" t="s">
        <v>603</v>
      </c>
      <c r="J5" s="433" t="s">
        <v>688</v>
      </c>
      <c r="K5" s="135"/>
      <c r="L5" s="920" t="s">
        <v>689</v>
      </c>
      <c r="M5" s="921"/>
      <c r="N5" s="434">
        <v>0.16900000000000001</v>
      </c>
      <c r="O5" s="135"/>
    </row>
    <row r="6" spans="1:15">
      <c r="A6" s="135"/>
      <c r="B6" s="435" t="s">
        <v>690</v>
      </c>
      <c r="C6" s="436">
        <v>0.20100000000000001</v>
      </c>
      <c r="D6" s="135"/>
      <c r="E6" s="922" t="s">
        <v>691</v>
      </c>
      <c r="F6" s="923"/>
      <c r="G6" s="437">
        <v>0.14599999999999999</v>
      </c>
      <c r="H6" s="135"/>
      <c r="I6" s="435" t="s">
        <v>690</v>
      </c>
      <c r="J6" s="436">
        <v>0.2054</v>
      </c>
      <c r="K6" s="135"/>
      <c r="L6" s="922" t="s">
        <v>691</v>
      </c>
      <c r="M6" s="923"/>
      <c r="N6" s="437">
        <v>0.192</v>
      </c>
      <c r="O6" s="135"/>
    </row>
    <row r="7" spans="1:15">
      <c r="A7" s="135"/>
      <c r="B7" s="435" t="s">
        <v>692</v>
      </c>
      <c r="C7" s="436">
        <v>0.24229999999999999</v>
      </c>
      <c r="D7" s="135"/>
      <c r="E7" s="922" t="s">
        <v>693</v>
      </c>
      <c r="F7" s="923"/>
      <c r="G7" s="437">
        <v>0.154</v>
      </c>
      <c r="H7" s="135"/>
      <c r="I7" s="435" t="s">
        <v>692</v>
      </c>
      <c r="J7" s="436">
        <v>0.43419999999999997</v>
      </c>
      <c r="K7" s="135"/>
      <c r="L7" s="922" t="s">
        <v>693</v>
      </c>
      <c r="M7" s="923"/>
      <c r="N7" s="437">
        <v>0.16400000000000001</v>
      </c>
      <c r="O7" s="135"/>
    </row>
    <row r="8" spans="1:15">
      <c r="A8" s="135"/>
      <c r="B8" s="435" t="s">
        <v>694</v>
      </c>
      <c r="C8" s="436">
        <v>-0.18010000000000001</v>
      </c>
      <c r="D8" s="135"/>
      <c r="E8" s="922" t="s">
        <v>695</v>
      </c>
      <c r="F8" s="923"/>
      <c r="G8" s="437">
        <v>8.7999999999999995E-2</v>
      </c>
      <c r="H8" s="135"/>
      <c r="I8" s="435" t="s">
        <v>694</v>
      </c>
      <c r="J8" s="436">
        <v>-0.33100000000000002</v>
      </c>
      <c r="K8" s="135"/>
      <c r="L8" s="922" t="s">
        <v>695</v>
      </c>
      <c r="M8" s="923"/>
      <c r="N8" s="437">
        <v>0.10199999999999999</v>
      </c>
      <c r="O8" s="135"/>
    </row>
    <row r="9" spans="1:15" ht="16" thickBot="1">
      <c r="A9" s="135"/>
      <c r="B9" s="435" t="s">
        <v>696</v>
      </c>
      <c r="C9" s="436">
        <v>0.28470000000000001</v>
      </c>
      <c r="D9" s="135"/>
      <c r="E9" s="922" t="s">
        <v>697</v>
      </c>
      <c r="F9" s="923"/>
      <c r="G9" s="438">
        <v>0.161</v>
      </c>
      <c r="H9" s="135"/>
      <c r="I9" s="435" t="s">
        <v>696</v>
      </c>
      <c r="J9" s="436">
        <v>0.21390000000000001</v>
      </c>
      <c r="K9" s="135"/>
      <c r="L9" s="922" t="s">
        <v>697</v>
      </c>
      <c r="M9" s="923"/>
      <c r="N9" s="438">
        <v>0.185</v>
      </c>
      <c r="O9" s="135"/>
    </row>
    <row r="10" spans="1:15" ht="16" thickBot="1">
      <c r="A10" s="135"/>
      <c r="B10" s="435" t="s">
        <v>698</v>
      </c>
      <c r="C10" s="436">
        <v>0.1802</v>
      </c>
      <c r="D10" s="135"/>
      <c r="E10" s="924" t="s">
        <v>699</v>
      </c>
      <c r="F10" s="925"/>
      <c r="G10" s="439">
        <v>0.13700000000000001</v>
      </c>
      <c r="H10" s="135"/>
      <c r="I10" s="435" t="s">
        <v>698</v>
      </c>
      <c r="J10" s="436">
        <v>0.43640000000000001</v>
      </c>
      <c r="K10" s="135"/>
      <c r="L10" s="924" t="s">
        <v>699</v>
      </c>
      <c r="M10" s="925"/>
      <c r="N10" s="439">
        <v>0.16200000000000001</v>
      </c>
      <c r="O10" s="135"/>
    </row>
    <row r="11" spans="1:15">
      <c r="A11" s="135"/>
      <c r="B11" s="435" t="s">
        <v>700</v>
      </c>
      <c r="C11" s="436">
        <v>0.31209999999999999</v>
      </c>
      <c r="D11" s="135"/>
      <c r="E11" s="135"/>
      <c r="F11" s="135"/>
      <c r="G11" s="135"/>
      <c r="H11" s="135"/>
      <c r="I11" s="435" t="s">
        <v>700</v>
      </c>
      <c r="J11" s="436">
        <v>0.3523</v>
      </c>
      <c r="K11" s="135"/>
      <c r="L11" s="135"/>
      <c r="M11" s="135"/>
      <c r="N11" s="135"/>
      <c r="O11" s="135"/>
    </row>
    <row r="12" spans="1:15">
      <c r="A12" s="135"/>
      <c r="B12" s="435" t="s">
        <v>701</v>
      </c>
      <c r="C12" s="436">
        <v>-4.2299999999999997E-2</v>
      </c>
      <c r="D12" s="135"/>
      <c r="E12" s="135"/>
      <c r="F12" s="135"/>
      <c r="G12" s="135"/>
      <c r="H12" s="135"/>
      <c r="I12" s="435" t="s">
        <v>701</v>
      </c>
      <c r="J12" s="436">
        <v>-3.8800000000000001E-2</v>
      </c>
      <c r="K12" s="135"/>
      <c r="L12" s="135"/>
      <c r="M12" s="135"/>
      <c r="N12" s="135"/>
      <c r="O12" s="135"/>
    </row>
    <row r="13" spans="1:15">
      <c r="A13" s="135"/>
      <c r="B13" s="435" t="s">
        <v>702</v>
      </c>
      <c r="C13" s="436">
        <v>0.21609999999999999</v>
      </c>
      <c r="D13" s="135"/>
      <c r="E13" s="135"/>
      <c r="F13" s="135"/>
      <c r="G13" s="135"/>
      <c r="H13" s="135"/>
      <c r="I13" s="435" t="s">
        <v>702</v>
      </c>
      <c r="J13" s="436">
        <v>0.28239999999999998</v>
      </c>
      <c r="K13" s="135"/>
      <c r="L13" s="135"/>
      <c r="M13" s="135"/>
      <c r="N13" s="135"/>
      <c r="O13" s="135"/>
    </row>
    <row r="14" spans="1:15">
      <c r="A14" s="135"/>
      <c r="B14" s="435" t="s">
        <v>703</v>
      </c>
      <c r="C14" s="436">
        <v>0.1177</v>
      </c>
      <c r="D14" s="135"/>
      <c r="E14" s="135"/>
      <c r="F14" s="135"/>
      <c r="G14" s="135"/>
      <c r="H14" s="135"/>
      <c r="I14" s="435" t="s">
        <v>703</v>
      </c>
      <c r="J14" s="436">
        <v>7.4999999999999997E-2</v>
      </c>
      <c r="K14" s="135"/>
      <c r="L14" s="135"/>
      <c r="M14" s="135"/>
      <c r="N14" s="135"/>
      <c r="O14" s="135"/>
    </row>
    <row r="15" spans="1:15">
      <c r="A15" s="135"/>
      <c r="B15" s="435" t="s">
        <v>704</v>
      </c>
      <c r="C15" s="436">
        <v>1.38E-2</v>
      </c>
      <c r="D15" s="135"/>
      <c r="E15" s="135"/>
      <c r="F15" s="135"/>
      <c r="G15" s="135"/>
      <c r="H15" s="135"/>
      <c r="I15" s="435" t="s">
        <v>704</v>
      </c>
      <c r="J15" s="436">
        <v>5.7299999999999997E-2</v>
      </c>
      <c r="K15" s="135"/>
      <c r="L15" s="135"/>
      <c r="M15" s="135"/>
      <c r="N15" s="135"/>
      <c r="O15" s="135"/>
    </row>
    <row r="16" spans="1:15">
      <c r="A16" s="135"/>
      <c r="B16" s="435" t="s">
        <v>705</v>
      </c>
      <c r="C16" s="436">
        <v>0.13519999999999999</v>
      </c>
      <c r="D16" s="135"/>
      <c r="E16" s="135"/>
      <c r="F16" s="135"/>
      <c r="G16" s="135"/>
      <c r="H16" s="135"/>
      <c r="I16" s="435" t="s">
        <v>705</v>
      </c>
      <c r="J16" s="436">
        <v>0.13400000000000001</v>
      </c>
      <c r="K16" s="135"/>
      <c r="L16" s="135"/>
      <c r="M16" s="135"/>
      <c r="N16" s="135"/>
      <c r="O16" s="135"/>
    </row>
    <row r="17" spans="1:15">
      <c r="A17" s="135"/>
      <c r="B17" s="435" t="s">
        <v>706</v>
      </c>
      <c r="C17" s="436">
        <v>0.32150000000000001</v>
      </c>
      <c r="D17" s="135"/>
      <c r="E17" s="135"/>
      <c r="F17" s="135"/>
      <c r="G17" s="135"/>
      <c r="H17" s="135"/>
      <c r="I17" s="435" t="s">
        <v>706</v>
      </c>
      <c r="J17" s="436">
        <v>0.38319999999999999</v>
      </c>
      <c r="K17" s="135"/>
      <c r="L17" s="135"/>
      <c r="M17" s="135"/>
      <c r="N17" s="135"/>
      <c r="O17" s="135"/>
    </row>
    <row r="18" spans="1:15">
      <c r="A18" s="135"/>
      <c r="B18" s="435" t="s">
        <v>707</v>
      </c>
      <c r="C18" s="436">
        <v>0.15890000000000001</v>
      </c>
      <c r="D18" s="135"/>
      <c r="E18" s="135"/>
      <c r="F18" s="135"/>
      <c r="G18" s="135"/>
      <c r="H18" s="135"/>
      <c r="I18" s="435" t="s">
        <v>707</v>
      </c>
      <c r="J18" s="436">
        <v>0.15909999999999999</v>
      </c>
      <c r="K18" s="135"/>
      <c r="L18" s="135"/>
      <c r="M18" s="135"/>
      <c r="N18" s="135"/>
      <c r="O18" s="135"/>
    </row>
    <row r="19" spans="1:15">
      <c r="A19" s="135"/>
      <c r="B19" s="435" t="s">
        <v>708</v>
      </c>
      <c r="C19" s="436">
        <v>0.21099999999999999</v>
      </c>
      <c r="D19" s="135"/>
      <c r="E19" s="135"/>
      <c r="F19" s="135"/>
      <c r="G19" s="135"/>
      <c r="H19" s="135"/>
      <c r="I19" s="435" t="s">
        <v>708</v>
      </c>
      <c r="J19" s="436">
        <v>-1.7999999999999999E-2</v>
      </c>
      <c r="K19" s="135"/>
      <c r="L19" s="135"/>
      <c r="M19" s="135"/>
      <c r="N19" s="135"/>
      <c r="O19" s="135"/>
    </row>
    <row r="20" spans="1:15">
      <c r="A20" s="135"/>
      <c r="B20" s="435" t="s">
        <v>709</v>
      </c>
      <c r="C20" s="436">
        <v>0.1482</v>
      </c>
      <c r="D20" s="135"/>
      <c r="E20" s="135"/>
      <c r="F20" s="135"/>
      <c r="G20" s="135"/>
      <c r="H20" s="135"/>
      <c r="I20" s="435" t="s">
        <v>709</v>
      </c>
      <c r="J20" s="436">
        <v>0.1691</v>
      </c>
      <c r="K20" s="135"/>
      <c r="L20" s="135"/>
      <c r="M20" s="135"/>
      <c r="N20" s="135"/>
      <c r="O20" s="135"/>
    </row>
    <row r="21" spans="1:15" ht="16" thickBot="1">
      <c r="A21" s="135"/>
      <c r="B21" s="440" t="s">
        <v>710</v>
      </c>
      <c r="C21" s="441">
        <v>0.25940000000000002</v>
      </c>
      <c r="D21" s="135"/>
      <c r="E21" s="135"/>
      <c r="F21" s="135"/>
      <c r="G21" s="135"/>
      <c r="H21" s="135"/>
      <c r="I21" s="440" t="s">
        <v>710</v>
      </c>
      <c r="J21" s="441">
        <v>0.43890000000000001</v>
      </c>
      <c r="K21" s="135"/>
      <c r="L21" s="135"/>
      <c r="M21" s="135"/>
      <c r="N21" s="135"/>
      <c r="O21" s="135"/>
    </row>
    <row r="22" spans="1:15">
      <c r="A22" s="135"/>
      <c r="B22" s="135"/>
      <c r="C22" s="135"/>
      <c r="D22" s="135"/>
      <c r="E22" s="135"/>
      <c r="F22" s="135"/>
      <c r="G22" s="135"/>
      <c r="H22" s="135"/>
      <c r="I22" s="135"/>
      <c r="J22" s="135"/>
      <c r="K22" s="135"/>
      <c r="L22" s="135"/>
      <c r="M22" s="135"/>
      <c r="N22" s="135"/>
      <c r="O22" s="135"/>
    </row>
    <row r="23" spans="1:15" ht="16" thickBot="1">
      <c r="A23" s="135"/>
      <c r="B23" s="135"/>
      <c r="C23" s="135"/>
      <c r="D23" s="135"/>
      <c r="E23" s="135"/>
      <c r="F23" s="135"/>
      <c r="G23" s="135"/>
      <c r="H23" s="135"/>
      <c r="I23" s="135"/>
      <c r="J23" s="135"/>
      <c r="K23" s="135"/>
      <c r="L23" s="135"/>
      <c r="M23" s="135"/>
      <c r="N23" s="135"/>
      <c r="O23" s="135"/>
    </row>
    <row r="24" spans="1:15" ht="16" thickBot="1">
      <c r="A24" s="135"/>
      <c r="B24" s="442" t="s">
        <v>711</v>
      </c>
      <c r="C24" s="443"/>
      <c r="D24" s="444">
        <v>3.95E-2</v>
      </c>
      <c r="E24" s="135"/>
      <c r="F24" s="135"/>
      <c r="G24" s="135"/>
      <c r="H24" s="135"/>
      <c r="I24" s="135"/>
      <c r="J24" s="135"/>
      <c r="K24" s="135"/>
      <c r="L24" s="135"/>
      <c r="M24" s="135"/>
      <c r="N24" s="135"/>
      <c r="O24" s="135"/>
    </row>
    <row r="25" spans="1:15" ht="16" thickBot="1">
      <c r="A25" s="135"/>
      <c r="B25" s="135"/>
      <c r="C25" s="135"/>
      <c r="D25" s="135"/>
      <c r="E25" s="135"/>
      <c r="F25" s="135"/>
      <c r="G25" s="135"/>
      <c r="H25" s="135"/>
      <c r="I25" s="135"/>
      <c r="J25" s="135"/>
      <c r="K25" s="135"/>
      <c r="L25" s="135"/>
      <c r="M25" s="135"/>
      <c r="N25" s="135"/>
      <c r="O25" s="135"/>
    </row>
    <row r="26" spans="1:15" ht="16" thickBot="1">
      <c r="A26" s="135"/>
      <c r="B26" s="442" t="s">
        <v>712</v>
      </c>
      <c r="C26" s="443"/>
      <c r="D26" s="445">
        <f>D24+'LSPD WACC'!F22</f>
        <v>7.0599999999999996E-2</v>
      </c>
      <c r="E26" s="135"/>
      <c r="F26" s="135"/>
      <c r="G26" s="135"/>
      <c r="H26" s="135"/>
      <c r="I26" s="135"/>
      <c r="J26" s="135"/>
      <c r="K26" s="135"/>
      <c r="L26" s="135"/>
      <c r="M26" s="135"/>
      <c r="N26" s="135"/>
      <c r="O26" s="135"/>
    </row>
    <row r="27" spans="1:15" ht="16" thickBot="1">
      <c r="A27" s="135"/>
      <c r="B27" s="135"/>
      <c r="C27" s="135"/>
      <c r="D27" s="135"/>
      <c r="E27" s="135"/>
      <c r="F27" s="135"/>
      <c r="G27" s="135"/>
      <c r="H27" s="135"/>
      <c r="I27" s="135"/>
      <c r="J27" s="135"/>
      <c r="K27" s="135"/>
      <c r="L27" s="135"/>
      <c r="M27" s="135"/>
      <c r="N27" s="135"/>
      <c r="O27" s="135"/>
    </row>
    <row r="28" spans="1:15" ht="16" thickBot="1">
      <c r="A28" s="135"/>
      <c r="B28" s="442" t="s">
        <v>713</v>
      </c>
      <c r="C28" s="443"/>
      <c r="D28" s="445">
        <v>7.0599999999999996E-2</v>
      </c>
      <c r="E28" s="135"/>
      <c r="F28" s="135"/>
      <c r="G28" s="135"/>
      <c r="H28" s="135"/>
      <c r="I28" s="135"/>
      <c r="J28" s="135"/>
      <c r="K28" s="135"/>
      <c r="L28" s="135"/>
      <c r="M28" s="135"/>
      <c r="N28" s="135"/>
      <c r="O28" s="135"/>
    </row>
    <row r="29" spans="1:15" ht="16" thickBot="1">
      <c r="A29" s="135"/>
      <c r="B29" s="135"/>
      <c r="C29" s="135"/>
      <c r="D29" s="135"/>
      <c r="E29" s="135"/>
      <c r="F29" s="135"/>
      <c r="G29" s="135"/>
      <c r="H29" s="135"/>
      <c r="I29" s="135"/>
      <c r="J29" s="135"/>
      <c r="K29" s="135"/>
      <c r="L29" s="135"/>
      <c r="M29" s="135"/>
      <c r="N29" s="135"/>
      <c r="O29" s="135"/>
    </row>
    <row r="30" spans="1:15" ht="16" thickBot="1">
      <c r="A30" s="135"/>
      <c r="B30" s="442" t="s">
        <v>714</v>
      </c>
      <c r="C30" s="443"/>
      <c r="D30" s="445">
        <v>7.0599999999999996E-2</v>
      </c>
      <c r="E30" s="135"/>
      <c r="F30" s="135"/>
      <c r="G30" s="135"/>
      <c r="H30" s="135"/>
      <c r="I30" s="135"/>
      <c r="J30" s="135"/>
      <c r="K30" s="135"/>
      <c r="L30" s="135"/>
      <c r="M30" s="135"/>
      <c r="N30" s="135"/>
      <c r="O30" s="135"/>
    </row>
    <row r="31" spans="1:15">
      <c r="A31" s="135"/>
      <c r="B31" s="135"/>
      <c r="C31" s="135"/>
      <c r="D31" s="135"/>
      <c r="E31" s="135"/>
      <c r="F31" s="135"/>
      <c r="G31" s="135"/>
      <c r="H31" s="135"/>
      <c r="I31" s="135"/>
      <c r="J31" s="135"/>
      <c r="K31" s="135"/>
      <c r="L31" s="135"/>
      <c r="M31" s="135"/>
      <c r="N31" s="135"/>
      <c r="O31" s="135"/>
    </row>
    <row r="32" spans="1:15">
      <c r="A32" s="135"/>
      <c r="B32" s="135"/>
      <c r="C32" s="135"/>
      <c r="D32" s="135"/>
      <c r="E32" s="135"/>
      <c r="F32" s="135"/>
      <c r="G32" s="135"/>
      <c r="H32" s="135"/>
      <c r="I32" s="135"/>
      <c r="J32" s="135"/>
      <c r="K32" s="135"/>
      <c r="L32" s="135"/>
      <c r="M32" s="135"/>
      <c r="N32" s="135"/>
      <c r="O32" s="135"/>
    </row>
  </sheetData>
  <mergeCells count="16">
    <mergeCell ref="E9:F9"/>
    <mergeCell ref="L9:M9"/>
    <mergeCell ref="E10:F10"/>
    <mergeCell ref="L10:M10"/>
    <mergeCell ref="E6:F6"/>
    <mergeCell ref="L6:M6"/>
    <mergeCell ref="E7:F7"/>
    <mergeCell ref="L7:M7"/>
    <mergeCell ref="E8:F8"/>
    <mergeCell ref="L8:M8"/>
    <mergeCell ref="B4:C4"/>
    <mergeCell ref="E4:F4"/>
    <mergeCell ref="I4:J4"/>
    <mergeCell ref="L4:M4"/>
    <mergeCell ref="E5:F5"/>
    <mergeCell ref="L5:M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E24E2-87E3-C94A-97BC-FD681A615265}">
  <dimension ref="C5:P23"/>
  <sheetViews>
    <sheetView showGridLines="0" zoomScaleNormal="100" zoomScaleSheetLayoutView="100" workbookViewId="0">
      <selection activeCell="F13" sqref="F13"/>
    </sheetView>
  </sheetViews>
  <sheetFormatPr baseColWidth="10" defaultColWidth="8.83203125" defaultRowHeight="15"/>
  <cols>
    <col min="3" max="3" width="14.1640625" customWidth="1"/>
    <col min="6" max="6" width="14" customWidth="1"/>
    <col min="10" max="10" width="13.5" customWidth="1"/>
    <col min="15" max="15" width="21.1640625" customWidth="1"/>
  </cols>
  <sheetData>
    <row r="5" spans="3:16" ht="24">
      <c r="E5" s="37" t="s">
        <v>122</v>
      </c>
      <c r="F5" s="38"/>
      <c r="G5" s="38"/>
      <c r="H5" s="38"/>
      <c r="I5" s="38"/>
      <c r="J5" s="38"/>
      <c r="K5" s="38"/>
    </row>
    <row r="6" spans="3:16">
      <c r="E6" s="127" t="s">
        <v>123</v>
      </c>
      <c r="F6" s="38"/>
      <c r="G6" s="38"/>
      <c r="H6" s="38"/>
      <c r="I6" s="38"/>
      <c r="J6" s="38"/>
      <c r="K6" s="38"/>
    </row>
    <row r="7" spans="3:16">
      <c r="E7" s="39" t="s">
        <v>124</v>
      </c>
      <c r="F7" s="39"/>
      <c r="G7" s="39"/>
      <c r="H7" s="39"/>
      <c r="I7" s="39"/>
      <c r="J7" s="39"/>
      <c r="K7" s="39"/>
      <c r="L7" s="39"/>
      <c r="M7" s="39"/>
    </row>
    <row r="10" spans="3:16">
      <c r="C10" s="926" t="s">
        <v>772</v>
      </c>
      <c r="D10" s="926"/>
      <c r="J10" s="926" t="s">
        <v>125</v>
      </c>
      <c r="K10" s="926"/>
    </row>
    <row r="11" spans="3:16">
      <c r="C11" t="s">
        <v>126</v>
      </c>
      <c r="J11" t="s">
        <v>126</v>
      </c>
      <c r="O11" s="10" t="s">
        <v>127</v>
      </c>
    </row>
    <row r="12" spans="3:16">
      <c r="C12" s="1" t="s">
        <v>128</v>
      </c>
      <c r="D12" s="2">
        <v>12.21</v>
      </c>
      <c r="F12" s="10" t="s">
        <v>129</v>
      </c>
      <c r="J12" s="1" t="s">
        <v>128</v>
      </c>
      <c r="K12" s="8">
        <v>107.68</v>
      </c>
      <c r="O12" t="s">
        <v>130</v>
      </c>
      <c r="P12" s="12">
        <v>18</v>
      </c>
    </row>
    <row r="13" spans="3:16">
      <c r="C13" s="4" t="s">
        <v>131</v>
      </c>
      <c r="D13" s="6">
        <v>152.97</v>
      </c>
      <c r="F13" t="s">
        <v>132</v>
      </c>
      <c r="G13" s="12">
        <v>6.19</v>
      </c>
      <c r="J13" s="4" t="s">
        <v>131</v>
      </c>
      <c r="K13" s="6">
        <v>1301.5999999999999</v>
      </c>
      <c r="L13" t="s">
        <v>133</v>
      </c>
      <c r="O13" t="s">
        <v>134</v>
      </c>
      <c r="P13" s="12">
        <v>190</v>
      </c>
    </row>
    <row r="14" spans="3:16">
      <c r="C14" s="3" t="s">
        <v>135</v>
      </c>
      <c r="D14" s="7">
        <f>D13*D12</f>
        <v>1867.7637000000002</v>
      </c>
      <c r="F14" s="11" t="s">
        <v>136</v>
      </c>
      <c r="G14" s="13">
        <v>12.97</v>
      </c>
      <c r="J14" s="3" t="s">
        <v>135</v>
      </c>
      <c r="K14" s="7">
        <f>K13*K12</f>
        <v>140156.288</v>
      </c>
      <c r="O14" s="11" t="s">
        <v>137</v>
      </c>
      <c r="P14" s="13">
        <v>918</v>
      </c>
    </row>
    <row r="15" spans="3:16">
      <c r="C15" s="3" t="s">
        <v>138</v>
      </c>
      <c r="D15" s="7">
        <v>661.57</v>
      </c>
      <c r="F15" t="s">
        <v>139</v>
      </c>
      <c r="G15" s="12">
        <f>G13+G14</f>
        <v>19.16</v>
      </c>
      <c r="J15" s="3" t="s">
        <v>138</v>
      </c>
      <c r="K15" s="7">
        <f>1498+3981</f>
        <v>5479</v>
      </c>
      <c r="O15" s="9" t="s">
        <v>139</v>
      </c>
      <c r="P15" s="14">
        <f>SUM(P12:P14)</f>
        <v>1126</v>
      </c>
    </row>
    <row r="16" spans="3:16">
      <c r="C16" s="4" t="s">
        <v>140</v>
      </c>
      <c r="D16" s="6">
        <f>G15</f>
        <v>19.16</v>
      </c>
      <c r="J16" s="4" t="s">
        <v>140</v>
      </c>
      <c r="K16" s="6">
        <f>P15</f>
        <v>1126</v>
      </c>
    </row>
    <row r="17" spans="3:12">
      <c r="C17" s="4" t="s">
        <v>141</v>
      </c>
      <c r="D17" s="6">
        <f>D14-D15+D16</f>
        <v>1225.3537000000003</v>
      </c>
      <c r="J17" s="4" t="s">
        <v>141</v>
      </c>
      <c r="K17" s="6">
        <f>K14-K15+K16</f>
        <v>135803.288</v>
      </c>
      <c r="L17" s="12"/>
    </row>
    <row r="19" spans="3:12">
      <c r="C19" t="s">
        <v>142</v>
      </c>
      <c r="D19" s="12">
        <v>220.06</v>
      </c>
      <c r="J19" t="s">
        <v>142</v>
      </c>
      <c r="K19">
        <v>309</v>
      </c>
    </row>
    <row r="20" spans="3:12">
      <c r="C20" t="s">
        <v>143</v>
      </c>
      <c r="D20" s="12">
        <v>-2189</v>
      </c>
      <c r="J20" s="15" t="s">
        <v>144</v>
      </c>
      <c r="K20">
        <v>336</v>
      </c>
    </row>
    <row r="21" spans="3:12">
      <c r="J21" s="15" t="s">
        <v>145</v>
      </c>
      <c r="K21" s="12">
        <f>K15-K16</f>
        <v>4353</v>
      </c>
    </row>
    <row r="23" spans="3:12">
      <c r="C23" t="s">
        <v>146</v>
      </c>
    </row>
  </sheetData>
  <mergeCells count="2">
    <mergeCell ref="C10:D10"/>
    <mergeCell ref="J10:K10"/>
  </mergeCells>
  <hyperlinks>
    <hyperlink ref="E6" r:id="rId1" location="0" xr:uid="{824D6625-16BF-47BD-BE89-1F4EB16F9DF0}"/>
  </hyperlinks>
  <pageMargins left="0.7" right="0.7" top="0.75" bottom="0.75" header="0.3" footer="0.3"/>
  <pageSetup orientation="portrait" horizontalDpi="0" verticalDpi="0"/>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F6B6A-7C00-694D-91BF-B5B66390819F}">
  <dimension ref="B3:I40"/>
  <sheetViews>
    <sheetView topLeftCell="A7" zoomScale="134" workbookViewId="0">
      <selection activeCell="E33" sqref="E33"/>
    </sheetView>
  </sheetViews>
  <sheetFormatPr baseColWidth="10" defaultColWidth="11.5" defaultRowHeight="15"/>
  <sheetData>
    <row r="3" spans="2:3" ht="22">
      <c r="B3" s="29" t="s">
        <v>147</v>
      </c>
      <c r="C3" s="30"/>
    </row>
    <row r="4" spans="2:3">
      <c r="B4" t="s">
        <v>148</v>
      </c>
    </row>
    <row r="6" spans="2:3">
      <c r="B6" t="s">
        <v>149</v>
      </c>
    </row>
    <row r="8" spans="2:3">
      <c r="B8" t="s">
        <v>150</v>
      </c>
    </row>
    <row r="10" spans="2:3">
      <c r="B10" t="s">
        <v>151</v>
      </c>
    </row>
    <row r="12" spans="2:3">
      <c r="B12" t="s">
        <v>152</v>
      </c>
    </row>
    <row r="17" spans="2:9" ht="22">
      <c r="B17" s="29" t="s">
        <v>153</v>
      </c>
      <c r="C17" s="30"/>
      <c r="D17" s="30"/>
      <c r="E17" s="30"/>
      <c r="F17" s="30"/>
      <c r="G17" s="30"/>
      <c r="H17" s="30"/>
      <c r="I17" s="30"/>
    </row>
    <row r="18" spans="2:9">
      <c r="B18" t="s">
        <v>154</v>
      </c>
    </row>
    <row r="20" spans="2:9">
      <c r="B20" s="9" t="s">
        <v>155</v>
      </c>
    </row>
    <row r="21" spans="2:9">
      <c r="B21" t="s">
        <v>156</v>
      </c>
    </row>
    <row r="23" spans="2:9">
      <c r="B23" s="26" t="s">
        <v>157</v>
      </c>
    </row>
    <row r="24" spans="2:9">
      <c r="B24" t="s">
        <v>158</v>
      </c>
    </row>
    <row r="25" spans="2:9">
      <c r="B25" t="s">
        <v>159</v>
      </c>
    </row>
    <row r="26" spans="2:9">
      <c r="B26" t="s">
        <v>160</v>
      </c>
    </row>
    <row r="27" spans="2:9">
      <c r="B27" t="s">
        <v>161</v>
      </c>
    </row>
    <row r="28" spans="2:9">
      <c r="B28" t="s">
        <v>162</v>
      </c>
    </row>
    <row r="30" spans="2:9">
      <c r="B30" s="9" t="s">
        <v>163</v>
      </c>
    </row>
    <row r="31" spans="2:9">
      <c r="B31" t="s">
        <v>164</v>
      </c>
    </row>
    <row r="32" spans="2:9">
      <c r="B32" t="s">
        <v>165</v>
      </c>
    </row>
    <row r="34" spans="2:5">
      <c r="B34" s="9" t="s">
        <v>166</v>
      </c>
    </row>
    <row r="35" spans="2:5">
      <c r="B35" t="s">
        <v>167</v>
      </c>
    </row>
    <row r="38" spans="2:5" ht="22">
      <c r="B38" s="29" t="s">
        <v>168</v>
      </c>
      <c r="C38" s="30"/>
      <c r="D38" s="30"/>
      <c r="E38" s="30"/>
    </row>
    <row r="39" spans="2:5">
      <c r="B39" t="s">
        <v>169</v>
      </c>
    </row>
    <row r="40" spans="2:5">
      <c r="B40" t="s">
        <v>170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8AA2C-64CE-734B-BC32-B78B0E36A6CD}">
  <dimension ref="A3:L115"/>
  <sheetViews>
    <sheetView topLeftCell="A10" zoomScale="125" workbookViewId="0">
      <selection activeCell="N22" sqref="N22"/>
    </sheetView>
  </sheetViews>
  <sheetFormatPr baseColWidth="10" defaultColWidth="11.5" defaultRowHeight="15"/>
  <cols>
    <col min="7" max="7" width="6.1640625" customWidth="1"/>
  </cols>
  <sheetData>
    <row r="3" spans="1:7">
      <c r="B3" t="s">
        <v>469</v>
      </c>
      <c r="G3" s="88" t="s">
        <v>470</v>
      </c>
    </row>
    <row r="4" spans="1:7">
      <c r="B4">
        <v>2020</v>
      </c>
      <c r="C4">
        <f>B4+1</f>
        <v>2021</v>
      </c>
      <c r="D4">
        <f t="shared" ref="D4:E4" si="0">C4+1</f>
        <v>2022</v>
      </c>
      <c r="E4">
        <f t="shared" si="0"/>
        <v>2023</v>
      </c>
      <c r="F4" s="60" t="s">
        <v>361</v>
      </c>
    </row>
    <row r="5" spans="1:7">
      <c r="A5" t="s">
        <v>471</v>
      </c>
      <c r="B5" s="86">
        <v>4.1000000000000002E-2</v>
      </c>
      <c r="C5" s="86">
        <v>4.1000000000000002E-2</v>
      </c>
      <c r="D5" s="86">
        <v>5.6000000000000001E-2</v>
      </c>
      <c r="E5" s="86">
        <v>5.8999999999999997E-2</v>
      </c>
      <c r="F5" s="86">
        <v>6.2E-2</v>
      </c>
    </row>
    <row r="6" spans="1:7">
      <c r="A6" t="s">
        <v>472</v>
      </c>
      <c r="B6" s="86">
        <v>7.3999999999999996E-2</v>
      </c>
      <c r="C6" s="86">
        <v>8.5000000000000006E-2</v>
      </c>
      <c r="D6" s="86">
        <v>0.115</v>
      </c>
      <c r="E6" s="86">
        <v>0.124</v>
      </c>
      <c r="F6" s="86">
        <v>0.14000000000000001</v>
      </c>
    </row>
    <row r="7" spans="1:7">
      <c r="A7" t="s">
        <v>387</v>
      </c>
      <c r="B7" s="86">
        <f>(B6/B12)*(B13)</f>
        <v>1.5741030218583991E-2</v>
      </c>
      <c r="C7" s="86">
        <f t="shared" ref="C7:F7" si="1">(C6/C12)*(C13)</f>
        <v>1.4802020202020203E-2</v>
      </c>
      <c r="D7" s="86">
        <f t="shared" si="1"/>
        <v>2.6221590212567734E-2</v>
      </c>
      <c r="E7" s="86">
        <f t="shared" si="1"/>
        <v>2.8235789679915756E-2</v>
      </c>
      <c r="F7" s="86">
        <f t="shared" si="1"/>
        <v>3.60444556706239E-2</v>
      </c>
    </row>
    <row r="8" spans="1:7">
      <c r="A8" t="s">
        <v>473</v>
      </c>
      <c r="B8" s="86">
        <f>(B6/B12)*(B14)</f>
        <v>6.6295828616215269E-3</v>
      </c>
      <c r="C8" s="86">
        <f t="shared" ref="C8:F8" si="2">(C6/C12)*(C14)</f>
        <v>8.4863123993558776E-3</v>
      </c>
      <c r="D8" s="86">
        <f t="shared" si="2"/>
        <v>1.9250312599602817E-2</v>
      </c>
      <c r="E8" s="86">
        <f t="shared" si="2"/>
        <v>2.3474150809394363E-2</v>
      </c>
      <c r="F8" s="86">
        <f t="shared" si="2"/>
        <v>2.9413993432685026E-2</v>
      </c>
    </row>
    <row r="9" spans="1:7">
      <c r="A9" t="s">
        <v>474</v>
      </c>
      <c r="B9" s="89">
        <f>(B6/B12)*(B15)</f>
        <v>6.3476443438125916E-4</v>
      </c>
      <c r="C9" s="89">
        <f t="shared" ref="C9:F9" si="3">(C6/C12)*(C15)</f>
        <v>5.9389254867515734E-4</v>
      </c>
      <c r="D9" s="89">
        <f t="shared" si="3"/>
        <v>1.7511370044376888E-3</v>
      </c>
      <c r="E9" s="89">
        <f t="shared" si="3"/>
        <v>1.8145245267308305E-3</v>
      </c>
      <c r="F9" s="89">
        <f t="shared" si="3"/>
        <v>2.1343773680222284E-3</v>
      </c>
    </row>
    <row r="10" spans="1:7">
      <c r="B10" s="86"/>
      <c r="C10" s="86"/>
      <c r="D10" s="86"/>
      <c r="E10" s="86"/>
      <c r="F10" s="86"/>
    </row>
    <row r="11" spans="1:7">
      <c r="A11" t="s">
        <v>475</v>
      </c>
      <c r="B11" s="87">
        <v>11013</v>
      </c>
      <c r="C11" s="87">
        <v>13712</v>
      </c>
      <c r="D11" s="87">
        <v>15807</v>
      </c>
      <c r="E11" s="87">
        <v>17253</v>
      </c>
      <c r="F11" s="87">
        <v>18267</v>
      </c>
    </row>
    <row r="12" spans="1:7">
      <c r="A12" t="s">
        <v>472</v>
      </c>
      <c r="B12" s="87">
        <v>9186.4</v>
      </c>
      <c r="C12" s="87">
        <v>17077.5</v>
      </c>
      <c r="D12" s="87">
        <v>16314.8</v>
      </c>
      <c r="E12" s="87">
        <v>20416.5</v>
      </c>
      <c r="F12" s="87">
        <f>5519.9+5731.9+5566.3+5352.3</f>
        <v>22170.399999999998</v>
      </c>
    </row>
    <row r="13" spans="1:7">
      <c r="A13" t="s">
        <v>387</v>
      </c>
      <c r="B13" s="87">
        <v>1954.1</v>
      </c>
      <c r="C13" s="87">
        <v>2973.9</v>
      </c>
      <c r="D13" s="87">
        <v>3720</v>
      </c>
      <c r="E13" s="87">
        <v>4649</v>
      </c>
      <c r="F13" s="87">
        <v>5708</v>
      </c>
    </row>
    <row r="14" spans="1:7">
      <c r="A14" t="s">
        <v>473</v>
      </c>
      <c r="B14" s="87">
        <v>823</v>
      </c>
      <c r="C14" s="87">
        <v>1705</v>
      </c>
      <c r="D14" s="87">
        <v>2731</v>
      </c>
      <c r="E14" s="87">
        <v>3865</v>
      </c>
      <c r="F14" s="87">
        <v>4658</v>
      </c>
    </row>
    <row r="15" spans="1:7">
      <c r="A15" t="s">
        <v>474</v>
      </c>
      <c r="B15" s="17">
        <v>78.8</v>
      </c>
      <c r="C15" s="17">
        <v>119.32</v>
      </c>
      <c r="D15" s="17">
        <v>248.43</v>
      </c>
      <c r="E15" s="17">
        <v>298.76</v>
      </c>
      <c r="F15" s="17">
        <v>338</v>
      </c>
      <c r="G15" s="22"/>
    </row>
    <row r="16" spans="1:7">
      <c r="B16" s="87"/>
      <c r="C16" s="87"/>
      <c r="D16" s="87"/>
      <c r="E16" s="87"/>
      <c r="F16" s="87"/>
    </row>
    <row r="17" spans="1:7">
      <c r="B17" s="87"/>
      <c r="C17" s="87"/>
      <c r="D17" s="87"/>
      <c r="E17" s="87"/>
      <c r="F17" s="87"/>
    </row>
    <row r="18" spans="1:7">
      <c r="B18" s="87"/>
      <c r="C18" s="87"/>
      <c r="D18" s="87"/>
      <c r="E18" s="87"/>
      <c r="F18" s="87"/>
    </row>
    <row r="19" spans="1:7">
      <c r="B19" s="86"/>
      <c r="C19" s="86"/>
      <c r="D19" s="86"/>
      <c r="E19" s="86"/>
      <c r="F19" s="86"/>
    </row>
    <row r="20" spans="1:7">
      <c r="B20" s="86" t="s">
        <v>476</v>
      </c>
      <c r="C20" s="86"/>
      <c r="D20" s="86"/>
      <c r="E20" s="86"/>
      <c r="F20" s="86"/>
      <c r="G20" s="88" t="s">
        <v>477</v>
      </c>
    </row>
    <row r="21" spans="1:7">
      <c r="B21">
        <v>2020</v>
      </c>
      <c r="C21">
        <f>B21+1</f>
        <v>2021</v>
      </c>
      <c r="D21">
        <f t="shared" ref="D21:F21" si="4">C21+1</f>
        <v>2022</v>
      </c>
      <c r="E21">
        <f t="shared" si="4"/>
        <v>2023</v>
      </c>
      <c r="F21">
        <f t="shared" si="4"/>
        <v>2024</v>
      </c>
    </row>
    <row r="22" spans="1:7">
      <c r="A22" t="s">
        <v>471</v>
      </c>
      <c r="B22" s="86">
        <v>0.42799999999999999</v>
      </c>
      <c r="C22" s="86">
        <v>0.52</v>
      </c>
      <c r="D22" s="86">
        <v>0.56000000000000005</v>
      </c>
      <c r="E22" s="86">
        <v>0.58899999999999997</v>
      </c>
      <c r="F22" s="86">
        <v>0.57899999999999996</v>
      </c>
    </row>
    <row r="23" spans="1:7">
      <c r="A23" t="s">
        <v>472</v>
      </c>
      <c r="B23" s="86">
        <v>0.13300000000000001</v>
      </c>
      <c r="C23" s="86">
        <v>0.19</v>
      </c>
      <c r="D23" s="86">
        <v>0.20499999999999999</v>
      </c>
      <c r="E23" s="86">
        <v>0.223</v>
      </c>
      <c r="F23" s="86">
        <v>0.23200000000000001</v>
      </c>
    </row>
    <row r="24" spans="1:7">
      <c r="B24" s="86"/>
      <c r="C24" s="86"/>
      <c r="D24" s="86"/>
      <c r="E24" s="86"/>
      <c r="F24" s="86"/>
    </row>
    <row r="25" spans="1:7">
      <c r="B25" s="86"/>
      <c r="C25" s="86"/>
      <c r="D25" s="86"/>
      <c r="E25" s="86"/>
      <c r="F25" s="86"/>
    </row>
    <row r="26" spans="1:7">
      <c r="B26" t="s">
        <v>478</v>
      </c>
    </row>
    <row r="27" spans="1:7">
      <c r="B27" s="90">
        <v>2019</v>
      </c>
      <c r="C27">
        <f>B27+1</f>
        <v>2020</v>
      </c>
      <c r="D27">
        <f t="shared" ref="D27:F27" si="5">C27+1</f>
        <v>2021</v>
      </c>
      <c r="E27">
        <f t="shared" si="5"/>
        <v>2022</v>
      </c>
      <c r="F27">
        <f t="shared" si="5"/>
        <v>2023</v>
      </c>
      <c r="G27">
        <f>F27+1</f>
        <v>2024</v>
      </c>
    </row>
    <row r="28" spans="1:7">
      <c r="A28" t="s">
        <v>479</v>
      </c>
      <c r="B28" s="12">
        <v>3</v>
      </c>
      <c r="C28" s="12">
        <v>3</v>
      </c>
      <c r="D28" s="12">
        <v>3</v>
      </c>
      <c r="E28" s="12">
        <v>0</v>
      </c>
      <c r="F28" s="12">
        <v>0</v>
      </c>
      <c r="G28" s="12">
        <v>0</v>
      </c>
    </row>
    <row r="29" spans="1:7">
      <c r="A29" t="s">
        <v>480</v>
      </c>
      <c r="B29" s="12">
        <f>10.14+41.43+43.35</f>
        <v>94.92</v>
      </c>
      <c r="C29" s="12">
        <f>98.49+440+411.36</f>
        <v>949.85</v>
      </c>
      <c r="D29" s="12">
        <f>341.54+384.83+595.26</f>
        <v>1321.63</v>
      </c>
      <c r="E29" s="12">
        <v>0</v>
      </c>
      <c r="F29" s="12">
        <v>0</v>
      </c>
      <c r="G29" s="12">
        <v>0</v>
      </c>
    </row>
    <row r="30" spans="1:7">
      <c r="A30" t="s">
        <v>481</v>
      </c>
      <c r="B30" s="12">
        <v>207.7</v>
      </c>
      <c r="C30" s="22">
        <v>227.82</v>
      </c>
      <c r="D30" s="22">
        <v>832.82999999999993</v>
      </c>
      <c r="E30" s="12"/>
      <c r="F30" s="12"/>
    </row>
    <row r="31" spans="1:7">
      <c r="B31" s="12"/>
      <c r="C31" s="12"/>
      <c r="D31" s="12"/>
      <c r="E31" s="12"/>
      <c r="F31" s="12"/>
    </row>
    <row r="32" spans="1:7">
      <c r="B32" s="12"/>
      <c r="C32" s="12"/>
      <c r="D32" s="12"/>
      <c r="E32" s="12"/>
      <c r="F32" s="12"/>
    </row>
    <row r="33" spans="1:7">
      <c r="B33" s="12"/>
      <c r="C33" s="12"/>
      <c r="D33" s="12"/>
      <c r="E33" s="12"/>
      <c r="F33" s="12"/>
    </row>
    <row r="35" spans="1:7">
      <c r="B35" t="s">
        <v>482</v>
      </c>
    </row>
    <row r="36" spans="1:7">
      <c r="A36" s="42"/>
      <c r="B36" s="11">
        <v>2020</v>
      </c>
      <c r="C36" s="11">
        <f>B36+1</f>
        <v>2021</v>
      </c>
      <c r="D36" s="11">
        <f t="shared" ref="D36:F36" si="6">C36+1</f>
        <v>2022</v>
      </c>
      <c r="E36" s="11">
        <f t="shared" si="6"/>
        <v>2023</v>
      </c>
      <c r="F36" s="11">
        <f t="shared" si="6"/>
        <v>2024</v>
      </c>
    </row>
    <row r="37" spans="1:7">
      <c r="A37" s="41" t="s">
        <v>471</v>
      </c>
      <c r="B37" s="12">
        <v>26500</v>
      </c>
      <c r="C37" s="12">
        <v>30900</v>
      </c>
      <c r="D37" s="12">
        <v>29900</v>
      </c>
      <c r="E37" s="12">
        <v>27200</v>
      </c>
      <c r="F37" s="12">
        <v>24400</v>
      </c>
      <c r="G37" s="927" t="s">
        <v>483</v>
      </c>
    </row>
    <row r="38" spans="1:7">
      <c r="A38" s="41" t="s">
        <v>472</v>
      </c>
      <c r="B38" s="12">
        <v>5477</v>
      </c>
      <c r="C38" s="12">
        <v>8521</v>
      </c>
      <c r="D38" s="12">
        <v>12428</v>
      </c>
      <c r="E38" s="12">
        <v>12985</v>
      </c>
      <c r="F38" s="12">
        <v>12985</v>
      </c>
      <c r="G38" s="928"/>
    </row>
    <row r="39" spans="1:7">
      <c r="A39" s="41" t="s">
        <v>387</v>
      </c>
      <c r="B39" s="12">
        <v>7000</v>
      </c>
      <c r="C39" s="12">
        <v>10000</v>
      </c>
      <c r="D39" s="12">
        <v>11600</v>
      </c>
      <c r="E39" s="12">
        <v>8300</v>
      </c>
      <c r="F39" s="12">
        <v>8100</v>
      </c>
      <c r="G39" s="928"/>
    </row>
    <row r="40" spans="1:7">
      <c r="A40" s="41" t="s">
        <v>473</v>
      </c>
      <c r="B40" s="12">
        <v>2000</v>
      </c>
      <c r="C40" s="12">
        <v>3172</v>
      </c>
      <c r="D40" s="12">
        <v>4500</v>
      </c>
      <c r="E40" s="12">
        <v>5500</v>
      </c>
      <c r="F40" s="12">
        <v>6232</v>
      </c>
      <c r="G40" s="928"/>
    </row>
    <row r="41" spans="1:7">
      <c r="A41" s="41" t="s">
        <v>474</v>
      </c>
      <c r="B41" s="12">
        <v>1100</v>
      </c>
      <c r="C41" s="12">
        <v>1800</v>
      </c>
      <c r="D41" s="12">
        <v>3000</v>
      </c>
      <c r="E41" s="12">
        <v>3000</v>
      </c>
      <c r="F41" s="12">
        <v>2520</v>
      </c>
      <c r="G41" s="929"/>
    </row>
    <row r="42" spans="1:7">
      <c r="A42" s="41"/>
    </row>
    <row r="43" spans="1:7">
      <c r="A43" s="41" t="s">
        <v>471</v>
      </c>
      <c r="B43" s="12">
        <v>21454</v>
      </c>
      <c r="C43" s="12">
        <v>25371</v>
      </c>
      <c r="D43" s="12">
        <v>27518</v>
      </c>
      <c r="E43" s="12">
        <v>29771</v>
      </c>
      <c r="F43" s="12">
        <v>31797</v>
      </c>
      <c r="G43" s="927" t="s">
        <v>327</v>
      </c>
    </row>
    <row r="44" spans="1:7">
      <c r="A44" s="41" t="s">
        <v>472</v>
      </c>
      <c r="B44" s="12">
        <v>9497.6</v>
      </c>
      <c r="C44" s="12">
        <v>17661.2</v>
      </c>
      <c r="D44" s="12">
        <v>17531.599999999999</v>
      </c>
      <c r="E44" s="12">
        <v>21915.599999999999</v>
      </c>
      <c r="F44" s="12">
        <v>23861.5</v>
      </c>
      <c r="G44" s="928"/>
    </row>
    <row r="45" spans="1:7">
      <c r="A45" s="41" t="s">
        <v>387</v>
      </c>
      <c r="B45" s="12">
        <v>2929.5</v>
      </c>
      <c r="C45" s="12">
        <v>4611.5</v>
      </c>
      <c r="D45" s="12">
        <v>5600</v>
      </c>
      <c r="E45" s="12">
        <v>7060</v>
      </c>
      <c r="F45" s="12">
        <v>8880</v>
      </c>
      <c r="G45" s="928"/>
    </row>
    <row r="46" spans="1:7">
      <c r="A46" s="41" t="s">
        <v>473</v>
      </c>
      <c r="B46" s="12">
        <v>823</v>
      </c>
      <c r="C46" s="12">
        <v>1705</v>
      </c>
      <c r="D46" s="12">
        <v>2731</v>
      </c>
      <c r="E46" s="12">
        <v>3865</v>
      </c>
      <c r="F46" s="12">
        <v>4658</v>
      </c>
      <c r="G46" s="928"/>
    </row>
    <row r="47" spans="1:7">
      <c r="A47" s="41" t="s">
        <v>474</v>
      </c>
      <c r="B47" s="93">
        <v>120.64999999999999</v>
      </c>
      <c r="C47" s="93">
        <v>221.71999999999997</v>
      </c>
      <c r="D47" s="93">
        <v>548.37</v>
      </c>
      <c r="E47" s="93">
        <v>730.5</v>
      </c>
      <c r="F47" s="93">
        <v>909.27</v>
      </c>
      <c r="G47" s="929"/>
    </row>
    <row r="48" spans="1:7">
      <c r="A48" s="41"/>
      <c r="B48" s="93"/>
      <c r="C48" s="93"/>
      <c r="D48" s="93"/>
      <c r="E48" s="93"/>
      <c r="F48" s="93"/>
      <c r="G48" s="92"/>
    </row>
    <row r="49" spans="1:7">
      <c r="A49" s="41"/>
      <c r="B49" s="11">
        <v>2020</v>
      </c>
      <c r="C49" s="11">
        <f>B49+1</f>
        <v>2021</v>
      </c>
      <c r="D49" s="11">
        <f t="shared" ref="D49:F49" si="7">C49+1</f>
        <v>2022</v>
      </c>
      <c r="E49" s="11">
        <f t="shared" si="7"/>
        <v>2023</v>
      </c>
      <c r="F49" s="11">
        <f t="shared" si="7"/>
        <v>2024</v>
      </c>
    </row>
    <row r="50" spans="1:7">
      <c r="A50" s="41" t="s">
        <v>471</v>
      </c>
      <c r="B50" s="16">
        <f>B43/B37</f>
        <v>0.80958490566037733</v>
      </c>
      <c r="C50" s="16">
        <f t="shared" ref="C50:F50" si="8">C43/C37</f>
        <v>0.82106796116504854</v>
      </c>
      <c r="D50" s="16">
        <f t="shared" si="8"/>
        <v>0.92033444816053511</v>
      </c>
      <c r="E50" s="16">
        <f t="shared" si="8"/>
        <v>1.0945220588235294</v>
      </c>
      <c r="F50" s="16">
        <f t="shared" si="8"/>
        <v>1.3031557377049181</v>
      </c>
      <c r="G50" s="927" t="s">
        <v>484</v>
      </c>
    </row>
    <row r="51" spans="1:7">
      <c r="A51" s="41" t="s">
        <v>472</v>
      </c>
      <c r="B51" s="16">
        <f>B44/B38</f>
        <v>1.7340880043819611</v>
      </c>
      <c r="C51" s="16">
        <f t="shared" ref="C51:F51" si="9">C44/C38</f>
        <v>2.0726675272855299</v>
      </c>
      <c r="D51" s="16">
        <f t="shared" si="9"/>
        <v>1.4106533633730285</v>
      </c>
      <c r="E51" s="16">
        <f t="shared" si="9"/>
        <v>1.6877628032345013</v>
      </c>
      <c r="F51" s="16">
        <f t="shared" si="9"/>
        <v>1.8376203311513284</v>
      </c>
      <c r="G51" s="928"/>
    </row>
    <row r="52" spans="1:7">
      <c r="A52" s="41" t="s">
        <v>387</v>
      </c>
      <c r="B52" s="16">
        <f>B45/B39</f>
        <v>0.41849999999999998</v>
      </c>
      <c r="C52" s="16">
        <f t="shared" ref="C52:F52" si="10">C45/C39</f>
        <v>0.46115</v>
      </c>
      <c r="D52" s="16">
        <f t="shared" si="10"/>
        <v>0.48275862068965519</v>
      </c>
      <c r="E52" s="16">
        <f t="shared" si="10"/>
        <v>0.85060240963855427</v>
      </c>
      <c r="F52" s="16">
        <f t="shared" si="10"/>
        <v>1.0962962962962963</v>
      </c>
      <c r="G52" s="928"/>
    </row>
    <row r="53" spans="1:7">
      <c r="A53" s="41" t="s">
        <v>473</v>
      </c>
      <c r="B53" s="16">
        <f>B46/B40</f>
        <v>0.41149999999999998</v>
      </c>
      <c r="C53" s="16">
        <f t="shared" ref="C53:F53" si="11">C46/C40</f>
        <v>0.53751576292559899</v>
      </c>
      <c r="D53" s="16">
        <f t="shared" si="11"/>
        <v>0.60688888888888892</v>
      </c>
      <c r="E53" s="16">
        <f t="shared" si="11"/>
        <v>0.70272727272727276</v>
      </c>
      <c r="F53" s="16">
        <f t="shared" si="11"/>
        <v>0.74743260590500638</v>
      </c>
      <c r="G53" s="928"/>
    </row>
    <row r="54" spans="1:7">
      <c r="A54" s="41" t="s">
        <v>474</v>
      </c>
      <c r="B54" s="16">
        <f>B47/B41</f>
        <v>0.10968181818181817</v>
      </c>
      <c r="C54" s="16">
        <f t="shared" ref="C54:F54" si="12">C47/C41</f>
        <v>0.12317777777777776</v>
      </c>
      <c r="D54" s="16">
        <f t="shared" si="12"/>
        <v>0.18279000000000001</v>
      </c>
      <c r="E54" s="16">
        <f t="shared" si="12"/>
        <v>0.24349999999999999</v>
      </c>
      <c r="F54" s="16">
        <f t="shared" si="12"/>
        <v>0.36082142857142857</v>
      </c>
      <c r="G54" s="929"/>
    </row>
    <row r="57" spans="1:7">
      <c r="B57" t="s">
        <v>485</v>
      </c>
    </row>
    <row r="58" spans="1:7">
      <c r="B58" s="11">
        <v>2020</v>
      </c>
      <c r="C58" s="11">
        <f>B58+1</f>
        <v>2021</v>
      </c>
      <c r="D58" s="11">
        <f t="shared" ref="D58:F58" si="13">C58+1</f>
        <v>2022</v>
      </c>
      <c r="E58" s="11">
        <f t="shared" si="13"/>
        <v>2023</v>
      </c>
      <c r="F58" s="11">
        <f t="shared" si="13"/>
        <v>2024</v>
      </c>
    </row>
    <row r="59" spans="1:7">
      <c r="A59" s="41" t="s">
        <v>471</v>
      </c>
      <c r="B59" s="68">
        <v>3931</v>
      </c>
      <c r="C59" s="68">
        <v>4559</v>
      </c>
      <c r="D59" s="68">
        <v>4356</v>
      </c>
      <c r="E59" s="68">
        <v>3868</v>
      </c>
      <c r="F59" s="68">
        <v>4148</v>
      </c>
      <c r="G59" s="927" t="s">
        <v>486</v>
      </c>
    </row>
    <row r="60" spans="1:7">
      <c r="A60" s="41" t="s">
        <v>472</v>
      </c>
      <c r="B60" s="68">
        <v>1688.9</v>
      </c>
      <c r="C60" s="68">
        <v>2600</v>
      </c>
      <c r="D60" s="68">
        <v>3728.6</v>
      </c>
      <c r="E60" s="68">
        <v>4030</v>
      </c>
      <c r="F60" s="68">
        <v>3930</v>
      </c>
      <c r="G60" s="928"/>
    </row>
    <row r="61" spans="1:7">
      <c r="A61" s="41" t="s">
        <v>387</v>
      </c>
      <c r="B61" s="68">
        <v>803.5</v>
      </c>
      <c r="C61" s="68">
        <v>1216.5</v>
      </c>
      <c r="D61" s="68">
        <v>1731</v>
      </c>
      <c r="E61" s="68">
        <v>1622</v>
      </c>
      <c r="F61" s="68">
        <v>1796</v>
      </c>
      <c r="G61" s="928"/>
    </row>
    <row r="62" spans="1:7">
      <c r="A62" s="41" t="s">
        <v>473</v>
      </c>
      <c r="B62" s="68">
        <v>251</v>
      </c>
      <c r="C62" s="68">
        <v>379</v>
      </c>
      <c r="D62" s="68">
        <v>613</v>
      </c>
      <c r="E62" s="68">
        <v>763</v>
      </c>
      <c r="F62" s="68">
        <v>757</v>
      </c>
      <c r="G62" s="928"/>
    </row>
    <row r="63" spans="1:7">
      <c r="A63" s="41" t="s">
        <v>474</v>
      </c>
      <c r="B63" s="68">
        <v>82.47</v>
      </c>
      <c r="C63" s="68">
        <v>149.94</v>
      </c>
      <c r="D63" s="68">
        <v>311.90999999999997</v>
      </c>
      <c r="E63" s="68">
        <v>356.31</v>
      </c>
      <c r="F63" s="68">
        <v>338.03</v>
      </c>
      <c r="G63" s="929"/>
    </row>
    <row r="65" spans="1:7">
      <c r="B65" s="11">
        <v>2020</v>
      </c>
      <c r="C65" s="11">
        <f>B65+1</f>
        <v>2021</v>
      </c>
      <c r="D65" s="11">
        <f t="shared" ref="D65:F65" si="14">C65+1</f>
        <v>2022</v>
      </c>
      <c r="E65" s="11">
        <f t="shared" si="14"/>
        <v>2023</v>
      </c>
      <c r="F65" s="11">
        <f t="shared" si="14"/>
        <v>2024</v>
      </c>
    </row>
    <row r="66" spans="1:7">
      <c r="A66" s="41" t="s">
        <v>471</v>
      </c>
      <c r="B66" s="16">
        <f>B59/B37</f>
        <v>0.14833962264150943</v>
      </c>
      <c r="C66" s="16">
        <f t="shared" ref="C66:F66" si="15">C59/C37</f>
        <v>0.14754045307443367</v>
      </c>
      <c r="D66" s="16">
        <f t="shared" si="15"/>
        <v>0.14568561872909699</v>
      </c>
      <c r="E66" s="16">
        <f t="shared" si="15"/>
        <v>0.14220588235294118</v>
      </c>
      <c r="F66" s="16">
        <f t="shared" si="15"/>
        <v>0.17</v>
      </c>
      <c r="G66" s="927" t="s">
        <v>487</v>
      </c>
    </row>
    <row r="67" spans="1:7">
      <c r="A67" s="41" t="s">
        <v>472</v>
      </c>
      <c r="B67" s="16">
        <f>B60/B44</f>
        <v>0.17782387129380053</v>
      </c>
      <c r="C67" s="16">
        <f t="shared" ref="C67:F67" si="16">C60/C44</f>
        <v>0.14721536475437683</v>
      </c>
      <c r="D67" s="16">
        <f t="shared" si="16"/>
        <v>0.21267881995938764</v>
      </c>
      <c r="E67" s="16">
        <f t="shared" si="16"/>
        <v>0.18388727664312179</v>
      </c>
      <c r="F67" s="16">
        <f t="shared" si="16"/>
        <v>0.16470045889822518</v>
      </c>
      <c r="G67" s="928"/>
    </row>
    <row r="68" spans="1:7">
      <c r="A68" s="41" t="s">
        <v>387</v>
      </c>
      <c r="B68" s="16">
        <f>B61/B45</f>
        <v>0.27427888718211296</v>
      </c>
      <c r="C68" s="16">
        <f t="shared" ref="C68:F68" si="17">C61/C45</f>
        <v>0.26379702916621489</v>
      </c>
      <c r="D68" s="16">
        <f t="shared" si="17"/>
        <v>0.30910714285714286</v>
      </c>
      <c r="E68" s="16">
        <f t="shared" si="17"/>
        <v>0.22974504249291786</v>
      </c>
      <c r="F68" s="16">
        <f t="shared" si="17"/>
        <v>0.20225225225225224</v>
      </c>
      <c r="G68" s="928"/>
    </row>
    <row r="69" spans="1:7">
      <c r="A69" s="41" t="s">
        <v>473</v>
      </c>
      <c r="B69" s="16">
        <f>B62/B40</f>
        <v>0.1255</v>
      </c>
      <c r="C69" s="16">
        <f t="shared" ref="C69:F69" si="18">C62/C40</f>
        <v>0.11948297604035309</v>
      </c>
      <c r="D69" s="16">
        <f t="shared" si="18"/>
        <v>0.13622222222222222</v>
      </c>
      <c r="E69" s="16">
        <f t="shared" si="18"/>
        <v>0.13872727272727273</v>
      </c>
      <c r="F69" s="16">
        <f t="shared" si="18"/>
        <v>0.12146983311938382</v>
      </c>
      <c r="G69" s="928"/>
    </row>
    <row r="70" spans="1:7">
      <c r="A70" s="41" t="s">
        <v>474</v>
      </c>
      <c r="B70" s="16">
        <f>B63/B41</f>
        <v>7.4972727272727274E-2</v>
      </c>
      <c r="C70" s="16">
        <f t="shared" ref="C70:F70" si="19">C63/C41</f>
        <v>8.3299999999999999E-2</v>
      </c>
      <c r="D70" s="16">
        <f t="shared" si="19"/>
        <v>0.10396999999999999</v>
      </c>
      <c r="E70" s="16">
        <f t="shared" si="19"/>
        <v>0.11877</v>
      </c>
      <c r="F70" s="16">
        <f t="shared" si="19"/>
        <v>0.13413888888888889</v>
      </c>
      <c r="G70" s="929"/>
    </row>
    <row r="72" spans="1:7">
      <c r="B72" t="s">
        <v>488</v>
      </c>
    </row>
    <row r="73" spans="1:7">
      <c r="B73" s="11">
        <v>2020</v>
      </c>
      <c r="C73" s="11">
        <f>B73+1</f>
        <v>2021</v>
      </c>
      <c r="D73" s="11">
        <f t="shared" ref="D73:F73" si="20">C73+1</f>
        <v>2022</v>
      </c>
      <c r="E73" s="11">
        <f t="shared" si="20"/>
        <v>2023</v>
      </c>
      <c r="F73" s="11">
        <f t="shared" si="20"/>
        <v>2024</v>
      </c>
    </row>
    <row r="74" spans="1:7">
      <c r="A74" s="41" t="s">
        <v>471</v>
      </c>
      <c r="B74" s="22">
        <v>11453</v>
      </c>
      <c r="C74" s="22">
        <v>13450</v>
      </c>
      <c r="D74" s="22">
        <v>15865</v>
      </c>
      <c r="E74" s="22">
        <v>17986</v>
      </c>
      <c r="F74" s="22">
        <v>18907</v>
      </c>
      <c r="G74" s="927" t="s">
        <v>432</v>
      </c>
    </row>
    <row r="75" spans="1:7">
      <c r="A75" s="41" t="s">
        <v>472</v>
      </c>
      <c r="B75" s="22">
        <v>6753</v>
      </c>
      <c r="C75" s="22">
        <v>13218.7</v>
      </c>
      <c r="D75" s="22">
        <v>11469.5</v>
      </c>
      <c r="E75" s="22">
        <v>14337.9</v>
      </c>
      <c r="F75" s="22">
        <v>15187.3</v>
      </c>
      <c r="G75" s="928"/>
    </row>
    <row r="76" spans="1:7">
      <c r="A76" s="41" t="s">
        <v>387</v>
      </c>
      <c r="B76" s="22">
        <v>1388</v>
      </c>
      <c r="C76" s="22">
        <v>2130.6999999999998</v>
      </c>
      <c r="D76" s="22">
        <v>2846</v>
      </c>
      <c r="E76" s="22">
        <v>3545</v>
      </c>
      <c r="F76" s="22">
        <v>4408</v>
      </c>
      <c r="G76" s="928"/>
    </row>
    <row r="77" spans="1:7">
      <c r="A77" s="41" t="s">
        <v>473</v>
      </c>
      <c r="B77" s="22">
        <v>679</v>
      </c>
      <c r="C77" s="22">
        <v>1387</v>
      </c>
      <c r="D77" s="22">
        <v>2215</v>
      </c>
      <c r="E77" s="22">
        <v>3026</v>
      </c>
      <c r="F77" s="22">
        <v>3570</v>
      </c>
      <c r="G77" s="928"/>
    </row>
    <row r="78" spans="1:7">
      <c r="A78" s="41" t="s">
        <v>474</v>
      </c>
      <c r="B78" s="22">
        <v>39.67</v>
      </c>
      <c r="C78" s="22">
        <v>94.06</v>
      </c>
      <c r="D78" s="22">
        <v>277.2</v>
      </c>
      <c r="E78" s="22">
        <v>398.55</v>
      </c>
      <c r="F78" s="22">
        <v>524.02</v>
      </c>
      <c r="G78" s="929"/>
    </row>
    <row r="79" spans="1:7">
      <c r="B79" s="22"/>
      <c r="C79" s="22"/>
      <c r="D79" s="22"/>
      <c r="E79" s="22"/>
      <c r="F79" s="22"/>
      <c r="G79" s="92"/>
    </row>
    <row r="80" spans="1:7">
      <c r="B80" s="11">
        <v>2020</v>
      </c>
      <c r="C80" s="11">
        <f>B80+1</f>
        <v>2021</v>
      </c>
      <c r="D80" s="11">
        <f t="shared" ref="D80:F80" si="21">C80+1</f>
        <v>2022</v>
      </c>
      <c r="E80" s="11">
        <f t="shared" si="21"/>
        <v>2023</v>
      </c>
      <c r="F80" s="11">
        <f t="shared" si="21"/>
        <v>2024</v>
      </c>
    </row>
    <row r="81" spans="1:7">
      <c r="A81" s="41" t="s">
        <v>471</v>
      </c>
      <c r="B81" s="16">
        <f>B74/B37</f>
        <v>0.43218867924528304</v>
      </c>
      <c r="C81" s="16">
        <f t="shared" ref="C81:F81" si="22">C74/C37</f>
        <v>0.43527508090614886</v>
      </c>
      <c r="D81" s="16">
        <f t="shared" si="22"/>
        <v>0.53060200668896318</v>
      </c>
      <c r="E81" s="16">
        <f t="shared" si="22"/>
        <v>0.66125</v>
      </c>
      <c r="F81" s="16">
        <f t="shared" si="22"/>
        <v>0.77487704918032785</v>
      </c>
      <c r="G81" s="927" t="s">
        <v>489</v>
      </c>
    </row>
    <row r="82" spans="1:7">
      <c r="A82" s="41" t="s">
        <v>472</v>
      </c>
      <c r="B82" s="16">
        <f>B75/B38</f>
        <v>1.2329742559795509</v>
      </c>
      <c r="C82" s="16">
        <f t="shared" ref="C82:F82" si="23">C75/C38</f>
        <v>1.5513085318624575</v>
      </c>
      <c r="D82" s="16">
        <f t="shared" si="23"/>
        <v>0.92287576440296104</v>
      </c>
      <c r="E82" s="16">
        <f t="shared" si="23"/>
        <v>1.1041894493646516</v>
      </c>
      <c r="F82" s="16">
        <f t="shared" si="23"/>
        <v>1.1696033885252213</v>
      </c>
      <c r="G82" s="928"/>
    </row>
    <row r="83" spans="1:7">
      <c r="A83" s="41" t="s">
        <v>387</v>
      </c>
      <c r="B83" s="16">
        <f>B76/B39</f>
        <v>0.19828571428571429</v>
      </c>
      <c r="C83" s="16">
        <f t="shared" ref="C83:F83" si="24">C76/C39</f>
        <v>0.21306999999999998</v>
      </c>
      <c r="D83" s="16">
        <f t="shared" si="24"/>
        <v>0.2453448275862069</v>
      </c>
      <c r="E83" s="16">
        <f t="shared" si="24"/>
        <v>0.42710843373493979</v>
      </c>
      <c r="F83" s="16">
        <f t="shared" si="24"/>
        <v>0.54419753086419753</v>
      </c>
      <c r="G83" s="928"/>
    </row>
    <row r="84" spans="1:7">
      <c r="A84" s="41" t="s">
        <v>473</v>
      </c>
      <c r="B84" s="16">
        <f>B77/B40</f>
        <v>0.33950000000000002</v>
      </c>
      <c r="C84" s="16">
        <f t="shared" ref="C84:F84" si="25">C77/C40</f>
        <v>0.43726355611601514</v>
      </c>
      <c r="D84" s="16">
        <f t="shared" si="25"/>
        <v>0.49222222222222223</v>
      </c>
      <c r="E84" s="16">
        <f t="shared" si="25"/>
        <v>0.55018181818181822</v>
      </c>
      <c r="F84" s="16">
        <f t="shared" si="25"/>
        <v>0.57284980744544289</v>
      </c>
      <c r="G84" s="928"/>
    </row>
    <row r="85" spans="1:7">
      <c r="A85" s="41" t="s">
        <v>474</v>
      </c>
      <c r="B85" s="16">
        <f>B78/B41</f>
        <v>3.6063636363636367E-2</v>
      </c>
      <c r="C85" s="16">
        <f t="shared" ref="C85:F85" si="26">C78/C41</f>
        <v>5.2255555555555555E-2</v>
      </c>
      <c r="D85" s="16">
        <f t="shared" si="26"/>
        <v>9.2399999999999996E-2</v>
      </c>
      <c r="E85" s="16">
        <f t="shared" si="26"/>
        <v>0.13285</v>
      </c>
      <c r="F85" s="16">
        <f t="shared" si="26"/>
        <v>0.20794444444444443</v>
      </c>
      <c r="G85" s="929"/>
    </row>
    <row r="88" spans="1:7">
      <c r="B88" t="s">
        <v>490</v>
      </c>
    </row>
    <row r="89" spans="1:7">
      <c r="B89" s="11">
        <v>2020</v>
      </c>
      <c r="C89" s="11">
        <f>B89+1</f>
        <v>2021</v>
      </c>
      <c r="D89" s="11">
        <f t="shared" ref="D89:F89" si="27">C89+1</f>
        <v>2022</v>
      </c>
      <c r="E89" s="11">
        <f t="shared" si="27"/>
        <v>2023</v>
      </c>
      <c r="F89" s="11">
        <f t="shared" si="27"/>
        <v>2024</v>
      </c>
    </row>
    <row r="90" spans="1:7">
      <c r="A90" s="41" t="s">
        <v>471</v>
      </c>
      <c r="B90" s="22">
        <f>B74+B59</f>
        <v>15384</v>
      </c>
      <c r="C90" s="22">
        <f t="shared" ref="C90:F90" si="28">C74+C59</f>
        <v>18009</v>
      </c>
      <c r="D90" s="22">
        <f t="shared" si="28"/>
        <v>20221</v>
      </c>
      <c r="E90" s="22">
        <f t="shared" si="28"/>
        <v>21854</v>
      </c>
      <c r="F90" s="22">
        <f t="shared" si="28"/>
        <v>23055</v>
      </c>
      <c r="G90" s="927" t="s">
        <v>491</v>
      </c>
    </row>
    <row r="91" spans="1:7">
      <c r="A91" s="41" t="s">
        <v>472</v>
      </c>
      <c r="B91" s="22">
        <f>B75+B60</f>
        <v>8441.9</v>
      </c>
      <c r="C91" s="22">
        <f t="shared" ref="C91:F91" si="29">C75+C60</f>
        <v>15818.7</v>
      </c>
      <c r="D91" s="22">
        <f t="shared" si="29"/>
        <v>15198.1</v>
      </c>
      <c r="E91" s="22">
        <f t="shared" si="29"/>
        <v>18367.900000000001</v>
      </c>
      <c r="F91" s="22">
        <f t="shared" si="29"/>
        <v>19117.3</v>
      </c>
      <c r="G91" s="928"/>
    </row>
    <row r="92" spans="1:7">
      <c r="A92" s="41" t="s">
        <v>387</v>
      </c>
      <c r="B92" s="22">
        <f>B76+B61</f>
        <v>2191.5</v>
      </c>
      <c r="C92" s="22">
        <f t="shared" ref="C92:F92" si="30">C76+C61</f>
        <v>3347.2</v>
      </c>
      <c r="D92" s="22">
        <f t="shared" si="30"/>
        <v>4577</v>
      </c>
      <c r="E92" s="22">
        <f t="shared" si="30"/>
        <v>5167</v>
      </c>
      <c r="F92" s="22">
        <f t="shared" si="30"/>
        <v>6204</v>
      </c>
      <c r="G92" s="928"/>
    </row>
    <row r="93" spans="1:7">
      <c r="A93" s="41" t="s">
        <v>473</v>
      </c>
      <c r="B93" s="22">
        <f>B77+B62</f>
        <v>930</v>
      </c>
      <c r="C93" s="22">
        <f t="shared" ref="C93:F93" si="31">C77+C62</f>
        <v>1766</v>
      </c>
      <c r="D93" s="22">
        <f t="shared" si="31"/>
        <v>2828</v>
      </c>
      <c r="E93" s="22">
        <f t="shared" si="31"/>
        <v>3789</v>
      </c>
      <c r="F93" s="22">
        <f t="shared" si="31"/>
        <v>4327</v>
      </c>
      <c r="G93" s="928"/>
    </row>
    <row r="94" spans="1:7">
      <c r="A94" s="41" t="s">
        <v>474</v>
      </c>
      <c r="B94" s="22">
        <f>B78+B63</f>
        <v>122.14</v>
      </c>
      <c r="C94" s="22">
        <f t="shared" ref="C94:F94" si="32">C78+C63</f>
        <v>244</v>
      </c>
      <c r="D94" s="22">
        <f t="shared" si="32"/>
        <v>589.1099999999999</v>
      </c>
      <c r="E94" s="22">
        <f t="shared" si="32"/>
        <v>754.86</v>
      </c>
      <c r="F94" s="22">
        <f t="shared" si="32"/>
        <v>862.05</v>
      </c>
      <c r="G94" s="929"/>
    </row>
    <row r="96" spans="1:7">
      <c r="B96" s="11">
        <v>2020</v>
      </c>
      <c r="C96" s="11">
        <f>B96+1</f>
        <v>2021</v>
      </c>
      <c r="D96" s="11">
        <f t="shared" ref="D96:F96" si="33">C96+1</f>
        <v>2022</v>
      </c>
      <c r="E96" s="11">
        <f t="shared" si="33"/>
        <v>2023</v>
      </c>
      <c r="F96" s="11">
        <f t="shared" si="33"/>
        <v>2024</v>
      </c>
    </row>
    <row r="97" spans="1:12">
      <c r="A97" s="41" t="s">
        <v>471</v>
      </c>
      <c r="B97" s="16">
        <f>B90/B37</f>
        <v>0.5805283018867925</v>
      </c>
      <c r="C97" s="16">
        <f t="shared" ref="C97:F97" si="34">C90/C37</f>
        <v>0.5828155339805825</v>
      </c>
      <c r="D97" s="16">
        <f t="shared" si="34"/>
        <v>0.6762876254180602</v>
      </c>
      <c r="E97" s="16">
        <f t="shared" si="34"/>
        <v>0.80345588235294119</v>
      </c>
      <c r="F97" s="16">
        <f t="shared" si="34"/>
        <v>0.94487704918032789</v>
      </c>
      <c r="G97" s="930" t="s">
        <v>492</v>
      </c>
    </row>
    <row r="98" spans="1:12">
      <c r="A98" s="41" t="s">
        <v>472</v>
      </c>
      <c r="B98" s="16">
        <f>B91/B38</f>
        <v>1.5413364980828921</v>
      </c>
      <c r="C98" s="16">
        <f t="shared" ref="C98:F98" si="35">C91/C38</f>
        <v>1.8564370379063491</v>
      </c>
      <c r="D98" s="16">
        <f t="shared" si="35"/>
        <v>1.2228918570968781</v>
      </c>
      <c r="E98" s="16">
        <f t="shared" si="35"/>
        <v>1.4145475548710051</v>
      </c>
      <c r="F98" s="16">
        <f t="shared" si="35"/>
        <v>1.4722603003465538</v>
      </c>
      <c r="G98" s="930"/>
    </row>
    <row r="99" spans="1:12">
      <c r="A99" s="41" t="s">
        <v>387</v>
      </c>
      <c r="B99" s="16">
        <f>B92/B39</f>
        <v>0.31307142857142856</v>
      </c>
      <c r="C99" s="16">
        <f t="shared" ref="C99:F99" si="36">C92/C39</f>
        <v>0.33471999999999996</v>
      </c>
      <c r="D99" s="16">
        <f t="shared" si="36"/>
        <v>0.39456896551724135</v>
      </c>
      <c r="E99" s="16">
        <f t="shared" si="36"/>
        <v>0.62253012048192768</v>
      </c>
      <c r="F99" s="16">
        <f t="shared" si="36"/>
        <v>0.7659259259259259</v>
      </c>
      <c r="G99" s="930"/>
    </row>
    <row r="100" spans="1:12">
      <c r="A100" s="41" t="s">
        <v>473</v>
      </c>
      <c r="B100" s="16">
        <f>B93/B40</f>
        <v>0.46500000000000002</v>
      </c>
      <c r="C100" s="16">
        <f t="shared" ref="C100:F100" si="37">C93/C40</f>
        <v>0.55674653215636827</v>
      </c>
      <c r="D100" s="16">
        <f t="shared" si="37"/>
        <v>0.62844444444444447</v>
      </c>
      <c r="E100" s="16">
        <f t="shared" si="37"/>
        <v>0.68890909090909092</v>
      </c>
      <c r="F100" s="16">
        <f t="shared" si="37"/>
        <v>0.69431964056482665</v>
      </c>
      <c r="G100" s="930"/>
    </row>
    <row r="101" spans="1:12">
      <c r="A101" s="41" t="s">
        <v>474</v>
      </c>
      <c r="B101" s="16">
        <f>B94/B41</f>
        <v>0.11103636363636364</v>
      </c>
      <c r="C101" s="16">
        <f t="shared" ref="C101:F101" si="38">C94/C41</f>
        <v>0.13555555555555557</v>
      </c>
      <c r="D101" s="16">
        <f t="shared" si="38"/>
        <v>0.19636999999999996</v>
      </c>
      <c r="E101" s="16">
        <f t="shared" si="38"/>
        <v>0.25162000000000001</v>
      </c>
      <c r="F101" s="16">
        <f t="shared" si="38"/>
        <v>0.34208333333333329</v>
      </c>
      <c r="G101" s="930"/>
    </row>
    <row r="106" spans="1:12" ht="16">
      <c r="B106" s="99"/>
      <c r="C106" s="99"/>
      <c r="D106" s="99"/>
      <c r="E106" s="99"/>
      <c r="F106" s="99"/>
      <c r="G106" s="99"/>
      <c r="H106" s="99"/>
      <c r="I106" s="99"/>
      <c r="J106" s="99"/>
      <c r="K106" s="99"/>
      <c r="L106" s="99"/>
    </row>
    <row r="107" spans="1:12" ht="16">
      <c r="B107" s="99"/>
      <c r="C107" s="99"/>
      <c r="D107" s="99"/>
      <c r="E107" s="99"/>
      <c r="F107" s="99"/>
      <c r="G107" s="99"/>
      <c r="H107" s="99"/>
      <c r="I107" s="99"/>
      <c r="J107" s="99"/>
      <c r="K107" s="99"/>
      <c r="L107" s="99"/>
    </row>
    <row r="108" spans="1:12" ht="16">
      <c r="B108" s="99"/>
      <c r="C108" s="99"/>
      <c r="D108" s="99"/>
      <c r="E108" s="99"/>
      <c r="F108" s="99"/>
      <c r="G108" s="99"/>
      <c r="H108" s="99"/>
      <c r="I108" s="99"/>
      <c r="J108" s="99"/>
      <c r="K108" s="99"/>
      <c r="L108" s="99"/>
    </row>
    <row r="109" spans="1:12" ht="16">
      <c r="B109" s="99"/>
      <c r="C109" s="99"/>
      <c r="D109" s="99"/>
      <c r="E109" s="99"/>
      <c r="F109" s="99"/>
      <c r="G109" s="99"/>
      <c r="H109" s="99"/>
      <c r="I109" s="99"/>
      <c r="J109" s="99"/>
      <c r="K109" s="99"/>
      <c r="L109" s="99"/>
    </row>
    <row r="110" spans="1:12" ht="16">
      <c r="B110" s="99"/>
      <c r="C110" s="99"/>
      <c r="D110" s="99"/>
      <c r="E110" s="99"/>
      <c r="F110" s="99"/>
      <c r="G110" s="99"/>
      <c r="H110" s="99"/>
      <c r="I110" s="99"/>
      <c r="J110" s="99"/>
      <c r="K110" s="99"/>
      <c r="L110" s="99"/>
    </row>
    <row r="111" spans="1:12" ht="16">
      <c r="B111" s="99"/>
      <c r="C111" s="99"/>
      <c r="D111" s="99"/>
      <c r="E111" s="99"/>
      <c r="F111" s="99"/>
      <c r="G111" s="99"/>
      <c r="H111" s="99"/>
      <c r="I111" s="99"/>
      <c r="J111" s="99"/>
      <c r="K111" s="99"/>
      <c r="L111" s="99"/>
    </row>
    <row r="112" spans="1:12" ht="16">
      <c r="B112" s="99"/>
      <c r="C112" s="99"/>
      <c r="D112" s="99"/>
      <c r="E112" s="99"/>
      <c r="F112" s="99"/>
      <c r="G112" s="99"/>
      <c r="H112" s="99"/>
      <c r="I112" s="99"/>
      <c r="J112" s="99"/>
      <c r="K112" s="99"/>
      <c r="L112" s="99"/>
    </row>
    <row r="113" spans="2:12" ht="16">
      <c r="B113" s="99"/>
      <c r="C113" s="99"/>
      <c r="D113" s="99"/>
      <c r="E113" s="99"/>
      <c r="F113" s="99"/>
      <c r="G113" s="99"/>
      <c r="H113" s="99"/>
      <c r="I113" s="99"/>
      <c r="J113" s="99"/>
      <c r="K113" s="99"/>
      <c r="L113" s="99"/>
    </row>
    <row r="114" spans="2:12" ht="16">
      <c r="B114" s="99"/>
      <c r="C114" s="99"/>
      <c r="D114" s="99"/>
      <c r="E114" s="99"/>
      <c r="F114" s="99"/>
      <c r="G114" s="99"/>
      <c r="H114" s="99"/>
      <c r="I114" s="99"/>
      <c r="J114" s="99"/>
      <c r="K114" s="99"/>
      <c r="L114" s="99"/>
    </row>
    <row r="115" spans="2:12" ht="16">
      <c r="B115" s="99"/>
      <c r="C115" s="99"/>
      <c r="D115" s="99"/>
      <c r="E115" s="99"/>
      <c r="F115" s="99"/>
      <c r="G115" s="99"/>
      <c r="H115" s="99"/>
      <c r="I115" s="99"/>
      <c r="J115" s="99"/>
      <c r="K115" s="99"/>
      <c r="L115" s="99"/>
    </row>
  </sheetData>
  <mergeCells count="9">
    <mergeCell ref="G81:G85"/>
    <mergeCell ref="G90:G94"/>
    <mergeCell ref="G97:G101"/>
    <mergeCell ref="G37:G41"/>
    <mergeCell ref="G43:G47"/>
    <mergeCell ref="G50:G54"/>
    <mergeCell ref="G59:G63"/>
    <mergeCell ref="G66:G70"/>
    <mergeCell ref="G74:G78"/>
  </mergeCells>
  <hyperlinks>
    <hyperlink ref="G3" r:id="rId1" location="companies_market-share" xr:uid="{02BEDDDF-5557-E345-8A5E-0D4B7FF5A808}"/>
    <hyperlink ref="G20" r:id="rId2" location="companies_market-share" xr:uid="{C2DF4D84-91AD-3C47-A645-7C30C7A9C907}"/>
  </hyperlinks>
  <pageMargins left="0.7" right="0.7" top="0.75" bottom="0.75" header="0.3" footer="0.3"/>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A3971-FC1B-F54F-978D-334C17DFD4BA}">
  <dimension ref="D11:N97"/>
  <sheetViews>
    <sheetView showGridLines="0" topLeftCell="A53" zoomScale="75" workbookViewId="0">
      <selection activeCell="H87" sqref="H87"/>
    </sheetView>
  </sheetViews>
  <sheetFormatPr baseColWidth="10" defaultColWidth="11.5" defaultRowHeight="15"/>
  <cols>
    <col min="4" max="4" width="25.33203125" customWidth="1"/>
    <col min="5" max="5" width="38.6640625" customWidth="1"/>
    <col min="6" max="6" width="47" customWidth="1"/>
    <col min="7" max="7" width="10.83203125" customWidth="1"/>
    <col min="8" max="8" width="67.1640625" customWidth="1"/>
    <col min="9" max="9" width="13.6640625" customWidth="1"/>
    <col min="10" max="10" width="19.1640625" customWidth="1"/>
    <col min="11" max="11" width="26.83203125" customWidth="1"/>
    <col min="12" max="12" width="45.33203125" customWidth="1"/>
    <col min="13" max="13" width="10.83203125" customWidth="1"/>
  </cols>
  <sheetData>
    <row r="11" spans="4:14" ht="28">
      <c r="D11" s="931" t="s">
        <v>493</v>
      </c>
      <c r="E11" s="931"/>
      <c r="F11" s="931"/>
      <c r="G11" s="931"/>
      <c r="H11" s="931"/>
      <c r="I11" s="931"/>
      <c r="J11" s="931"/>
      <c r="K11" s="931"/>
      <c r="L11" s="931"/>
      <c r="M11" s="931"/>
      <c r="N11" s="931"/>
    </row>
    <row r="12" spans="4:14" ht="34">
      <c r="D12" s="650" t="s">
        <v>360</v>
      </c>
      <c r="E12" s="650" t="s">
        <v>494</v>
      </c>
      <c r="F12" s="651" t="s">
        <v>495</v>
      </c>
      <c r="G12" s="651" t="s">
        <v>496</v>
      </c>
      <c r="H12" s="650" t="s">
        <v>497</v>
      </c>
      <c r="I12" s="651" t="s">
        <v>498</v>
      </c>
      <c r="J12" s="651" t="s">
        <v>499</v>
      </c>
      <c r="K12" s="651" t="s">
        <v>500</v>
      </c>
      <c r="L12" s="650" t="s">
        <v>501</v>
      </c>
      <c r="M12" s="651" t="s">
        <v>502</v>
      </c>
      <c r="N12" s="651" t="s">
        <v>503</v>
      </c>
    </row>
    <row r="13" spans="4:14" ht="16">
      <c r="D13" s="100" t="s">
        <v>179</v>
      </c>
      <c r="E13" s="100" t="s">
        <v>504</v>
      </c>
      <c r="F13" s="100">
        <v>1</v>
      </c>
      <c r="G13" s="100">
        <v>0.7</v>
      </c>
      <c r="H13" s="100" t="s">
        <v>505</v>
      </c>
      <c r="I13" s="100">
        <v>1.5</v>
      </c>
      <c r="J13" s="100" t="s">
        <v>506</v>
      </c>
      <c r="K13" s="100" t="s">
        <v>507</v>
      </c>
      <c r="L13" s="100" t="s">
        <v>508</v>
      </c>
      <c r="M13" s="100">
        <v>65</v>
      </c>
      <c r="N13" s="100">
        <v>1.1000000000000001</v>
      </c>
    </row>
    <row r="14" spans="4:14" ht="16">
      <c r="D14" s="100" t="s">
        <v>180</v>
      </c>
      <c r="E14" s="100" t="s">
        <v>509</v>
      </c>
      <c r="F14" s="100">
        <v>2</v>
      </c>
      <c r="G14" s="100">
        <v>0.73124999999999996</v>
      </c>
      <c r="H14" s="100" t="s">
        <v>510</v>
      </c>
      <c r="I14" s="100">
        <v>2</v>
      </c>
      <c r="J14" s="100" t="s">
        <v>511</v>
      </c>
      <c r="K14" s="100" t="s">
        <v>512</v>
      </c>
      <c r="L14" s="100" t="s">
        <v>513</v>
      </c>
      <c r="M14" s="100">
        <v>67</v>
      </c>
      <c r="N14" s="100">
        <v>1.3</v>
      </c>
    </row>
    <row r="15" spans="4:14" ht="16">
      <c r="D15" s="100" t="s">
        <v>181</v>
      </c>
      <c r="E15" s="100" t="s">
        <v>514</v>
      </c>
      <c r="F15" s="100">
        <v>3</v>
      </c>
      <c r="G15" s="100">
        <v>0.76249999999999996</v>
      </c>
      <c r="H15" s="100" t="s">
        <v>515</v>
      </c>
      <c r="I15" s="100">
        <v>2.5</v>
      </c>
      <c r="J15" s="100" t="s">
        <v>516</v>
      </c>
      <c r="K15" s="100" t="s">
        <v>517</v>
      </c>
      <c r="L15" s="100" t="s">
        <v>518</v>
      </c>
      <c r="M15" s="100">
        <v>70</v>
      </c>
      <c r="N15" s="100">
        <v>1.5</v>
      </c>
    </row>
    <row r="16" spans="4:14" ht="16">
      <c r="D16" s="100" t="s">
        <v>182</v>
      </c>
      <c r="E16" s="100" t="s">
        <v>519</v>
      </c>
      <c r="F16" s="100">
        <v>4</v>
      </c>
      <c r="G16" s="100">
        <v>0.79374999999999996</v>
      </c>
      <c r="H16" s="100" t="s">
        <v>520</v>
      </c>
      <c r="I16" s="100">
        <v>3</v>
      </c>
      <c r="J16" s="100" t="s">
        <v>521</v>
      </c>
      <c r="K16" s="100" t="s">
        <v>522</v>
      </c>
      <c r="L16" s="100" t="s">
        <v>523</v>
      </c>
      <c r="M16" s="100">
        <v>72</v>
      </c>
      <c r="N16" s="100">
        <v>1.7</v>
      </c>
    </row>
    <row r="17" spans="4:14" ht="16">
      <c r="D17" s="100" t="s">
        <v>183</v>
      </c>
      <c r="E17" s="100" t="s">
        <v>524</v>
      </c>
      <c r="F17" s="100">
        <v>5</v>
      </c>
      <c r="G17" s="100">
        <v>0.82499999999999996</v>
      </c>
      <c r="H17" s="100" t="s">
        <v>525</v>
      </c>
      <c r="I17" s="100">
        <v>3.5</v>
      </c>
      <c r="J17" s="100" t="s">
        <v>526</v>
      </c>
      <c r="K17" s="100" t="s">
        <v>527</v>
      </c>
      <c r="L17" s="100" t="s">
        <v>528</v>
      </c>
      <c r="M17" s="100">
        <v>74</v>
      </c>
      <c r="N17" s="100">
        <v>2</v>
      </c>
    </row>
    <row r="18" spans="4:14" ht="16">
      <c r="D18" s="100" t="s">
        <v>184</v>
      </c>
      <c r="E18" s="100" t="s">
        <v>529</v>
      </c>
      <c r="F18" s="100">
        <v>6</v>
      </c>
      <c r="G18" s="100">
        <v>0.85624999999999996</v>
      </c>
      <c r="H18" s="100" t="s">
        <v>530</v>
      </c>
      <c r="I18" s="100">
        <v>4</v>
      </c>
      <c r="J18" s="100" t="s">
        <v>531</v>
      </c>
      <c r="K18" s="100" t="s">
        <v>532</v>
      </c>
      <c r="L18" s="100" t="s">
        <v>533</v>
      </c>
      <c r="M18" s="100">
        <v>76</v>
      </c>
      <c r="N18" s="100">
        <v>2.2999999999999998</v>
      </c>
    </row>
    <row r="19" spans="4:14" ht="16">
      <c r="D19" s="100" t="s">
        <v>185</v>
      </c>
      <c r="E19" s="100" t="s">
        <v>534</v>
      </c>
      <c r="F19" s="100">
        <v>7</v>
      </c>
      <c r="G19" s="100">
        <v>0.88749999999999996</v>
      </c>
      <c r="H19" s="100" t="s">
        <v>535</v>
      </c>
      <c r="I19" s="100">
        <v>4.5</v>
      </c>
      <c r="J19" s="100" t="s">
        <v>536</v>
      </c>
      <c r="K19" s="100" t="s">
        <v>537</v>
      </c>
      <c r="L19" s="100" t="s">
        <v>538</v>
      </c>
      <c r="M19" s="100">
        <v>78</v>
      </c>
      <c r="N19" s="100">
        <v>2.6</v>
      </c>
    </row>
    <row r="20" spans="4:14" ht="16">
      <c r="D20" s="100" t="s">
        <v>186</v>
      </c>
      <c r="E20" s="100" t="s">
        <v>539</v>
      </c>
      <c r="F20" s="100">
        <v>8</v>
      </c>
      <c r="G20" s="100">
        <v>0.91874999999999996</v>
      </c>
      <c r="H20" s="100" t="s">
        <v>540</v>
      </c>
      <c r="I20" s="100">
        <v>5</v>
      </c>
      <c r="J20" s="100" t="s">
        <v>541</v>
      </c>
      <c r="K20" s="100" t="s">
        <v>542</v>
      </c>
      <c r="L20" s="100" t="s">
        <v>543</v>
      </c>
      <c r="M20" s="100">
        <v>80</v>
      </c>
      <c r="N20" s="100">
        <v>3</v>
      </c>
    </row>
    <row r="21" spans="4:14" ht="16">
      <c r="D21" s="100" t="s">
        <v>187</v>
      </c>
      <c r="E21" s="100" t="s">
        <v>544</v>
      </c>
      <c r="F21" s="100">
        <v>9</v>
      </c>
      <c r="G21" s="100">
        <v>0.95</v>
      </c>
      <c r="H21" s="100" t="s">
        <v>545</v>
      </c>
      <c r="I21" s="100">
        <v>5.5</v>
      </c>
      <c r="J21" s="100" t="s">
        <v>546</v>
      </c>
      <c r="K21" s="100" t="s">
        <v>547</v>
      </c>
      <c r="L21" s="100" t="s">
        <v>548</v>
      </c>
      <c r="M21" s="100">
        <v>82</v>
      </c>
      <c r="N21" s="100">
        <v>3.5</v>
      </c>
    </row>
    <row r="51" spans="4:7" ht="20">
      <c r="D51" s="932" t="s">
        <v>549</v>
      </c>
      <c r="E51" s="932"/>
      <c r="F51" s="932"/>
      <c r="G51" s="932"/>
    </row>
    <row r="52" spans="4:7">
      <c r="D52" s="652" t="s">
        <v>550</v>
      </c>
      <c r="E52" s="652" t="s">
        <v>551</v>
      </c>
      <c r="F52" s="652" t="s">
        <v>552</v>
      </c>
      <c r="G52" s="652" t="s">
        <v>553</v>
      </c>
    </row>
    <row r="53" spans="4:7">
      <c r="D53" s="5" t="s">
        <v>554</v>
      </c>
      <c r="E53" s="5" t="s">
        <v>555</v>
      </c>
      <c r="F53" s="5" t="s">
        <v>556</v>
      </c>
      <c r="G53" s="5">
        <v>9</v>
      </c>
    </row>
    <row r="54" spans="4:7">
      <c r="D54" s="5" t="s">
        <v>557</v>
      </c>
      <c r="E54" s="5" t="s">
        <v>558</v>
      </c>
      <c r="F54" s="5" t="s">
        <v>559</v>
      </c>
      <c r="G54" s="5">
        <v>6</v>
      </c>
    </row>
    <row r="55" spans="4:7">
      <c r="D55" s="5" t="s">
        <v>560</v>
      </c>
      <c r="E55" s="5" t="s">
        <v>561</v>
      </c>
      <c r="F55" s="5" t="s">
        <v>562</v>
      </c>
      <c r="G55" s="5">
        <v>10</v>
      </c>
    </row>
    <row r="56" spans="4:7">
      <c r="D56" s="5" t="s">
        <v>563</v>
      </c>
      <c r="E56" s="5" t="s">
        <v>564</v>
      </c>
      <c r="F56" s="5" t="s">
        <v>565</v>
      </c>
      <c r="G56" s="5">
        <v>7</v>
      </c>
    </row>
    <row r="57" spans="4:7">
      <c r="D57" s="5" t="s">
        <v>566</v>
      </c>
      <c r="E57" s="5" t="s">
        <v>567</v>
      </c>
      <c r="F57" s="5" t="s">
        <v>568</v>
      </c>
      <c r="G57" s="5">
        <v>6</v>
      </c>
    </row>
    <row r="58" spans="4:7">
      <c r="D58" s="5" t="s">
        <v>569</v>
      </c>
      <c r="E58" s="5" t="s">
        <v>570</v>
      </c>
      <c r="F58" s="5" t="s">
        <v>571</v>
      </c>
      <c r="G58" s="5">
        <v>5</v>
      </c>
    </row>
    <row r="59" spans="4:7" ht="16" thickBot="1">
      <c r="D59" s="101" t="s">
        <v>572</v>
      </c>
      <c r="E59" s="101" t="s">
        <v>573</v>
      </c>
      <c r="F59" s="101" t="s">
        <v>574</v>
      </c>
      <c r="G59" s="101">
        <v>6</v>
      </c>
    </row>
    <row r="60" spans="4:7" ht="16" thickTop="1">
      <c r="F60" s="62" t="s">
        <v>575</v>
      </c>
      <c r="G60" s="102">
        <f>(49/70)</f>
        <v>0.7</v>
      </c>
    </row>
    <row r="62" spans="4:7" ht="28">
      <c r="D62" s="933"/>
      <c r="E62" s="933"/>
      <c r="F62" s="933"/>
      <c r="G62" s="933"/>
    </row>
    <row r="63" spans="4:7" ht="20">
      <c r="D63" s="935" t="s">
        <v>576</v>
      </c>
      <c r="E63" s="935"/>
      <c r="F63" s="935"/>
      <c r="G63" s="935"/>
    </row>
    <row r="64" spans="4:7">
      <c r="D64" s="653" t="s">
        <v>550</v>
      </c>
      <c r="E64" s="653" t="s">
        <v>551</v>
      </c>
      <c r="F64" s="653" t="s">
        <v>552</v>
      </c>
      <c r="G64" s="653" t="s">
        <v>553</v>
      </c>
    </row>
    <row r="65" spans="4:7">
      <c r="D65" s="103" t="s">
        <v>554</v>
      </c>
      <c r="E65" s="103" t="s">
        <v>555</v>
      </c>
      <c r="F65" s="103" t="s">
        <v>577</v>
      </c>
      <c r="G65" s="103">
        <v>9</v>
      </c>
    </row>
    <row r="66" spans="4:7">
      <c r="D66" s="5" t="s">
        <v>557</v>
      </c>
      <c r="E66" s="5" t="s">
        <v>578</v>
      </c>
      <c r="F66" s="5" t="s">
        <v>579</v>
      </c>
      <c r="G66" s="5">
        <v>7</v>
      </c>
    </row>
    <row r="67" spans="4:7">
      <c r="D67" s="5" t="s">
        <v>560</v>
      </c>
      <c r="E67" s="5" t="s">
        <v>561</v>
      </c>
      <c r="F67" s="5" t="s">
        <v>580</v>
      </c>
      <c r="G67" s="5">
        <v>10</v>
      </c>
    </row>
    <row r="68" spans="4:7">
      <c r="D68" s="5" t="s">
        <v>563</v>
      </c>
      <c r="E68" s="5" t="s">
        <v>564</v>
      </c>
      <c r="F68" s="5" t="s">
        <v>581</v>
      </c>
      <c r="G68" s="5">
        <v>7</v>
      </c>
    </row>
    <row r="69" spans="4:7">
      <c r="D69" s="5" t="s">
        <v>566</v>
      </c>
      <c r="E69" s="5" t="s">
        <v>567</v>
      </c>
      <c r="F69" s="5" t="s">
        <v>582</v>
      </c>
      <c r="G69" s="5">
        <v>6</v>
      </c>
    </row>
    <row r="70" spans="4:7">
      <c r="D70" s="5" t="s">
        <v>569</v>
      </c>
      <c r="E70" s="5" t="s">
        <v>583</v>
      </c>
      <c r="F70" s="5" t="s">
        <v>584</v>
      </c>
      <c r="G70" s="5">
        <v>6</v>
      </c>
    </row>
    <row r="71" spans="4:7" ht="16" thickBot="1">
      <c r="D71" s="101" t="s">
        <v>572</v>
      </c>
      <c r="E71" s="101" t="s">
        <v>585</v>
      </c>
      <c r="F71" s="101" t="s">
        <v>586</v>
      </c>
      <c r="G71" s="101">
        <v>6</v>
      </c>
    </row>
    <row r="72" spans="4:7" ht="16" thickTop="1">
      <c r="F72" s="62" t="s">
        <v>587</v>
      </c>
      <c r="G72" s="102">
        <f>(51/70)</f>
        <v>0.72857142857142854</v>
      </c>
    </row>
    <row r="74" spans="4:7" ht="20">
      <c r="D74" s="934" t="s">
        <v>588</v>
      </c>
      <c r="E74" s="934"/>
      <c r="F74" s="934"/>
      <c r="G74" s="934"/>
    </row>
    <row r="75" spans="4:7">
      <c r="D75" s="653" t="s">
        <v>550</v>
      </c>
      <c r="E75" s="653" t="s">
        <v>551</v>
      </c>
      <c r="F75" s="653" t="s">
        <v>552</v>
      </c>
      <c r="G75" s="653" t="s">
        <v>553</v>
      </c>
    </row>
    <row r="76" spans="4:7">
      <c r="D76" s="103" t="s">
        <v>554</v>
      </c>
      <c r="E76" s="103" t="s">
        <v>589</v>
      </c>
      <c r="F76" s="103" t="s">
        <v>590</v>
      </c>
      <c r="G76" s="103">
        <v>9</v>
      </c>
    </row>
    <row r="77" spans="4:7">
      <c r="D77" s="5" t="s">
        <v>557</v>
      </c>
      <c r="E77" s="5" t="s">
        <v>591</v>
      </c>
      <c r="F77" s="5" t="s">
        <v>592</v>
      </c>
      <c r="G77" s="5">
        <v>8</v>
      </c>
    </row>
    <row r="78" spans="4:7">
      <c r="D78" s="5" t="s">
        <v>560</v>
      </c>
      <c r="E78" s="5" t="s">
        <v>593</v>
      </c>
      <c r="F78" s="5" t="s">
        <v>594</v>
      </c>
      <c r="G78" s="5">
        <v>10</v>
      </c>
    </row>
    <row r="79" spans="4:7">
      <c r="D79" s="5" t="s">
        <v>563</v>
      </c>
      <c r="E79" s="5" t="s">
        <v>595</v>
      </c>
      <c r="F79" s="5" t="s">
        <v>596</v>
      </c>
      <c r="G79" s="5">
        <v>8</v>
      </c>
    </row>
    <row r="80" spans="4:7">
      <c r="D80" s="5" t="s">
        <v>566</v>
      </c>
      <c r="E80" s="5" t="s">
        <v>597</v>
      </c>
      <c r="F80" s="5" t="s">
        <v>598</v>
      </c>
      <c r="G80" s="5">
        <v>7</v>
      </c>
    </row>
    <row r="81" spans="4:7">
      <c r="D81" s="5" t="s">
        <v>569</v>
      </c>
      <c r="E81" s="5" t="s">
        <v>599</v>
      </c>
      <c r="F81" s="5" t="s">
        <v>600</v>
      </c>
      <c r="G81" s="5">
        <v>6</v>
      </c>
    </row>
    <row r="82" spans="4:7" ht="16" thickBot="1">
      <c r="D82" s="101" t="s">
        <v>572</v>
      </c>
      <c r="E82" s="101" t="s">
        <v>585</v>
      </c>
      <c r="F82" s="101" t="s">
        <v>601</v>
      </c>
      <c r="G82" s="101">
        <v>7</v>
      </c>
    </row>
    <row r="83" spans="4:7" ht="16" thickTop="1">
      <c r="F83" s="105" t="s">
        <v>587</v>
      </c>
      <c r="G83" s="106">
        <f>(55/70)</f>
        <v>0.7857142857142857</v>
      </c>
    </row>
    <row r="84" spans="4:7">
      <c r="F84" s="34" t="s">
        <v>602</v>
      </c>
      <c r="G84" s="104">
        <f>G83-G72</f>
        <v>5.7142857142857162E-2</v>
      </c>
    </row>
    <row r="89" spans="4:7" ht="16">
      <c r="D89" s="657" t="s">
        <v>550</v>
      </c>
      <c r="E89" s="658" t="s">
        <v>792</v>
      </c>
      <c r="F89" s="658" t="s">
        <v>793</v>
      </c>
    </row>
    <row r="90" spans="4:7">
      <c r="D90" s="103" t="s">
        <v>554</v>
      </c>
      <c r="E90" s="103">
        <v>9</v>
      </c>
      <c r="F90" s="103">
        <v>9</v>
      </c>
    </row>
    <row r="91" spans="4:7">
      <c r="D91" s="5" t="s">
        <v>557</v>
      </c>
      <c r="E91" s="5">
        <v>7</v>
      </c>
      <c r="F91" s="5">
        <v>8</v>
      </c>
    </row>
    <row r="92" spans="4:7">
      <c r="D92" s="5" t="s">
        <v>560</v>
      </c>
      <c r="E92" s="5">
        <v>10</v>
      </c>
      <c r="F92" s="5">
        <v>10</v>
      </c>
    </row>
    <row r="93" spans="4:7">
      <c r="D93" s="5" t="s">
        <v>563</v>
      </c>
      <c r="E93" s="5">
        <v>7</v>
      </c>
      <c r="F93" s="5">
        <v>8</v>
      </c>
    </row>
    <row r="94" spans="4:7">
      <c r="D94" s="5" t="s">
        <v>566</v>
      </c>
      <c r="E94" s="5">
        <v>6</v>
      </c>
      <c r="F94" s="5">
        <v>7</v>
      </c>
    </row>
    <row r="95" spans="4:7">
      <c r="D95" s="5" t="s">
        <v>569</v>
      </c>
      <c r="E95" s="5">
        <v>6</v>
      </c>
      <c r="F95" s="5">
        <v>6</v>
      </c>
    </row>
    <row r="96" spans="4:7" ht="16" thickBot="1">
      <c r="D96" s="101" t="s">
        <v>572</v>
      </c>
      <c r="E96" s="101">
        <v>6</v>
      </c>
      <c r="F96" s="101">
        <v>7</v>
      </c>
    </row>
    <row r="97" spans="4:6" ht="16" thickTop="1">
      <c r="D97" s="62" t="s">
        <v>794</v>
      </c>
      <c r="E97" s="102">
        <f>51/70</f>
        <v>0.72857142857142854</v>
      </c>
      <c r="F97" s="102">
        <f>55/70</f>
        <v>0.7857142857142857</v>
      </c>
    </row>
  </sheetData>
  <mergeCells count="5">
    <mergeCell ref="D11:N11"/>
    <mergeCell ref="D51:G51"/>
    <mergeCell ref="D62:G62"/>
    <mergeCell ref="D74:G74"/>
    <mergeCell ref="D63:G63"/>
  </mergeCells>
  <conditionalFormatting sqref="E89:E95">
    <cfRule type="colorScale" priority="2">
      <colorScale>
        <cfvo type="min"/>
        <cfvo type="max"/>
        <color rgb="FFFCFCFF"/>
        <color rgb="FF63BE7B"/>
      </colorScale>
    </cfRule>
    <cfRule type="colorScale" priority="3">
      <colorScale>
        <cfvo type="min"/>
        <cfvo type="percentile" val="50"/>
        <cfvo type="max"/>
        <color rgb="FFF8696B"/>
        <color rgb="FFFFEB84"/>
        <color rgb="FF63BE7B"/>
      </colorScale>
    </cfRule>
  </conditionalFormatting>
  <conditionalFormatting sqref="F90:F96">
    <cfRule type="colorScale" priority="1">
      <colorScale>
        <cfvo type="min"/>
        <cfvo type="max"/>
        <color rgb="FFFCFCFF"/>
        <color rgb="FF63BE7B"/>
      </colorScale>
    </cfRule>
  </conditionalFormatting>
  <conditionalFormatting sqref="G53:G59">
    <cfRule type="colorScale" priority="6">
      <colorScale>
        <cfvo type="min"/>
        <cfvo type="max"/>
        <color rgb="FFFCFCFF"/>
        <color rgb="FF63BE7B"/>
      </colorScale>
    </cfRule>
    <cfRule type="colorScale" priority="8">
      <colorScale>
        <cfvo type="min"/>
        <cfvo type="percentile" val="50"/>
        <cfvo type="max"/>
        <color rgb="FFF8696B"/>
        <color rgb="FFFFEB84"/>
        <color rgb="FF63BE7B"/>
      </colorScale>
    </cfRule>
  </conditionalFormatting>
  <conditionalFormatting sqref="G64:G70">
    <cfRule type="colorScale" priority="5">
      <colorScale>
        <cfvo type="min"/>
        <cfvo type="max"/>
        <color rgb="FFFCFCFF"/>
        <color rgb="FF63BE7B"/>
      </colorScale>
    </cfRule>
    <cfRule type="colorScale" priority="7">
      <colorScale>
        <cfvo type="min"/>
        <cfvo type="percentile" val="50"/>
        <cfvo type="max"/>
        <color rgb="FFF8696B"/>
        <color rgb="FFFFEB84"/>
        <color rgb="FF63BE7B"/>
      </colorScale>
    </cfRule>
  </conditionalFormatting>
  <conditionalFormatting sqref="G76:G82">
    <cfRule type="colorScale" priority="4">
      <colorScale>
        <cfvo type="min"/>
        <cfvo type="max"/>
        <color rgb="FFFCFCFF"/>
        <color rgb="FF63BE7B"/>
      </colorScale>
    </cfRule>
  </conditionalFormatting>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8433E-6425-4BF6-BD28-DB2080A5133F}">
  <dimension ref="A1:B19"/>
  <sheetViews>
    <sheetView workbookViewId="0"/>
  </sheetViews>
  <sheetFormatPr baseColWidth="10" defaultColWidth="11.5" defaultRowHeight="15"/>
  <cols>
    <col min="1" max="1" width="10.1640625" bestFit="1" customWidth="1"/>
    <col min="2" max="2" width="63" bestFit="1" customWidth="1"/>
  </cols>
  <sheetData>
    <row r="1" spans="1:2">
      <c r="A1" t="s">
        <v>603</v>
      </c>
      <c r="B1" t="s">
        <v>604</v>
      </c>
    </row>
    <row r="2" spans="1:2">
      <c r="A2" s="91">
        <v>45291</v>
      </c>
      <c r="B2">
        <v>985836.8125</v>
      </c>
    </row>
    <row r="3" spans="1:2">
      <c r="A3" s="91">
        <v>44926</v>
      </c>
      <c r="B3">
        <v>880902.3125</v>
      </c>
    </row>
    <row r="4" spans="1:2">
      <c r="A4" s="91">
        <v>44561</v>
      </c>
      <c r="B4">
        <v>762362.0625</v>
      </c>
    </row>
    <row r="5" spans="1:2">
      <c r="A5" s="91">
        <v>44196</v>
      </c>
      <c r="B5">
        <v>676717.375</v>
      </c>
    </row>
    <row r="6" spans="1:2">
      <c r="A6" s="91">
        <v>43830</v>
      </c>
      <c r="B6">
        <v>617046.5</v>
      </c>
    </row>
    <row r="7" spans="1:2">
      <c r="A7" s="91">
        <v>43465</v>
      </c>
      <c r="B7">
        <v>550176.625</v>
      </c>
    </row>
    <row r="8" spans="1:2">
      <c r="A8" s="91">
        <v>43100</v>
      </c>
      <c r="B8">
        <v>479562.5</v>
      </c>
    </row>
    <row r="9" spans="1:2">
      <c r="A9" s="91">
        <v>42735</v>
      </c>
      <c r="B9">
        <v>438046.6875</v>
      </c>
    </row>
    <row r="10" spans="1:2">
      <c r="A10" s="91">
        <v>42369</v>
      </c>
      <c r="B10">
        <v>407779.3125</v>
      </c>
    </row>
    <row r="11" spans="1:2">
      <c r="A11" s="91">
        <v>42004</v>
      </c>
      <c r="B11">
        <v>373016.1875</v>
      </c>
    </row>
    <row r="12" spans="1:2">
      <c r="A12" s="91">
        <v>41639</v>
      </c>
      <c r="B12">
        <v>348325.6875</v>
      </c>
    </row>
    <row r="13" spans="1:2">
      <c r="A13" s="91">
        <v>41274</v>
      </c>
      <c r="B13">
        <v>325520.09379999997</v>
      </c>
    </row>
    <row r="14" spans="1:2">
      <c r="A14" s="91">
        <v>40908</v>
      </c>
      <c r="B14">
        <v>300401.65620000003</v>
      </c>
    </row>
    <row r="15" spans="1:2">
      <c r="A15" s="91">
        <v>40543</v>
      </c>
      <c r="B15">
        <v>280033.96879999997</v>
      </c>
    </row>
    <row r="16" spans="1:2">
      <c r="A16" s="91">
        <v>40178</v>
      </c>
      <c r="B16">
        <v>269265.78120000003</v>
      </c>
    </row>
    <row r="17" spans="1:2">
      <c r="A17" s="91">
        <v>39813</v>
      </c>
      <c r="B17">
        <v>293630.84379999997</v>
      </c>
    </row>
    <row r="18" spans="1:2">
      <c r="A18" s="91">
        <v>39447</v>
      </c>
      <c r="B18">
        <v>275163.78120000003</v>
      </c>
    </row>
    <row r="19" spans="1:2">
      <c r="A19" s="91">
        <v>39082</v>
      </c>
      <c r="B19">
        <v>247689.5938</v>
      </c>
    </row>
  </sheetData>
  <pageMargins left="0.7" right="0.7" top="0.75" bottom="0.75" header="0.3" footer="0.3"/>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6CB2A-CCDB-425A-BD41-DA73D76D5666}">
  <dimension ref="A1"/>
  <sheetViews>
    <sheetView workbookViewId="0"/>
  </sheetViews>
  <sheetFormatPr baseColWidth="10" defaultColWidth="11.5"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CFC9ADE09C944F84622B237F87DF4A" ma:contentTypeVersion="21" ma:contentTypeDescription="Create a new document." ma:contentTypeScope="" ma:versionID="8d2670d17de97ec6d3070c0484a002e8">
  <xsd:schema xmlns:xsd="http://www.w3.org/2001/XMLSchema" xmlns:xs="http://www.w3.org/2001/XMLSchema" xmlns:p="http://schemas.microsoft.com/office/2006/metadata/properties" xmlns:ns2="c39ba54e-b9a3-472f-97db-793996792a5d" xmlns:ns3="8bf10d9e-fd70-4a8e-b55f-cacebec34d2e" targetNamespace="http://schemas.microsoft.com/office/2006/metadata/properties" ma:root="true" ma:fieldsID="f80de8a10bd4be04ed3a1f3083aa8c31" ns2:_="" ns3:_="">
    <xsd:import namespace="c39ba54e-b9a3-472f-97db-793996792a5d"/>
    <xsd:import namespace="8bf10d9e-fd70-4a8e-b55f-cacebec34d2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MediaServiceAutoKeyPoints" minOccurs="0"/>
                <xsd:element ref="ns2:MediaServiceKeyPoints" minOccurs="0"/>
                <xsd:element ref="ns3:TaxCatchAll" minOccurs="0"/>
                <xsd:element ref="ns2:lcf76f155ced4ddcb4097134ff3c332f"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9ba54e-b9a3-472f-97db-793996792a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489762-de54-417b-aa3d-8bc484f7f14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bf10d9e-fd70-4a8e-b55f-cacebec34d2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e4305bd-66e6-421e-8214-70507df77962}" ma:internalName="TaxCatchAll" ma:showField="CatchAllData" ma:web="8bf10d9e-fd70-4a8e-b55f-cacebec34d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39ba54e-b9a3-472f-97db-793996792a5d">
      <Terms xmlns="http://schemas.microsoft.com/office/infopath/2007/PartnerControls"/>
    </lcf76f155ced4ddcb4097134ff3c332f>
    <TaxCatchAll xmlns="8bf10d9e-fd70-4a8e-b55f-cacebec34d2e" xsi:nil="true"/>
  </documentManagement>
</p:properties>
</file>

<file path=customXml/itemProps1.xml><?xml version="1.0" encoding="utf-8"?>
<ds:datastoreItem xmlns:ds="http://schemas.openxmlformats.org/officeDocument/2006/customXml" ds:itemID="{8AFD64BD-25EE-437B-8057-193582DAB9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9ba54e-b9a3-472f-97db-793996792a5d"/>
    <ds:schemaRef ds:uri="8bf10d9e-fd70-4a8e-b55f-cacebec34d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FC5AC7-E8FC-4F6D-9DA9-49CC3EB5546D}">
  <ds:schemaRefs>
    <ds:schemaRef ds:uri="http://schemas.microsoft.com/sharepoint/v3/contenttype/forms"/>
  </ds:schemaRefs>
</ds:datastoreItem>
</file>

<file path=customXml/itemProps3.xml><?xml version="1.0" encoding="utf-8"?>
<ds:datastoreItem xmlns:ds="http://schemas.openxmlformats.org/officeDocument/2006/customXml" ds:itemID="{4E692AD2-A97E-4055-8DFB-B68F7C27C2DC}">
  <ds:schemaRef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c39ba54e-b9a3-472f-97db-793996792a5d"/>
    <ds:schemaRef ds:uri="http://schemas.microsoft.com/office/2006/documentManagement/types"/>
    <ds:schemaRef ds:uri="8bf10d9e-fd70-4a8e-b55f-cacebec34d2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Cover Sheet</vt:lpstr>
      <vt:lpstr>Contacts</vt:lpstr>
      <vt:lpstr>Company Summary</vt:lpstr>
      <vt:lpstr>DCF Summary</vt:lpstr>
      <vt:lpstr>DCF Assumptions (Bull)</vt:lpstr>
      <vt:lpstr>LSPD DCF (Unprofitability)</vt:lpstr>
      <vt:lpstr>LSPD DCF</vt:lpstr>
      <vt:lpstr>LSPD RV</vt:lpstr>
      <vt:lpstr>RV</vt:lpstr>
      <vt:lpstr>NWC Schedule</vt:lpstr>
      <vt:lpstr>Reverse DCF</vt:lpstr>
      <vt:lpstr>LSPD WACC</vt:lpstr>
      <vt:lpstr>Cost of Debt</vt:lpstr>
      <vt:lpstr>Market Return</vt:lpstr>
      <vt:lpstr>LSPD vs Shop</vt:lpstr>
      <vt:lpstr>LSPD Transcripts</vt:lpstr>
      <vt:lpstr>Market Share</vt:lpstr>
      <vt:lpstr>NLP Output</vt:lpstr>
      <vt:lpstr>Industry Growth</vt:lpstr>
      <vt:lpstr>Forecasted Software Spending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Giroux</dc:creator>
  <cp:keywords/>
  <dc:description/>
  <cp:lastModifiedBy>Corey Yuan-Zhen Cao</cp:lastModifiedBy>
  <cp:revision/>
  <dcterms:created xsi:type="dcterms:W3CDTF">2025-01-23T10:13:36Z</dcterms:created>
  <dcterms:modified xsi:type="dcterms:W3CDTF">2025-04-04T19:42:34Z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0x0101003ACFC9ADE09C944F84622B237F87DF4A</vt:lpwstr>
  </property>
  <property fmtid="{D5CDD505-2E9C-101B-9397-08002B2CF9AE}" pid="3" name="MediaServiceImageTags">
    <vt:lpwstr/>
  </property>
  <property fmtid="{D5CDD505-2E9C-101B-9397-08002B2CF9AE}" pid="4" name="{A44787D4-0540-4523-9961-78E4036D8C6D}">
    <vt:lpwstr>{93841E70-7E3B-486D-9D34-2300CC7E4798}</vt:lpwstr>
  </property>
</Properties>
</file>