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2fc2270f7c636da8/Ambiente de Trabalho/GEE/Cases/"/>
    </mc:Choice>
  </mc:AlternateContent>
  <xr:revisionPtr revIDLastSave="18" documentId="8_{0C6563E0-DF80-4F88-9D86-00372231B3E7}" xr6:coauthVersionLast="47" xr6:coauthVersionMax="47" xr10:uidLastSave="{E752711A-24A4-424E-B305-12FDB5C1EAD3}"/>
  <bookViews>
    <workbookView xWindow="-120" yWindow="-120" windowWidth="29040" windowHeight="15840" firstSheet="8" activeTab="13" xr2:uid="{39C5AD0F-4FF6-4E17-ABEB-4B731958E8D5}"/>
  </bookViews>
  <sheets>
    <sheet name="Copyright" sheetId="17" r:id="rId1"/>
    <sheet name="Balance Sheet_ Standard Form" sheetId="4" r:id="rId2"/>
    <sheet name="Balance Sheet_ Common Size_Corr" sheetId="5" r:id="rId3"/>
    <sheet name="Income Statements_Standard Form" sheetId="6" r:id="rId4"/>
    <sheet name="Income Statements_ Common Size" sheetId="7" r:id="rId5"/>
    <sheet name="Statement of Cash Flows" sheetId="8" r:id="rId6"/>
    <sheet name="Financial Ratio Definitions" sheetId="9" r:id="rId7"/>
    <sheet name="Comparative Financial Ratios" sheetId="10" r:id="rId8"/>
    <sheet name="Comparative Valuation Metrics" sheetId="11" r:id="rId9"/>
    <sheet name="Forecasted revenue and profit g" sheetId="15" r:id="rId10"/>
    <sheet name="Stock Performance" sheetId="13" r:id="rId11"/>
    <sheet name="PEG Ratio" sheetId="14" r:id="rId12"/>
    <sheet name="Segments" sheetId="16" r:id="rId13"/>
    <sheet name="Financial Ratios" sheetId="18" r:id="rId14"/>
  </sheets>
  <definedNames>
    <definedName name="CIQWBGuid" hidden="1">"f59bcf34-3845-45b9-8786-fec75f2dcf79"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8" i="18" l="1"/>
  <c r="B7" i="18"/>
  <c r="C7" i="18"/>
  <c r="D7" i="18"/>
  <c r="F7" i="18"/>
  <c r="G7" i="18"/>
  <c r="H7" i="18"/>
  <c r="J7" i="18"/>
  <c r="K7" i="18"/>
  <c r="L7" i="18"/>
  <c r="N7" i="18"/>
  <c r="O7" i="18"/>
  <c r="P7" i="18"/>
  <c r="B12" i="18"/>
  <c r="C12" i="18"/>
  <c r="D12" i="18"/>
  <c r="F12" i="18"/>
  <c r="G12" i="18"/>
  <c r="H12" i="18"/>
  <c r="J12" i="18"/>
  <c r="K12" i="18"/>
  <c r="L12" i="18"/>
  <c r="N12" i="18"/>
  <c r="O12" i="18"/>
  <c r="P12" i="18"/>
  <c r="B18" i="18"/>
  <c r="C18" i="18"/>
  <c r="D18" i="18"/>
  <c r="F18" i="18"/>
  <c r="G18" i="18"/>
  <c r="H18" i="18"/>
  <c r="J18" i="18"/>
  <c r="K18" i="18"/>
  <c r="L18" i="18"/>
  <c r="N18" i="18"/>
  <c r="O18" i="18"/>
  <c r="P18" i="18"/>
  <c r="B20" i="18"/>
  <c r="C20" i="18"/>
  <c r="D20" i="18"/>
  <c r="F20" i="18"/>
  <c r="G20" i="18"/>
  <c r="H20" i="18"/>
  <c r="J20" i="18"/>
  <c r="K20" i="18"/>
  <c r="L20" i="18"/>
  <c r="N20" i="18"/>
  <c r="O20" i="18"/>
  <c r="P20" i="18"/>
  <c r="B38" i="18"/>
  <c r="C38" i="18"/>
  <c r="D38" i="18"/>
  <c r="F38" i="18"/>
  <c r="G38" i="18"/>
  <c r="H38" i="18"/>
  <c r="J38" i="18"/>
  <c r="K38" i="18"/>
  <c r="L38" i="18"/>
  <c r="N38" i="18"/>
  <c r="O38" i="18"/>
  <c r="P38" i="18"/>
  <c r="B45" i="18"/>
  <c r="C45" i="18"/>
  <c r="D45" i="18"/>
  <c r="F45" i="18"/>
  <c r="G45" i="18"/>
  <c r="H45" i="18"/>
  <c r="J45" i="18"/>
  <c r="K45" i="18"/>
  <c r="L45" i="18"/>
  <c r="N45" i="18"/>
  <c r="O45" i="18"/>
  <c r="P45" i="18"/>
  <c r="B53" i="18"/>
  <c r="C53" i="18"/>
  <c r="D53" i="18"/>
  <c r="F53" i="18"/>
  <c r="G53" i="18"/>
  <c r="H53" i="18"/>
  <c r="J53" i="18"/>
  <c r="K53" i="18"/>
  <c r="L53" i="18"/>
  <c r="N53" i="18"/>
  <c r="O53" i="18"/>
  <c r="P53" i="18"/>
  <c r="B56" i="18"/>
  <c r="C56" i="18"/>
  <c r="D56" i="18"/>
  <c r="F56" i="18"/>
  <c r="G56" i="18"/>
  <c r="H56" i="18"/>
  <c r="J56" i="18"/>
  <c r="K56" i="18"/>
  <c r="L56" i="18"/>
  <c r="N56" i="18"/>
  <c r="O56" i="18"/>
  <c r="P56" i="18"/>
  <c r="B67" i="18"/>
  <c r="C67" i="18"/>
  <c r="D67" i="18"/>
  <c r="J67" i="18"/>
  <c r="K67" i="18"/>
  <c r="L67" i="18"/>
  <c r="N67" i="18"/>
  <c r="O67" i="18"/>
  <c r="P67" i="18"/>
  <c r="B71" i="18"/>
  <c r="C71" i="18"/>
  <c r="D71" i="18"/>
  <c r="F71" i="18"/>
  <c r="G71" i="18"/>
  <c r="H71" i="18"/>
  <c r="J71" i="18"/>
  <c r="K71" i="18"/>
  <c r="L71" i="18"/>
  <c r="N71" i="18"/>
  <c r="O71" i="18"/>
  <c r="P71" i="18"/>
  <c r="B75" i="18"/>
  <c r="C75" i="18"/>
  <c r="D75" i="18"/>
  <c r="F75" i="18"/>
  <c r="G75" i="18"/>
  <c r="H75" i="18"/>
  <c r="J75" i="18"/>
  <c r="K75" i="18"/>
  <c r="L75" i="18"/>
  <c r="N75" i="18"/>
  <c r="O75" i="18"/>
  <c r="P75" i="18"/>
  <c r="B81" i="18"/>
  <c r="C81" i="18"/>
  <c r="D81" i="18"/>
  <c r="F81" i="18"/>
  <c r="G81" i="18"/>
  <c r="H81" i="18"/>
  <c r="J81" i="18"/>
  <c r="K81" i="18"/>
  <c r="L81" i="18"/>
  <c r="N81" i="18"/>
  <c r="O81" i="18"/>
  <c r="P81" i="18"/>
  <c r="B85" i="18"/>
  <c r="C85" i="18"/>
  <c r="D85" i="18"/>
  <c r="F85" i="18"/>
  <c r="G85" i="18"/>
  <c r="H85" i="18"/>
  <c r="J85" i="18"/>
  <c r="K85" i="18"/>
  <c r="L85" i="18"/>
  <c r="N85" i="18"/>
  <c r="O85" i="18"/>
  <c r="P85" i="18"/>
  <c r="B91" i="18"/>
  <c r="C91" i="18"/>
  <c r="D91" i="18"/>
  <c r="F91" i="18"/>
  <c r="G91" i="18"/>
  <c r="H91" i="18"/>
  <c r="J91" i="18"/>
  <c r="K91" i="18"/>
  <c r="L91" i="18"/>
  <c r="N91" i="18"/>
  <c r="O91" i="18"/>
  <c r="P91" i="18"/>
  <c r="B93" i="18"/>
  <c r="C93" i="18"/>
  <c r="D93" i="18"/>
  <c r="F93" i="18"/>
  <c r="G93" i="18"/>
  <c r="H93" i="18"/>
  <c r="J93" i="18"/>
  <c r="K93" i="18"/>
  <c r="L93" i="18"/>
  <c r="N93" i="18"/>
  <c r="O93" i="18"/>
  <c r="P93" i="18"/>
  <c r="C99" i="18"/>
  <c r="E99" i="18"/>
  <c r="G99" i="18"/>
  <c r="J99" i="18"/>
  <c r="L99" i="18"/>
  <c r="N99" i="18"/>
  <c r="Q99" i="18"/>
  <c r="S99" i="18"/>
  <c r="U99" i="18"/>
  <c r="X99" i="18"/>
  <c r="Z99" i="18"/>
  <c r="AB99" i="18"/>
  <c r="C100" i="18"/>
  <c r="E100" i="18"/>
  <c r="G100" i="18"/>
  <c r="J100" i="18"/>
  <c r="L100" i="18"/>
  <c r="N100" i="18"/>
  <c r="Q100" i="18"/>
  <c r="S100" i="18"/>
  <c r="U100" i="18"/>
  <c r="X100" i="18"/>
  <c r="Z100" i="18"/>
  <c r="AB100" i="18"/>
  <c r="B101" i="18"/>
  <c r="C101" i="18"/>
  <c r="D101" i="18"/>
  <c r="E101" i="18"/>
  <c r="F101" i="18"/>
  <c r="G101" i="18"/>
  <c r="I101" i="18"/>
  <c r="J101" i="18"/>
  <c r="K101" i="18"/>
  <c r="L101" i="18"/>
  <c r="M101" i="18"/>
  <c r="N101" i="18"/>
  <c r="P101" i="18"/>
  <c r="Q101" i="18"/>
  <c r="R101" i="18"/>
  <c r="S101" i="18"/>
  <c r="T101" i="18"/>
  <c r="U101" i="18"/>
  <c r="W101" i="18"/>
  <c r="X101" i="18"/>
  <c r="Y101" i="18"/>
  <c r="Z101" i="18"/>
  <c r="AA101" i="18"/>
  <c r="AB101" i="18"/>
  <c r="J102" i="18"/>
  <c r="L102" i="18"/>
  <c r="N102" i="18"/>
  <c r="C103" i="18"/>
  <c r="E103" i="18"/>
  <c r="G103" i="18"/>
  <c r="J103" i="18"/>
  <c r="L103" i="18"/>
  <c r="N103" i="18"/>
  <c r="Q103" i="18"/>
  <c r="S103" i="18"/>
  <c r="U103" i="18"/>
  <c r="X103" i="18"/>
  <c r="Z103" i="18"/>
  <c r="AB103" i="18"/>
  <c r="B104" i="18"/>
  <c r="C104" i="18"/>
  <c r="D104" i="18"/>
  <c r="E104" i="18"/>
  <c r="F104" i="18"/>
  <c r="G104" i="18"/>
  <c r="I104" i="18"/>
  <c r="J104" i="18"/>
  <c r="K104" i="18"/>
  <c r="L104" i="18"/>
  <c r="M104" i="18"/>
  <c r="N104" i="18"/>
  <c r="P104" i="18"/>
  <c r="Q104" i="18"/>
  <c r="R104" i="18"/>
  <c r="S104" i="18"/>
  <c r="T104" i="18"/>
  <c r="U104" i="18"/>
  <c r="W104" i="18"/>
  <c r="X104" i="18"/>
  <c r="Y104" i="18"/>
  <c r="Z104" i="18"/>
  <c r="AA104" i="18"/>
  <c r="AB104" i="18"/>
  <c r="C105" i="18"/>
  <c r="E105" i="18"/>
  <c r="G105" i="18"/>
  <c r="Q105" i="18"/>
  <c r="S105" i="18"/>
  <c r="U105" i="18"/>
  <c r="X105" i="18"/>
  <c r="Z105" i="18"/>
  <c r="AB105" i="18"/>
  <c r="B106" i="18"/>
  <c r="C106" i="18"/>
  <c r="D106" i="18"/>
  <c r="E106" i="18"/>
  <c r="F106" i="18"/>
  <c r="G106" i="18"/>
  <c r="I106" i="18"/>
  <c r="J106" i="18"/>
  <c r="K106" i="18"/>
  <c r="L106" i="18"/>
  <c r="M106" i="18"/>
  <c r="N106" i="18"/>
  <c r="P106" i="18"/>
  <c r="Q106" i="18"/>
  <c r="R106" i="18"/>
  <c r="S106" i="18"/>
  <c r="T106" i="18"/>
  <c r="U106" i="18"/>
  <c r="W106" i="18"/>
  <c r="X106" i="18"/>
  <c r="Y106" i="18"/>
  <c r="Z106" i="18"/>
  <c r="AA106" i="18"/>
  <c r="AB106" i="18"/>
  <c r="C107" i="18"/>
  <c r="E107" i="18"/>
  <c r="G107" i="18"/>
  <c r="J107" i="18"/>
  <c r="L107" i="18"/>
  <c r="N107" i="18"/>
  <c r="Q107" i="18"/>
  <c r="S107" i="18"/>
  <c r="U107" i="18"/>
  <c r="X107" i="18"/>
  <c r="Z107" i="18"/>
  <c r="AB107" i="18"/>
  <c r="B108" i="18"/>
  <c r="C108" i="18"/>
  <c r="D108" i="18"/>
  <c r="E108" i="18"/>
  <c r="F108" i="18"/>
  <c r="G108" i="18"/>
  <c r="I108" i="18"/>
  <c r="J108" i="18"/>
  <c r="K108" i="18"/>
  <c r="L108" i="18"/>
  <c r="M108" i="18"/>
  <c r="N108" i="18"/>
  <c r="P108" i="18"/>
  <c r="Q108" i="18"/>
  <c r="R108" i="18"/>
  <c r="S108" i="18"/>
  <c r="T108" i="18"/>
  <c r="U108" i="18"/>
  <c r="W108" i="18"/>
  <c r="X108" i="18"/>
  <c r="Y108" i="18"/>
  <c r="Z108" i="18"/>
  <c r="AA108" i="18"/>
  <c r="AB108" i="18"/>
  <c r="B109" i="18"/>
  <c r="C109" i="18"/>
  <c r="D109" i="18"/>
  <c r="E109" i="18"/>
  <c r="F109" i="18"/>
  <c r="G109" i="18"/>
  <c r="I109" i="18"/>
  <c r="J109" i="18"/>
  <c r="K109" i="18"/>
  <c r="L109" i="18"/>
  <c r="M109" i="18"/>
  <c r="N109" i="18"/>
  <c r="P109" i="18"/>
  <c r="Q109" i="18"/>
  <c r="R109" i="18"/>
  <c r="S109" i="18"/>
  <c r="T109" i="18"/>
  <c r="U109" i="18"/>
  <c r="W109" i="18"/>
  <c r="X109" i="18"/>
  <c r="Y109" i="18"/>
  <c r="Z109" i="18"/>
  <c r="AA109" i="18"/>
  <c r="AB109" i="18"/>
  <c r="C110" i="18"/>
  <c r="E110" i="18"/>
  <c r="G110" i="18"/>
  <c r="Q110" i="18"/>
  <c r="S110" i="18"/>
  <c r="U110" i="18"/>
  <c r="X110" i="18"/>
  <c r="Z110" i="18"/>
  <c r="AB110" i="18"/>
  <c r="B111" i="18"/>
  <c r="C111" i="18"/>
  <c r="D111" i="18"/>
  <c r="E111" i="18"/>
  <c r="F111" i="18"/>
  <c r="G111" i="18"/>
  <c r="I111" i="18"/>
  <c r="J111" i="18"/>
  <c r="K111" i="18"/>
  <c r="L111" i="18"/>
  <c r="M111" i="18"/>
  <c r="N111" i="18"/>
  <c r="P111" i="18"/>
  <c r="Q111" i="18"/>
  <c r="R111" i="18"/>
  <c r="S111" i="18"/>
  <c r="T111" i="18"/>
  <c r="U111" i="18"/>
  <c r="W111" i="18"/>
  <c r="X111" i="18"/>
  <c r="Y111" i="18"/>
  <c r="Z111" i="18"/>
  <c r="AA111" i="18"/>
  <c r="AB111" i="18"/>
  <c r="C118" i="18"/>
  <c r="D118" i="18"/>
  <c r="F118" i="18"/>
  <c r="G118" i="18"/>
  <c r="H118" i="18"/>
  <c r="J118" i="18"/>
  <c r="K118" i="18"/>
  <c r="L118" i="18"/>
  <c r="N118" i="18"/>
  <c r="O118" i="18"/>
  <c r="P118" i="18"/>
  <c r="B119" i="18"/>
  <c r="C119" i="18"/>
  <c r="D119" i="18"/>
  <c r="F119" i="18"/>
  <c r="G119" i="18"/>
  <c r="H119" i="18"/>
  <c r="J119" i="18"/>
  <c r="K119" i="18"/>
  <c r="L119" i="18"/>
  <c r="N119" i="18"/>
  <c r="O119" i="18"/>
  <c r="P119" i="18"/>
  <c r="B120" i="18"/>
  <c r="C120" i="18"/>
  <c r="D120" i="18"/>
  <c r="F120" i="18"/>
  <c r="G120" i="18"/>
  <c r="H120" i="18"/>
  <c r="J120" i="18"/>
  <c r="K120" i="18"/>
  <c r="L120" i="18"/>
  <c r="N120" i="18"/>
  <c r="O120" i="18"/>
  <c r="P120" i="18"/>
  <c r="B123" i="18"/>
  <c r="C123" i="18"/>
  <c r="D123" i="18"/>
  <c r="F123" i="18"/>
  <c r="G123" i="18"/>
  <c r="H123" i="18"/>
  <c r="J123" i="18"/>
  <c r="K123" i="18"/>
  <c r="L123" i="18"/>
  <c r="N123" i="18"/>
  <c r="O123" i="18"/>
  <c r="P123" i="18"/>
  <c r="B124" i="18"/>
  <c r="C124" i="18"/>
  <c r="D124" i="18"/>
  <c r="F124" i="18"/>
  <c r="G124" i="18"/>
  <c r="H124" i="18"/>
  <c r="N124" i="18"/>
  <c r="O124" i="18"/>
  <c r="P124" i="18"/>
  <c r="B125" i="18"/>
  <c r="C125" i="18"/>
  <c r="D125" i="18"/>
  <c r="N125" i="18"/>
  <c r="O125" i="18"/>
  <c r="P125" i="18"/>
  <c r="B126" i="18"/>
  <c r="C126" i="18"/>
  <c r="D126" i="18"/>
  <c r="F126" i="18"/>
  <c r="G126" i="18"/>
  <c r="H126" i="18"/>
  <c r="J126" i="18"/>
  <c r="K126" i="18"/>
  <c r="L126" i="18"/>
  <c r="N126" i="18"/>
  <c r="O126" i="18"/>
  <c r="P126" i="18"/>
  <c r="B127" i="18"/>
  <c r="C127" i="18"/>
  <c r="D127" i="18"/>
  <c r="F127" i="18"/>
  <c r="G127" i="18"/>
  <c r="H127" i="18"/>
  <c r="J127" i="18"/>
  <c r="K127" i="18"/>
  <c r="L127" i="18"/>
  <c r="N127" i="18"/>
  <c r="O127" i="18"/>
  <c r="P127" i="18"/>
  <c r="B130" i="18"/>
  <c r="C130" i="18"/>
  <c r="D130" i="18"/>
  <c r="F130" i="18"/>
  <c r="G130" i="18"/>
  <c r="H130" i="18"/>
  <c r="J130" i="18"/>
  <c r="K130" i="18"/>
  <c r="L130" i="18"/>
  <c r="N130" i="18"/>
  <c r="O130" i="18"/>
  <c r="P130" i="18"/>
  <c r="B131" i="18"/>
  <c r="C131" i="18"/>
  <c r="D131" i="18"/>
  <c r="F131" i="18"/>
  <c r="G131" i="18"/>
  <c r="H131" i="18"/>
  <c r="J131" i="18"/>
  <c r="K131" i="18"/>
  <c r="L131" i="18"/>
  <c r="N131" i="18"/>
  <c r="O131" i="18"/>
  <c r="P131" i="18"/>
  <c r="B132" i="18"/>
  <c r="C132" i="18"/>
  <c r="D132" i="18"/>
  <c r="F132" i="18"/>
  <c r="G132" i="18"/>
  <c r="H132" i="18"/>
  <c r="J132" i="18"/>
  <c r="K132" i="18"/>
  <c r="L132" i="18"/>
  <c r="N132" i="18"/>
  <c r="O132" i="18"/>
  <c r="P132" i="18"/>
  <c r="B133" i="18"/>
  <c r="C133" i="18"/>
  <c r="D133" i="18"/>
  <c r="F133" i="18"/>
  <c r="G133" i="18"/>
  <c r="H133" i="18"/>
  <c r="J133" i="18"/>
  <c r="K133" i="18"/>
  <c r="L133" i="18"/>
  <c r="N133" i="18"/>
  <c r="O133" i="18"/>
  <c r="P133" i="18"/>
  <c r="B136" i="18"/>
  <c r="C136" i="18"/>
  <c r="D136" i="18"/>
  <c r="F136" i="18"/>
  <c r="G136" i="18"/>
  <c r="H136" i="18"/>
  <c r="J136" i="18"/>
  <c r="K136" i="18"/>
  <c r="L136" i="18"/>
  <c r="N136" i="18"/>
  <c r="O136" i="18"/>
  <c r="P136" i="18"/>
  <c r="B137" i="18"/>
  <c r="C137" i="18"/>
  <c r="D137" i="18"/>
  <c r="F137" i="18"/>
  <c r="G137" i="18"/>
  <c r="H137" i="18"/>
  <c r="J137" i="18"/>
  <c r="K137" i="18"/>
  <c r="L137" i="18"/>
  <c r="N137" i="18"/>
  <c r="O137" i="18"/>
  <c r="P137" i="18"/>
  <c r="B138" i="18"/>
  <c r="C138" i="18"/>
  <c r="D138" i="18"/>
  <c r="F138" i="18"/>
  <c r="G138" i="18"/>
  <c r="H138" i="18"/>
  <c r="J138" i="18"/>
  <c r="K138" i="18"/>
  <c r="L138" i="18"/>
  <c r="N138" i="18"/>
  <c r="O138" i="18"/>
  <c r="P138" i="18"/>
  <c r="B139" i="18"/>
  <c r="C139" i="18"/>
  <c r="D139" i="18"/>
  <c r="F139" i="18"/>
  <c r="G139" i="18"/>
  <c r="H139" i="18"/>
  <c r="J139" i="18"/>
  <c r="K139" i="18"/>
  <c r="L139" i="18"/>
  <c r="N139" i="18"/>
  <c r="O139" i="18"/>
  <c r="P139" i="18"/>
  <c r="B144" i="18"/>
  <c r="C144" i="18"/>
  <c r="F144" i="18"/>
  <c r="G144" i="18"/>
  <c r="J144" i="18"/>
  <c r="K144" i="18"/>
  <c r="N144" i="18"/>
  <c r="O144" i="18"/>
  <c r="B145" i="18"/>
  <c r="C145" i="18"/>
  <c r="F145" i="18"/>
  <c r="G145" i="18"/>
  <c r="J145" i="18"/>
  <c r="K145" i="18"/>
  <c r="N145" i="18"/>
  <c r="O145" i="18"/>
  <c r="B146" i="18"/>
  <c r="C146" i="18"/>
  <c r="F146" i="18"/>
  <c r="G146" i="18"/>
  <c r="J146" i="18"/>
  <c r="K146" i="18"/>
  <c r="N146" i="18"/>
  <c r="O146" i="18"/>
  <c r="B7" i="16"/>
  <c r="C2" i="16"/>
  <c r="C3" i="16"/>
  <c r="C4" i="16"/>
  <c r="C5" i="16"/>
  <c r="C6" i="16"/>
  <c r="B14" i="16"/>
  <c r="C9" i="16"/>
  <c r="C10" i="16"/>
  <c r="C11" i="16"/>
  <c r="C12" i="16"/>
  <c r="C13" i="16"/>
  <c r="C5" i="14"/>
  <c r="D5" i="14"/>
  <c r="F5" i="14"/>
  <c r="G5" i="14"/>
  <c r="I5" i="14"/>
  <c r="J5" i="14"/>
  <c r="L5" i="14"/>
  <c r="M5" i="14"/>
  <c r="C6" i="14"/>
  <c r="D6" i="14"/>
  <c r="F6" i="14"/>
  <c r="G6" i="14"/>
  <c r="I6" i="14"/>
  <c r="J6" i="14"/>
  <c r="L6" i="14"/>
  <c r="M6" i="14"/>
  <c r="D7" i="6"/>
  <c r="D12" i="6"/>
  <c r="P7" i="6"/>
  <c r="P12" i="6"/>
  <c r="D18" i="6"/>
  <c r="D20" i="6"/>
  <c r="P18" i="6"/>
  <c r="P20" i="6"/>
  <c r="B7" i="6"/>
  <c r="B12" i="6"/>
  <c r="B18" i="6"/>
  <c r="B20" i="6"/>
  <c r="B5" i="11"/>
  <c r="C7" i="6"/>
  <c r="C12" i="6"/>
  <c r="C18" i="6"/>
  <c r="C20" i="6"/>
  <c r="C5" i="11"/>
  <c r="D5" i="11"/>
  <c r="F7" i="6"/>
  <c r="F12" i="6"/>
  <c r="F18" i="6"/>
  <c r="F20" i="6"/>
  <c r="F5" i="11"/>
  <c r="G7" i="6"/>
  <c r="G12" i="6"/>
  <c r="G18" i="6"/>
  <c r="G20" i="6"/>
  <c r="G5" i="11"/>
  <c r="H7" i="6"/>
  <c r="H12" i="6"/>
  <c r="H18" i="6"/>
  <c r="H20" i="6"/>
  <c r="H5" i="11"/>
  <c r="J7" i="6"/>
  <c r="J12" i="6"/>
  <c r="J18" i="6"/>
  <c r="J20" i="6"/>
  <c r="J5" i="11"/>
  <c r="K7" i="6"/>
  <c r="K12" i="6"/>
  <c r="K18" i="6"/>
  <c r="K20" i="6"/>
  <c r="K5" i="11"/>
  <c r="L7" i="6"/>
  <c r="L12" i="6"/>
  <c r="L18" i="6"/>
  <c r="L20" i="6"/>
  <c r="L5" i="11"/>
  <c r="N7" i="6"/>
  <c r="N12" i="6"/>
  <c r="N18" i="6"/>
  <c r="N20" i="6"/>
  <c r="N5" i="11"/>
  <c r="O7" i="6"/>
  <c r="O12" i="6"/>
  <c r="O18" i="6"/>
  <c r="O20" i="6"/>
  <c r="O5" i="11"/>
  <c r="P5" i="11"/>
  <c r="B8" i="11"/>
  <c r="C8" i="11"/>
  <c r="D8" i="11"/>
  <c r="F8" i="11"/>
  <c r="G8" i="11"/>
  <c r="H8" i="11"/>
  <c r="J8" i="11"/>
  <c r="K8" i="11"/>
  <c r="L8" i="11"/>
  <c r="N8" i="11"/>
  <c r="O8" i="11"/>
  <c r="P8" i="11"/>
  <c r="B9" i="11"/>
  <c r="C9" i="11"/>
  <c r="D9" i="11"/>
  <c r="F9" i="11"/>
  <c r="G9" i="11"/>
  <c r="H9" i="11"/>
  <c r="J9" i="11"/>
  <c r="K9" i="11"/>
  <c r="L9" i="11"/>
  <c r="N9" i="11"/>
  <c r="O9" i="11"/>
  <c r="P9" i="11"/>
  <c r="B10" i="11"/>
  <c r="C10" i="11"/>
  <c r="D10" i="11"/>
  <c r="F10" i="11"/>
  <c r="G10" i="11"/>
  <c r="H10" i="11"/>
  <c r="J10" i="11"/>
  <c r="K10" i="11"/>
  <c r="L10" i="11"/>
  <c r="N10" i="11"/>
  <c r="O10" i="11"/>
  <c r="P10" i="11"/>
  <c r="B11" i="11"/>
  <c r="C11" i="11"/>
  <c r="D11" i="11"/>
  <c r="F11" i="11"/>
  <c r="G11" i="11"/>
  <c r="H11" i="11"/>
  <c r="J11" i="11"/>
  <c r="K11" i="11"/>
  <c r="L11" i="11"/>
  <c r="N11" i="11"/>
  <c r="O11" i="11"/>
  <c r="P11" i="11"/>
  <c r="B12" i="11"/>
  <c r="C12" i="11"/>
  <c r="D12" i="11"/>
  <c r="F12" i="11"/>
  <c r="G12" i="11"/>
  <c r="H12" i="11"/>
  <c r="J12" i="11"/>
  <c r="K12" i="11"/>
  <c r="L12" i="11"/>
  <c r="N12" i="11"/>
  <c r="O12" i="11"/>
  <c r="P12" i="11"/>
  <c r="B13" i="11"/>
  <c r="C13" i="11"/>
  <c r="D13" i="11"/>
  <c r="F13" i="11"/>
  <c r="G13" i="11"/>
  <c r="H13" i="11"/>
  <c r="J13" i="11"/>
  <c r="K13" i="11"/>
  <c r="L13" i="11"/>
  <c r="N13" i="11"/>
  <c r="O13" i="11"/>
  <c r="P13" i="11"/>
  <c r="B14" i="11"/>
  <c r="C14" i="11"/>
  <c r="D14" i="11"/>
  <c r="F14" i="11"/>
  <c r="G14" i="11"/>
  <c r="H14" i="11"/>
  <c r="J14" i="11"/>
  <c r="K14" i="11"/>
  <c r="L14" i="11"/>
  <c r="N14" i="11"/>
  <c r="O14" i="11"/>
  <c r="P14" i="11"/>
  <c r="B15" i="11"/>
  <c r="C15" i="11"/>
  <c r="D15" i="11"/>
  <c r="F15" i="11"/>
  <c r="G15" i="11"/>
  <c r="H15" i="11"/>
  <c r="J15" i="11"/>
  <c r="K15" i="11"/>
  <c r="L15" i="11"/>
  <c r="N15" i="11"/>
  <c r="O15" i="11"/>
  <c r="P15" i="11"/>
  <c r="B16" i="11"/>
  <c r="C16" i="11"/>
  <c r="D16" i="11"/>
  <c r="F16" i="11"/>
  <c r="G16" i="11"/>
  <c r="H16" i="11"/>
  <c r="J16" i="11"/>
  <c r="K16" i="11"/>
  <c r="L16" i="11"/>
  <c r="N16" i="11"/>
  <c r="O16" i="11"/>
  <c r="P16" i="11"/>
  <c r="B17" i="11"/>
  <c r="C17" i="11"/>
  <c r="D17" i="11"/>
  <c r="F17" i="11"/>
  <c r="G17" i="11"/>
  <c r="H17" i="11"/>
  <c r="J17" i="11"/>
  <c r="K17" i="11"/>
  <c r="L17" i="11"/>
  <c r="N17" i="11"/>
  <c r="O17" i="11"/>
  <c r="P17" i="11"/>
  <c r="B8" i="4"/>
  <c r="B22" i="4"/>
  <c r="B4" i="10"/>
  <c r="C8" i="4"/>
  <c r="C22" i="4"/>
  <c r="C4" i="10"/>
  <c r="D8" i="4"/>
  <c r="D22" i="4"/>
  <c r="D4" i="10"/>
  <c r="F22" i="4"/>
  <c r="F4" i="10"/>
  <c r="G22" i="4"/>
  <c r="G4" i="10"/>
  <c r="H22" i="4"/>
  <c r="H4" i="10"/>
  <c r="J8" i="4"/>
  <c r="J22" i="4"/>
  <c r="J4" i="10"/>
  <c r="K8" i="4"/>
  <c r="K22" i="4"/>
  <c r="K4" i="10"/>
  <c r="L8" i="4"/>
  <c r="L22" i="4"/>
  <c r="L4" i="10"/>
  <c r="N8" i="4"/>
  <c r="N22" i="4"/>
  <c r="N4" i="10"/>
  <c r="O8" i="4"/>
  <c r="O22" i="4"/>
  <c r="O4" i="10"/>
  <c r="P8" i="4"/>
  <c r="P22" i="4"/>
  <c r="P4" i="10"/>
  <c r="B5" i="10"/>
  <c r="C5" i="10"/>
  <c r="D5" i="10"/>
  <c r="F5" i="10"/>
  <c r="G5" i="10"/>
  <c r="H5" i="10"/>
  <c r="J5" i="10"/>
  <c r="K5" i="10"/>
  <c r="L5" i="10"/>
  <c r="N5" i="10"/>
  <c r="O5" i="10"/>
  <c r="P5" i="10"/>
  <c r="B8" i="10"/>
  <c r="C8" i="10"/>
  <c r="D8" i="10"/>
  <c r="N8" i="10"/>
  <c r="O8" i="10"/>
  <c r="P8" i="10"/>
  <c r="B9" i="10"/>
  <c r="C9" i="10"/>
  <c r="D9" i="10"/>
  <c r="H9" i="10"/>
  <c r="J9" i="10"/>
  <c r="K9" i="10"/>
  <c r="L9" i="10"/>
  <c r="N9" i="10"/>
  <c r="O9" i="10"/>
  <c r="P9" i="10"/>
  <c r="B10" i="10"/>
  <c r="C10" i="10"/>
  <c r="D10" i="10"/>
  <c r="F10" i="10"/>
  <c r="G10" i="10"/>
  <c r="H10" i="10"/>
  <c r="J10" i="10"/>
  <c r="K10" i="10"/>
  <c r="L10" i="10"/>
  <c r="N10" i="10"/>
  <c r="O10" i="10"/>
  <c r="P10" i="10"/>
  <c r="B11" i="10"/>
  <c r="C11" i="10"/>
  <c r="D11" i="10"/>
  <c r="F11" i="10"/>
  <c r="G11" i="10"/>
  <c r="H11" i="10"/>
  <c r="J11" i="10"/>
  <c r="K11" i="10"/>
  <c r="L11" i="10"/>
  <c r="N11" i="10"/>
  <c r="O11" i="10"/>
  <c r="P11" i="10"/>
  <c r="B12" i="4"/>
  <c r="B16" i="4"/>
  <c r="B14" i="10"/>
  <c r="C12" i="4"/>
  <c r="C16" i="4"/>
  <c r="C14" i="10"/>
  <c r="D12" i="4"/>
  <c r="D16" i="4"/>
  <c r="D14" i="10"/>
  <c r="F12" i="4"/>
  <c r="F16" i="4"/>
  <c r="F14" i="10"/>
  <c r="G12" i="4"/>
  <c r="G16" i="4"/>
  <c r="G14" i="10"/>
  <c r="H12" i="4"/>
  <c r="H16" i="4"/>
  <c r="H14" i="10"/>
  <c r="J12" i="4"/>
  <c r="J16" i="4"/>
  <c r="J14" i="10"/>
  <c r="K12" i="4"/>
  <c r="K16" i="4"/>
  <c r="K14" i="10"/>
  <c r="L12" i="4"/>
  <c r="L16" i="4"/>
  <c r="L14" i="10"/>
  <c r="N12" i="4"/>
  <c r="N16" i="4"/>
  <c r="N14" i="10"/>
  <c r="O12" i="4"/>
  <c r="O16" i="4"/>
  <c r="O14" i="10"/>
  <c r="P12" i="4"/>
  <c r="P16" i="4"/>
  <c r="P14" i="10"/>
  <c r="B15" i="10"/>
  <c r="C15" i="10"/>
  <c r="D15" i="10"/>
  <c r="F15" i="10"/>
  <c r="G15" i="10"/>
  <c r="H15" i="10"/>
  <c r="J15" i="10"/>
  <c r="K15" i="10"/>
  <c r="L15" i="10"/>
  <c r="N15" i="10"/>
  <c r="O15" i="10"/>
  <c r="P15" i="10"/>
  <c r="B16" i="10"/>
  <c r="C16" i="10"/>
  <c r="D16" i="10"/>
  <c r="F16" i="10"/>
  <c r="G16" i="10"/>
  <c r="H16" i="10"/>
  <c r="J16" i="10"/>
  <c r="K16" i="10"/>
  <c r="L16" i="10"/>
  <c r="N16" i="10"/>
  <c r="O16" i="10"/>
  <c r="P16" i="10"/>
  <c r="B17" i="10"/>
  <c r="C17" i="10"/>
  <c r="D17" i="10"/>
  <c r="F17" i="10"/>
  <c r="G17" i="10"/>
  <c r="H17" i="10"/>
  <c r="J17" i="10"/>
  <c r="K17" i="10"/>
  <c r="L17" i="10"/>
  <c r="N17" i="10"/>
  <c r="O17" i="10"/>
  <c r="P17" i="10"/>
  <c r="B18" i="10"/>
  <c r="C18" i="10"/>
  <c r="D18" i="10"/>
  <c r="F18" i="10"/>
  <c r="G18" i="10"/>
  <c r="H18" i="10"/>
  <c r="J18" i="10"/>
  <c r="K18" i="10"/>
  <c r="L18" i="10"/>
  <c r="N18" i="10"/>
  <c r="O18" i="10"/>
  <c r="P18" i="10"/>
  <c r="B21" i="10"/>
  <c r="C21" i="10"/>
  <c r="D21" i="10"/>
  <c r="F21" i="10"/>
  <c r="G21" i="10"/>
  <c r="H21" i="10"/>
  <c r="J21" i="10"/>
  <c r="K21" i="10"/>
  <c r="L21" i="10"/>
  <c r="N21" i="10"/>
  <c r="O21" i="10"/>
  <c r="P21" i="10"/>
  <c r="B22" i="10"/>
  <c r="C22" i="10"/>
  <c r="D22" i="10"/>
  <c r="F22" i="10"/>
  <c r="G22" i="10"/>
  <c r="H22" i="10"/>
  <c r="J22" i="10"/>
  <c r="K22" i="10"/>
  <c r="L22" i="10"/>
  <c r="N22" i="10"/>
  <c r="O22" i="10"/>
  <c r="P22" i="10"/>
  <c r="C25" i="10"/>
  <c r="D25" i="10"/>
  <c r="G25" i="10"/>
  <c r="H25" i="10"/>
  <c r="K25" i="10"/>
  <c r="L25" i="10"/>
  <c r="O25" i="10"/>
  <c r="P25" i="10"/>
  <c r="C26" i="10"/>
  <c r="D26" i="10"/>
  <c r="G26" i="10"/>
  <c r="H26" i="10"/>
  <c r="K26" i="10"/>
  <c r="L26" i="10"/>
  <c r="O26" i="10"/>
  <c r="P26" i="10"/>
  <c r="C27" i="10"/>
  <c r="D27" i="10"/>
  <c r="G27" i="10"/>
  <c r="H27" i="10"/>
  <c r="K27" i="10"/>
  <c r="L27" i="10"/>
  <c r="O27" i="10"/>
  <c r="P27" i="10"/>
  <c r="A30" i="10"/>
  <c r="B31" i="10"/>
  <c r="B32" i="10"/>
  <c r="B33" i="10"/>
  <c r="B30" i="10"/>
  <c r="C31" i="10"/>
  <c r="C32" i="10"/>
  <c r="C33" i="10"/>
  <c r="C30" i="10"/>
  <c r="D31" i="10"/>
  <c r="D32" i="10"/>
  <c r="D33" i="10"/>
  <c r="D30" i="10"/>
  <c r="F31" i="10"/>
  <c r="F32" i="10"/>
  <c r="F33" i="10"/>
  <c r="F30" i="10"/>
  <c r="G31" i="10"/>
  <c r="G32" i="10"/>
  <c r="G33" i="10"/>
  <c r="G30" i="10"/>
  <c r="H31" i="10"/>
  <c r="H32" i="10"/>
  <c r="H33" i="10"/>
  <c r="H30" i="10"/>
  <c r="J31" i="10"/>
  <c r="J32" i="10"/>
  <c r="J33" i="10"/>
  <c r="J30" i="10"/>
  <c r="K31" i="10"/>
  <c r="K32" i="10"/>
  <c r="K33" i="10"/>
  <c r="K30" i="10"/>
  <c r="L31" i="10"/>
  <c r="L32" i="10"/>
  <c r="L33" i="10"/>
  <c r="L30" i="10"/>
  <c r="N31" i="10"/>
  <c r="N32" i="10"/>
  <c r="N33" i="10"/>
  <c r="N30" i="10"/>
  <c r="O31" i="10"/>
  <c r="O32" i="10"/>
  <c r="O33" i="10"/>
  <c r="O30" i="10"/>
  <c r="P31" i="10"/>
  <c r="P32" i="10"/>
  <c r="P33" i="10"/>
  <c r="P30" i="10"/>
  <c r="B9" i="8"/>
  <c r="C9" i="8"/>
  <c r="D9" i="8"/>
  <c r="F9" i="8"/>
  <c r="G9" i="8"/>
  <c r="H9" i="8"/>
  <c r="J9" i="8"/>
  <c r="K9" i="8"/>
  <c r="L9" i="8"/>
  <c r="N9" i="8"/>
  <c r="O9" i="8"/>
  <c r="P9" i="8"/>
  <c r="B16" i="8"/>
  <c r="C16" i="8"/>
  <c r="D16" i="8"/>
  <c r="F16" i="8"/>
  <c r="G16" i="8"/>
  <c r="H16" i="8"/>
  <c r="J16" i="8"/>
  <c r="K16" i="8"/>
  <c r="L16" i="8"/>
  <c r="N16" i="8"/>
  <c r="O16" i="8"/>
  <c r="P16" i="8"/>
  <c r="B24" i="8"/>
  <c r="C24" i="8"/>
  <c r="D24" i="8"/>
  <c r="F24" i="8"/>
  <c r="G24" i="8"/>
  <c r="H24" i="8"/>
  <c r="J24" i="8"/>
  <c r="K24" i="8"/>
  <c r="L24" i="8"/>
  <c r="N24" i="8"/>
  <c r="O24" i="8"/>
  <c r="P24" i="8"/>
  <c r="B27" i="8"/>
  <c r="C27" i="8"/>
  <c r="D27" i="8"/>
  <c r="F27" i="8"/>
  <c r="G27" i="8"/>
  <c r="H27" i="8"/>
  <c r="J27" i="8"/>
  <c r="K27" i="8"/>
  <c r="L27" i="8"/>
  <c r="N27" i="8"/>
  <c r="O27" i="8"/>
  <c r="P27" i="8"/>
  <c r="B4" i="7"/>
  <c r="C4" i="7"/>
  <c r="D4" i="7"/>
  <c r="F4" i="7"/>
  <c r="G4" i="7"/>
  <c r="H4" i="7"/>
  <c r="J4" i="7"/>
  <c r="K4" i="7"/>
  <c r="L4" i="7"/>
  <c r="N4" i="7"/>
  <c r="O4" i="7"/>
  <c r="P4" i="7"/>
  <c r="B6" i="7"/>
  <c r="C6" i="7"/>
  <c r="D6" i="7"/>
  <c r="F6" i="7"/>
  <c r="G6" i="7"/>
  <c r="H6" i="7"/>
  <c r="J6" i="7"/>
  <c r="K6" i="7"/>
  <c r="L6" i="7"/>
  <c r="N6" i="7"/>
  <c r="O6" i="7"/>
  <c r="P6" i="7"/>
  <c r="B7" i="7"/>
  <c r="C7" i="7"/>
  <c r="D7" i="7"/>
  <c r="F7" i="7"/>
  <c r="G7" i="7"/>
  <c r="H7" i="7"/>
  <c r="J7" i="7"/>
  <c r="K7" i="7"/>
  <c r="L7" i="7"/>
  <c r="N7" i="7"/>
  <c r="O7" i="7"/>
  <c r="P7" i="7"/>
  <c r="B8" i="7"/>
  <c r="C8" i="7"/>
  <c r="D8" i="7"/>
  <c r="F8" i="7"/>
  <c r="G8" i="7"/>
  <c r="H8" i="7"/>
  <c r="J8" i="7"/>
  <c r="K8" i="7"/>
  <c r="L8" i="7"/>
  <c r="N8" i="7"/>
  <c r="O8" i="7"/>
  <c r="P8" i="7"/>
  <c r="F9" i="7"/>
  <c r="G9" i="7"/>
  <c r="H9" i="7"/>
  <c r="B10" i="7"/>
  <c r="C10" i="7"/>
  <c r="D10" i="7"/>
  <c r="J10" i="7"/>
  <c r="K10" i="7"/>
  <c r="L10" i="7"/>
  <c r="N10" i="7"/>
  <c r="O10" i="7"/>
  <c r="P10" i="7"/>
  <c r="J11" i="7"/>
  <c r="K11" i="7"/>
  <c r="L11" i="7"/>
  <c r="B12" i="7"/>
  <c r="C12" i="7"/>
  <c r="D12" i="7"/>
  <c r="F12" i="7"/>
  <c r="G12" i="7"/>
  <c r="H12" i="7"/>
  <c r="J12" i="7"/>
  <c r="K12" i="7"/>
  <c r="L12" i="7"/>
  <c r="N12" i="7"/>
  <c r="O12" i="7"/>
  <c r="P12" i="7"/>
  <c r="B13" i="7"/>
  <c r="C13" i="7"/>
  <c r="D13" i="7"/>
  <c r="F13" i="7"/>
  <c r="G13" i="7"/>
  <c r="H13" i="7"/>
  <c r="J13" i="7"/>
  <c r="K13" i="7"/>
  <c r="L13" i="7"/>
  <c r="N13" i="7"/>
  <c r="O13" i="7"/>
  <c r="P13" i="7"/>
  <c r="B14" i="7"/>
  <c r="C14" i="7"/>
  <c r="D14" i="7"/>
  <c r="F14" i="7"/>
  <c r="G14" i="7"/>
  <c r="H14" i="7"/>
  <c r="J14" i="7"/>
  <c r="K14" i="7"/>
  <c r="L14" i="7"/>
  <c r="N14" i="7"/>
  <c r="O14" i="7"/>
  <c r="P14" i="7"/>
  <c r="B15" i="7"/>
  <c r="C15" i="7"/>
  <c r="D15" i="7"/>
  <c r="J15" i="7"/>
  <c r="K15" i="7"/>
  <c r="L15" i="7"/>
  <c r="N15" i="7"/>
  <c r="O15" i="7"/>
  <c r="P15" i="7"/>
  <c r="B16" i="7"/>
  <c r="C16" i="7"/>
  <c r="D16" i="7"/>
  <c r="F16" i="7"/>
  <c r="G16" i="7"/>
  <c r="H16" i="7"/>
  <c r="J16" i="7"/>
  <c r="K16" i="7"/>
  <c r="L16" i="7"/>
  <c r="N16" i="7"/>
  <c r="O16" i="7"/>
  <c r="P16" i="7"/>
  <c r="D17" i="7"/>
  <c r="B18" i="7"/>
  <c r="C18" i="7"/>
  <c r="D18" i="7"/>
  <c r="F18" i="7"/>
  <c r="G18" i="7"/>
  <c r="H18" i="7"/>
  <c r="J18" i="7"/>
  <c r="K18" i="7"/>
  <c r="L18" i="7"/>
  <c r="N18" i="7"/>
  <c r="O18" i="7"/>
  <c r="P18" i="7"/>
  <c r="B19" i="7"/>
  <c r="C19" i="7"/>
  <c r="D19" i="7"/>
  <c r="J19" i="7"/>
  <c r="K19" i="7"/>
  <c r="L19" i="7"/>
  <c r="N19" i="7"/>
  <c r="O19" i="7"/>
  <c r="P19" i="7"/>
  <c r="B20" i="7"/>
  <c r="C20" i="7"/>
  <c r="D20" i="7"/>
  <c r="F20" i="7"/>
  <c r="G20" i="7"/>
  <c r="H20" i="7"/>
  <c r="J20" i="7"/>
  <c r="K20" i="7"/>
  <c r="L20" i="7"/>
  <c r="N20" i="7"/>
  <c r="O20" i="7"/>
  <c r="P20" i="7"/>
  <c r="B4" i="5"/>
  <c r="C4" i="5"/>
  <c r="D4" i="5"/>
  <c r="F4" i="5"/>
  <c r="G4" i="5"/>
  <c r="H4" i="5"/>
  <c r="J4" i="5"/>
  <c r="K4" i="5"/>
  <c r="L4" i="5"/>
  <c r="N4" i="5"/>
  <c r="O4" i="5"/>
  <c r="P4" i="5"/>
  <c r="B5" i="5"/>
  <c r="C5" i="5"/>
  <c r="D5" i="5"/>
  <c r="H5" i="5"/>
  <c r="J5" i="5"/>
  <c r="K5" i="5"/>
  <c r="L5" i="5"/>
  <c r="N5" i="5"/>
  <c r="O5" i="5"/>
  <c r="P5" i="5"/>
  <c r="B6" i="5"/>
  <c r="C6" i="5"/>
  <c r="D6" i="5"/>
  <c r="N6" i="5"/>
  <c r="O6" i="5"/>
  <c r="P6" i="5"/>
  <c r="B7" i="5"/>
  <c r="C7" i="5"/>
  <c r="D7" i="5"/>
  <c r="F7" i="5"/>
  <c r="G7" i="5"/>
  <c r="H7" i="5"/>
  <c r="J7" i="5"/>
  <c r="K7" i="5"/>
  <c r="L7" i="5"/>
  <c r="N7" i="5"/>
  <c r="O7" i="5"/>
  <c r="P7" i="5"/>
  <c r="B8" i="5"/>
  <c r="C8" i="5"/>
  <c r="D8" i="5"/>
  <c r="F8" i="5"/>
  <c r="G8" i="5"/>
  <c r="H8" i="5"/>
  <c r="J8" i="5"/>
  <c r="K8" i="5"/>
  <c r="L8" i="5"/>
  <c r="N8" i="5"/>
  <c r="O8" i="5"/>
  <c r="P8" i="5"/>
  <c r="B10" i="5"/>
  <c r="C10" i="5"/>
  <c r="D10" i="5"/>
  <c r="F10" i="5"/>
  <c r="G10" i="5"/>
  <c r="H10" i="5"/>
  <c r="J10" i="5"/>
  <c r="K10" i="5"/>
  <c r="L10" i="5"/>
  <c r="N10" i="5"/>
  <c r="O10" i="5"/>
  <c r="P10" i="5"/>
  <c r="B11" i="5"/>
  <c r="C11" i="5"/>
  <c r="D11" i="5"/>
  <c r="F11" i="5"/>
  <c r="G11" i="5"/>
  <c r="H11" i="5"/>
  <c r="J11" i="5"/>
  <c r="K11" i="5"/>
  <c r="L11" i="5"/>
  <c r="N11" i="5"/>
  <c r="O11" i="5"/>
  <c r="P11" i="5"/>
  <c r="B12" i="5"/>
  <c r="C12" i="5"/>
  <c r="D12" i="5"/>
  <c r="F12" i="5"/>
  <c r="G12" i="5"/>
  <c r="H12" i="5"/>
  <c r="J12" i="5"/>
  <c r="K12" i="5"/>
  <c r="L12" i="5"/>
  <c r="N12" i="5"/>
  <c r="O12" i="5"/>
  <c r="P12" i="5"/>
  <c r="B13" i="5"/>
  <c r="C13" i="5"/>
  <c r="D13" i="5"/>
  <c r="J13" i="5"/>
  <c r="K13" i="5"/>
  <c r="L13" i="5"/>
  <c r="O13" i="5"/>
  <c r="P13" i="5"/>
  <c r="B14" i="5"/>
  <c r="C14" i="5"/>
  <c r="D14" i="5"/>
  <c r="F14" i="5"/>
  <c r="G14" i="5"/>
  <c r="H14" i="5"/>
  <c r="J14" i="5"/>
  <c r="K14" i="5"/>
  <c r="L14" i="5"/>
  <c r="N14" i="5"/>
  <c r="O14" i="5"/>
  <c r="P14" i="5"/>
  <c r="B15" i="5"/>
  <c r="C15" i="5"/>
  <c r="D15" i="5"/>
  <c r="F15" i="5"/>
  <c r="G15" i="5"/>
  <c r="H15" i="5"/>
  <c r="J15" i="5"/>
  <c r="K15" i="5"/>
  <c r="L15" i="5"/>
  <c r="N15" i="5"/>
  <c r="O15" i="5"/>
  <c r="P15" i="5"/>
  <c r="B16" i="5"/>
  <c r="C16" i="5"/>
  <c r="D16" i="5"/>
  <c r="F16" i="5"/>
  <c r="G16" i="5"/>
  <c r="H16" i="5"/>
  <c r="J16" i="5"/>
  <c r="K16" i="5"/>
  <c r="L16" i="5"/>
  <c r="N16" i="5"/>
  <c r="O16" i="5"/>
  <c r="P16" i="5"/>
  <c r="B26" i="4"/>
  <c r="B32" i="4"/>
  <c r="B34" i="4"/>
  <c r="B19" i="5"/>
  <c r="C26" i="4"/>
  <c r="C32" i="4"/>
  <c r="C34" i="4"/>
  <c r="C19" i="5"/>
  <c r="D26" i="4"/>
  <c r="D32" i="4"/>
  <c r="D34" i="4"/>
  <c r="D19" i="5"/>
  <c r="F26" i="4"/>
  <c r="F32" i="4"/>
  <c r="F34" i="4"/>
  <c r="F19" i="5"/>
  <c r="G26" i="4"/>
  <c r="G32" i="4"/>
  <c r="G34" i="4"/>
  <c r="G19" i="5"/>
  <c r="H26" i="4"/>
  <c r="H32" i="4"/>
  <c r="H34" i="4"/>
  <c r="H19" i="5"/>
  <c r="J26" i="4"/>
  <c r="J32" i="4"/>
  <c r="J34" i="4"/>
  <c r="J19" i="5"/>
  <c r="K26" i="4"/>
  <c r="K32" i="4"/>
  <c r="K34" i="4"/>
  <c r="K19" i="5"/>
  <c r="L26" i="4"/>
  <c r="L32" i="4"/>
  <c r="L34" i="4"/>
  <c r="L19" i="5"/>
  <c r="N26" i="4"/>
  <c r="N32" i="4"/>
  <c r="N34" i="4"/>
  <c r="N19" i="5"/>
  <c r="O26" i="4"/>
  <c r="O32" i="4"/>
  <c r="O34" i="4"/>
  <c r="O19" i="5"/>
  <c r="P26" i="4"/>
  <c r="P32" i="4"/>
  <c r="P34" i="4"/>
  <c r="P19" i="5"/>
  <c r="B20" i="5"/>
  <c r="C20" i="5"/>
  <c r="F20" i="5"/>
  <c r="G20" i="5"/>
  <c r="H20" i="5"/>
  <c r="J20" i="5"/>
  <c r="K20" i="5"/>
  <c r="L20" i="5"/>
  <c r="N20" i="5"/>
  <c r="O20" i="5"/>
  <c r="P20" i="5"/>
  <c r="B21" i="5"/>
  <c r="C21" i="5"/>
  <c r="D21" i="5"/>
  <c r="F21" i="5"/>
  <c r="G21" i="5"/>
  <c r="H21" i="5"/>
  <c r="J21" i="5"/>
  <c r="K21" i="5"/>
  <c r="L21" i="5"/>
  <c r="N21" i="5"/>
  <c r="O21" i="5"/>
  <c r="P21" i="5"/>
  <c r="B22" i="5"/>
  <c r="C22" i="5"/>
  <c r="D22" i="5"/>
  <c r="F22" i="5"/>
  <c r="G22" i="5"/>
  <c r="H22" i="5"/>
  <c r="J22" i="5"/>
  <c r="K22" i="5"/>
  <c r="L22" i="5"/>
  <c r="N22" i="5"/>
  <c r="O22" i="5"/>
  <c r="P22" i="5"/>
  <c r="B24" i="5"/>
  <c r="C24" i="5"/>
  <c r="D24" i="5"/>
  <c r="F24" i="5"/>
  <c r="G24" i="5"/>
  <c r="H24" i="5"/>
  <c r="J24" i="5"/>
  <c r="K24" i="5"/>
  <c r="L24" i="5"/>
  <c r="N24" i="5"/>
  <c r="O24" i="5"/>
  <c r="P24" i="5"/>
  <c r="B25" i="5"/>
  <c r="C25" i="5"/>
  <c r="D25" i="5"/>
  <c r="F25" i="5"/>
  <c r="G25" i="5"/>
  <c r="H25" i="5"/>
  <c r="J25" i="5"/>
  <c r="K25" i="5"/>
  <c r="L25" i="5"/>
  <c r="N25" i="5"/>
  <c r="O25" i="5"/>
  <c r="P25" i="5"/>
  <c r="B26" i="5"/>
  <c r="C26" i="5"/>
  <c r="D26" i="5"/>
  <c r="F26" i="5"/>
  <c r="G26" i="5"/>
  <c r="H26" i="5"/>
  <c r="J26" i="5"/>
  <c r="K26" i="5"/>
  <c r="L26" i="5"/>
  <c r="N26" i="5"/>
  <c r="O26" i="5"/>
  <c r="P26" i="5"/>
  <c r="B28" i="5"/>
  <c r="C28" i="5"/>
  <c r="D28" i="5"/>
  <c r="F28" i="5"/>
  <c r="G28" i="5"/>
  <c r="H28" i="5"/>
  <c r="J28" i="5"/>
  <c r="K28" i="5"/>
  <c r="L28" i="5"/>
  <c r="N28" i="5"/>
  <c r="O28" i="5"/>
  <c r="P28" i="5"/>
  <c r="B30" i="5"/>
  <c r="C30" i="5"/>
  <c r="D30" i="5"/>
  <c r="J30" i="5"/>
  <c r="K30" i="5"/>
  <c r="L30" i="5"/>
  <c r="N30" i="5"/>
  <c r="O30" i="5"/>
  <c r="P30" i="5"/>
  <c r="B32" i="5"/>
  <c r="C32" i="5"/>
  <c r="D32" i="5"/>
  <c r="F32" i="5"/>
  <c r="G32" i="5"/>
  <c r="H32" i="5"/>
  <c r="J32" i="5"/>
  <c r="K32" i="5"/>
  <c r="L32" i="5"/>
  <c r="N32" i="5"/>
  <c r="O32" i="5"/>
  <c r="P32" i="5"/>
  <c r="B34" i="5"/>
  <c r="C34" i="5"/>
  <c r="D34" i="5"/>
  <c r="F34" i="5"/>
  <c r="G34" i="5"/>
  <c r="H34" i="5"/>
  <c r="J34" i="5"/>
  <c r="K34" i="5"/>
  <c r="L34" i="5"/>
  <c r="N34" i="5"/>
  <c r="O34" i="5"/>
  <c r="P34" i="5"/>
</calcChain>
</file>

<file path=xl/sharedStrings.xml><?xml version="1.0" encoding="utf-8"?>
<sst xmlns="http://schemas.openxmlformats.org/spreadsheetml/2006/main" count="582" uniqueCount="201">
  <si>
    <t>Total Liabilities And Equity</t>
  </si>
  <si>
    <t>Total Equity</t>
  </si>
  <si>
    <t>Minority Interest</t>
  </si>
  <si>
    <t xml:space="preserve">  Total Common Equity</t>
  </si>
  <si>
    <t>Total Liabilities</t>
  </si>
  <si>
    <t>Other Non-Current Liabilities</t>
  </si>
  <si>
    <t>Interest Bearing Debt</t>
  </si>
  <si>
    <t xml:space="preserve">  Total Current Liabilities</t>
  </si>
  <si>
    <t>Other Current Liabilities</t>
  </si>
  <si>
    <t>-</t>
  </si>
  <si>
    <t>Accrued Expenses</t>
  </si>
  <si>
    <t>Accounts Payable</t>
  </si>
  <si>
    <t>LIABILITIES</t>
  </si>
  <si>
    <t>Total Assets</t>
  </si>
  <si>
    <t>Other Long-Term Assets</t>
  </si>
  <si>
    <t>Goodwill and Other Intangibles</t>
  </si>
  <si>
    <t>Long-term Investments</t>
  </si>
  <si>
    <t xml:space="preserve">  Net Property, Plant, &amp; Equipment</t>
  </si>
  <si>
    <t xml:space="preserve">   Less Accumulated Depreciation</t>
  </si>
  <si>
    <t>Gross Property, Plant, &amp; Equipment</t>
  </si>
  <si>
    <t xml:space="preserve">  Total Current Assets</t>
  </si>
  <si>
    <t xml:space="preserve">Prepaid Exp. and Other Current Assets </t>
  </si>
  <si>
    <t>Inventory</t>
  </si>
  <si>
    <t>Accounts Receivables</t>
  </si>
  <si>
    <t>Cash &amp; Short-term Investments</t>
  </si>
  <si>
    <t>ASSETS</t>
  </si>
  <si>
    <t>Dec-31-2017</t>
  </si>
  <si>
    <t>Sep-28-2019</t>
  </si>
  <si>
    <t>Viacom</t>
  </si>
  <si>
    <t>Comcast</t>
  </si>
  <si>
    <t>Netflix</t>
  </si>
  <si>
    <t>Disney</t>
  </si>
  <si>
    <t>Dividends per Share</t>
  </si>
  <si>
    <t>Weighted Avg. Diluted Shares Out. (mil)</t>
  </si>
  <si>
    <t xml:space="preserve">  Net Income</t>
  </si>
  <si>
    <t>Minority Int. in Earnings</t>
  </si>
  <si>
    <t xml:space="preserve">  Net Income to Company</t>
  </si>
  <si>
    <t>Earnings Of Discontinued Operations</t>
  </si>
  <si>
    <t>Income Tax Expense</t>
  </si>
  <si>
    <t>Other Unusual Items</t>
  </si>
  <si>
    <t>Other Non-Operating Income (Expenses)</t>
  </si>
  <si>
    <t xml:space="preserve">  Net Interest Exp.</t>
  </si>
  <si>
    <t xml:space="preserve">  Operating Income (EBIT)</t>
  </si>
  <si>
    <t>Other Operating Expenses (Income)</t>
  </si>
  <si>
    <t>Depreciation &amp; Amortization</t>
  </si>
  <si>
    <t>R &amp; D Expenses</t>
  </si>
  <si>
    <t>Selling General &amp; Admin Expenses</t>
  </si>
  <si>
    <t xml:space="preserve">  Gross Profit</t>
  </si>
  <si>
    <t>Cost Of Goods Sold</t>
  </si>
  <si>
    <t xml:space="preserve">  Total Revenue</t>
  </si>
  <si>
    <t>Sep-30-2019</t>
  </si>
  <si>
    <t>Minority Interest in Earnings</t>
  </si>
  <si>
    <t>Earnings of Discontinued Operations</t>
  </si>
  <si>
    <t>Cost of Goods Sold</t>
  </si>
  <si>
    <t xml:space="preserve">  Net Change in Cash</t>
  </si>
  <si>
    <t>Foreign Exchange Rate Adjusted</t>
  </si>
  <si>
    <t xml:space="preserve">  Cash from Financing</t>
  </si>
  <si>
    <t>Other Financing Activities</t>
  </si>
  <si>
    <t>Total Dividends Paid</t>
  </si>
  <si>
    <t>Repurchase of Common Stock</t>
  </si>
  <si>
    <t>Issuance of Common Stock</t>
  </si>
  <si>
    <t>Increase (Decrease) in Debt</t>
  </si>
  <si>
    <t>Cash flow from financing activities:</t>
  </si>
  <si>
    <t xml:space="preserve">  Cash from Investing</t>
  </si>
  <si>
    <t>Other Investing Activities</t>
  </si>
  <si>
    <t>Cash Acquisitions</t>
  </si>
  <si>
    <t>Sale of Property, Plant, &amp; Equipment</t>
  </si>
  <si>
    <t>Capital Expenditure</t>
  </si>
  <si>
    <t>Cash from investing acitvities:</t>
  </si>
  <si>
    <t xml:space="preserve">  Cash from Operation</t>
  </si>
  <si>
    <t>Other Operating Activities</t>
  </si>
  <si>
    <t>Change in Working Capital</t>
  </si>
  <si>
    <t>Net Income</t>
  </si>
  <si>
    <t>Cash flow from operating activities:</t>
  </si>
  <si>
    <t xml:space="preserve">
Sep-30-2019</t>
  </si>
  <si>
    <t xml:space="preserve">
Dec-31-2017</t>
  </si>
  <si>
    <t xml:space="preserve">
Sep-28-2019</t>
  </si>
  <si>
    <t>Total Assets/Total Equity</t>
  </si>
  <si>
    <t>=</t>
  </si>
  <si>
    <t>Financial leverage</t>
  </si>
  <si>
    <t>Revenue/Total Assets</t>
  </si>
  <si>
    <t>Asset turnover</t>
  </si>
  <si>
    <t>Net Income/Revenue</t>
  </si>
  <si>
    <t>Profit margin</t>
  </si>
  <si>
    <t>Profit Margin × Asset Turnover × Leverage</t>
  </si>
  <si>
    <t>Return on equity</t>
  </si>
  <si>
    <t>ROE DECOMPOSITION (Dupont formula)</t>
  </si>
  <si>
    <t>Net Income/Total Assets</t>
  </si>
  <si>
    <t>Return on assets</t>
  </si>
  <si>
    <t xml:space="preserve">Net Income (Loss)/Common Equity </t>
  </si>
  <si>
    <t>Return on common equity</t>
  </si>
  <si>
    <t>PROFITABILITY</t>
  </si>
  <si>
    <t>Operating Income/Interest Expense</t>
  </si>
  <si>
    <t>EBIT/interest</t>
  </si>
  <si>
    <t>Operating Income, Before Depreciation/Interest Expense</t>
  </si>
  <si>
    <t>EBITDA/interest</t>
  </si>
  <si>
    <t>Interest Bearing Debt/Operating Income, Before Depreciation</t>
  </si>
  <si>
    <t>Interest-bearig debt/EBITDA</t>
  </si>
  <si>
    <t>Interest Bearing Debt/Common Equity</t>
  </si>
  <si>
    <t>Debt/common equity</t>
  </si>
  <si>
    <t>Interest Bearing Debt/Total Assts</t>
  </si>
  <si>
    <t>Debt/total assets</t>
  </si>
  <si>
    <t>CAPACITY (Financial Leverage)</t>
  </si>
  <si>
    <t>Days of Inventory + Days of Accounts Receivable - Days of Accounts Payable</t>
  </si>
  <si>
    <t>Cash conversion cycle</t>
  </si>
  <si>
    <r>
      <t xml:space="preserve">Accounts Payable/(Cost of Goods Sold*/365)  </t>
    </r>
    <r>
      <rPr>
        <i/>
        <sz val="10"/>
        <color theme="1"/>
        <rFont val="Arial"/>
        <family val="2"/>
      </rPr>
      <t>*if purchases are not available</t>
    </r>
  </si>
  <si>
    <t>Days of accounts payables</t>
  </si>
  <si>
    <t>Accounts Receivable/(Revenue/365)</t>
  </si>
  <si>
    <t>Days of accounts receivable</t>
  </si>
  <si>
    <t>Inventory/(Cost of Goods Sold/365)</t>
  </si>
  <si>
    <t>Days of inventory</t>
  </si>
  <si>
    <t>EFFICIENCY (Resource Management)</t>
  </si>
  <si>
    <t>(Cash + Marketable Securities + Account Receivable)/Total Current Liabilities</t>
  </si>
  <si>
    <t>Quick ratio</t>
  </si>
  <si>
    <t>Total Current Assets/Total Current Liabilities</t>
  </si>
  <si>
    <t>Current ratio</t>
  </si>
  <si>
    <t>LIQUIDITY RATIOS</t>
  </si>
  <si>
    <t>Net income</t>
  </si>
  <si>
    <t>Operating income</t>
  </si>
  <si>
    <t>Revenue</t>
  </si>
  <si>
    <t>GROWTH (Over Prior Year)</t>
  </si>
  <si>
    <t>Interest-bearing debt/EBITDA</t>
  </si>
  <si>
    <t>*Total enterprise value is estimated as the market value of equity plus the book value of interest-bearing debt plus minoirty interest</t>
  </si>
  <si>
    <t>NASDAQ Composite</t>
  </si>
  <si>
    <t>S&amp;P 500</t>
  </si>
  <si>
    <t>P/E Ratios:</t>
  </si>
  <si>
    <t xml:space="preserve">Real U.S. GDP Growth (year-over-year) </t>
  </si>
  <si>
    <t>12-month Treasury Bill yield</t>
  </si>
  <si>
    <t>6-month Treasury Bill yield</t>
  </si>
  <si>
    <t>3-month Treasury Bill yield</t>
  </si>
  <si>
    <t>Price / Earnings</t>
  </si>
  <si>
    <t>Enterprise value / EBIT</t>
  </si>
  <si>
    <t>Enterprise value / EBITDA</t>
  </si>
  <si>
    <t>Enterprise value / revenue</t>
  </si>
  <si>
    <t>Total enterprise value ($millions)*</t>
  </si>
  <si>
    <t>Market to book ratio</t>
  </si>
  <si>
    <t>Book value per share ($)</t>
  </si>
  <si>
    <t>Book value of equity ($millions)</t>
  </si>
  <si>
    <t>Market value of equity ($millions)</t>
  </si>
  <si>
    <t>Common shares outstanding (millions)</t>
  </si>
  <si>
    <t>Earnings per share ($)</t>
  </si>
  <si>
    <t>Share price ($)</t>
  </si>
  <si>
    <t xml:space="preserve">Net Income </t>
  </si>
  <si>
    <t>EBIT</t>
  </si>
  <si>
    <t>EBITDA</t>
  </si>
  <si>
    <t>PEG Ratio (PE/G)</t>
  </si>
  <si>
    <t>Growth Rate of EPS, G (%)</t>
  </si>
  <si>
    <t>Earnings per share</t>
  </si>
  <si>
    <t>Price/Earnings (PE)</t>
  </si>
  <si>
    <t>Total</t>
  </si>
  <si>
    <t>Eliminations</t>
  </si>
  <si>
    <t>Direct-to-Consumer &amp; International</t>
  </si>
  <si>
    <t>Studio Entertainment</t>
  </si>
  <si>
    <t>Parks and Resorts</t>
  </si>
  <si>
    <t>Media Networks</t>
  </si>
  <si>
    <t>Disney Segmented Revenue and Operating Income, year-ended September 30, 2019 ($ millions)</t>
  </si>
  <si>
    <t>© 2020 Ivey Business School Foundation</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</si>
  <si>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</si>
  <si>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Last Revised:</t>
  </si>
  <si>
    <t>Steve Foerster and Shuran (Freya) Yang</t>
  </si>
  <si>
    <t>Prepared by:</t>
  </si>
  <si>
    <t>This spreadsheet supports the product The Walt Disney Company's Stock: Buy, Hold, or Sell? - Teaching Note  (8B20N005)</t>
  </si>
  <si>
    <t>The Walt Disney Company's Stock: Buy, Hold, or Sell? - Instructor Spreadsheet</t>
  </si>
  <si>
    <t>Title:</t>
  </si>
  <si>
    <t>5B20N005</t>
  </si>
  <si>
    <t>Product Number:</t>
  </si>
  <si>
    <t>Assets</t>
  </si>
  <si>
    <t>Profit</t>
  </si>
  <si>
    <t>Sales</t>
  </si>
  <si>
    <t>Growth ratios</t>
  </si>
  <si>
    <t>2018-2019</t>
  </si>
  <si>
    <t>2017-2018</t>
  </si>
  <si>
    <t>Interest Coverage</t>
  </si>
  <si>
    <t>Coverage of fixed investments</t>
  </si>
  <si>
    <t>Debt to Equity</t>
  </si>
  <si>
    <t>Equity to assets ratio</t>
  </si>
  <si>
    <t>Financial stability and Leverage</t>
  </si>
  <si>
    <t>Working Capital</t>
  </si>
  <si>
    <t>Cash ratio</t>
  </si>
  <si>
    <t>Quick ratio (acid test)</t>
  </si>
  <si>
    <t>Liquidity</t>
  </si>
  <si>
    <t>Average payment period</t>
  </si>
  <si>
    <t>Average collection period</t>
  </si>
  <si>
    <t>Inventory turnover</t>
  </si>
  <si>
    <t>Average inventory period</t>
  </si>
  <si>
    <t>Efficiency</t>
  </si>
  <si>
    <t>Return on Equity</t>
  </si>
  <si>
    <t>Return on Assets</t>
  </si>
  <si>
    <t>Return on Sales</t>
  </si>
  <si>
    <t>Analysis of return</t>
  </si>
  <si>
    <t>Net earnings</t>
  </si>
  <si>
    <t>Income tax</t>
  </si>
  <si>
    <t>Pre-tax earnings</t>
  </si>
  <si>
    <t>Interest</t>
  </si>
  <si>
    <t>Depreciation</t>
  </si>
  <si>
    <t>Selling, general and administrative</t>
  </si>
  <si>
    <t>Expenses</t>
  </si>
  <si>
    <t>Gross Margin</t>
  </si>
  <si>
    <t>Net Sales</t>
  </si>
  <si>
    <t>Sempre que foi usado o net income nos cálculos, foram considerados os valores presentes na income statement</t>
  </si>
  <si>
    <t>Foi considerado que as net sales são equivalente ao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</si>
</sst>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_(* #,##0.0_);_(* \(#,##0.0\)_)\ ;_(* 0_)"/>
    <numFmt numFmtId="165" formatCode="_(* #,##0.0_);_(* \(#,##0.0\);_(* &quot;-&quot;?_);_(@_)"/>
    <numFmt numFmtId="166" formatCode="0;\-0;\—;@"/>
    <numFmt numFmtId="167" formatCode="mmm\-dd\-yyyy"/>
    <numFmt numFmtId="168" formatCode="_(&quot;$&quot;#,##0.0#_);_(\(&quot;$&quot;#,##0.0#\)_);_(&quot;$&quot;&quot; - &quot;_)"/>
    <numFmt numFmtId="169" formatCode="0.0"/>
    <numFmt numFmtId="170" formatCode="0.0;\-0.0;\—;@"/>
    <numFmt numFmtId="171" formatCode="_-* #,##0.0_-;\-* #,##0.0_-;_-* &quot;-&quot;?_-;_-@_-"/>
    <numFmt numFmtId="172" formatCode="_(* #,##0_);_(* \(#,##0\)_)\ ;_(* 0_)"/>
    <numFmt numFmtId="173" formatCode="_(#,##0.0%_);_(\(#,##0.0%\)_);_(#,##0.0%_)"/>
    <numFmt numFmtId="174" formatCode="_(* #,##0.0##_);_(* \(#,##0.0##\)_)\ ;_(* 0_)"/>
    <numFmt numFmtId="175" formatCode="_(* #,##0.0#_);_(* \(#,##0.0#\)_)\ ;_(* 0_)"/>
    <numFmt numFmtId="176" formatCode="0.0%"/>
    <numFmt numFmtId="177" formatCode="_-* #,##0.0_-;\-* #,##0.0_-;_-* &quot;-&quot;??_-;_-@_-"/>
    <numFmt numFmtId="178" formatCode="#,##0.0_ ;\-#,##0.0\ "/>
    <numFmt numFmtId="179" formatCode="_(* #,##0.00_);_(* \(#,##0.00\);_(* &quot;-&quot;??_);_(@_)"/>
    <numFmt numFmtId="180" formatCode="_(* #,##0.0_);_(* \(#,##0.0\)_)\ ;_(* 0.0_)"/>
    <numFmt numFmtId="181" formatCode="_(* #,##0.00_);_(* \(#,##0.00\)_)\ ;_(* 0.0_)"/>
    <numFmt numFmtId="182" formatCode="_(* #,##0_);_(* \(#,##0\);_(* &quot;-&quot;??_);_(@_)"/>
    <numFmt numFmtId="183" formatCode="[$-409]mmmm\ d\,\ yyyy;@"/>
    <numFmt numFmtId="184" formatCode="_-* #,##0.0\ _€_-;\-* #,##0.0\ _€_-;_-* &quot;-&quot;?\ _€_-;_-@_-"/>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9"/>
      <color theme="1"/>
      <name val="Arial"/>
      <family val="2"/>
    </font>
    <font>
      <b/>
      <u val="double"/>
      <sz val="9"/>
      <color indexed="8"/>
      <name val="Arial"/>
      <family val="2"/>
    </font>
    <font>
      <b/>
      <sz val="9"/>
      <color rgb="FF000000"/>
      <name val="Arial"/>
      <family val="2"/>
    </font>
    <font>
      <sz val="9"/>
      <color rgb="FF000000"/>
      <name val="Arial"/>
      <family val="2"/>
    </font>
    <font>
      <sz val="9"/>
      <color indexed="8"/>
      <name val="Arial"/>
      <family val="2"/>
    </font>
    <font>
      <b/>
      <u/>
      <sz val="9"/>
      <color indexed="8"/>
      <name val="Arial"/>
      <family val="2"/>
    </font>
    <font>
      <b/>
      <sz val="9"/>
      <color indexed="8"/>
      <name val="Arial"/>
      <family val="2"/>
    </font>
    <font>
      <sz val="9"/>
      <name val="Arial"/>
      <family val="2"/>
    </font>
    <font>
      <b/>
      <sz val="9"/>
      <name val="Arial"/>
      <family val="2"/>
    </font>
    <font>
      <i/>
      <sz val="9"/>
      <color theme="1"/>
      <name val="Arial"/>
      <family val="2"/>
    </font>
    <font>
      <b/>
      <sz val="9"/>
      <color theme="1"/>
      <name val="Arial"/>
      <family val="2"/>
    </font>
    <font>
      <b/>
      <i/>
      <sz val="9"/>
      <color rgb="FF000000"/>
      <name val="Arial"/>
      <family val="2"/>
    </font>
    <font>
      <b/>
      <u/>
      <sz val="9"/>
      <color rgb="FF000000"/>
      <name val="Arial"/>
      <family val="2"/>
    </font>
    <font>
      <sz val="10"/>
      <color theme="1"/>
      <name val="Arial"/>
      <family val="2"/>
    </font>
    <font>
      <sz val="10"/>
      <color theme="1"/>
      <name val="Calibri"/>
      <family val="2"/>
    </font>
    <font>
      <i/>
      <sz val="10"/>
      <color theme="1"/>
      <name val="Arial"/>
      <family val="2"/>
    </font>
    <font>
      <sz val="10"/>
      <name val="Arial"/>
      <family val="2"/>
    </font>
    <font>
      <sz val="8"/>
      <color theme="1"/>
      <name val="Arial"/>
      <family val="2"/>
    </font>
    <font>
      <sz val="8"/>
      <color indexed="8"/>
      <name val="Arial"/>
      <family val="2"/>
    </font>
    <font>
      <sz val="8"/>
      <color rgb="FF000000"/>
      <name val="Arial"/>
      <family val="2"/>
    </font>
    <font>
      <b/>
      <sz val="10"/>
      <color theme="1"/>
      <name val="Arial"/>
      <family val="2"/>
    </font>
    <font>
      <sz val="12"/>
      <color theme="1"/>
      <name val="Times New Roman"/>
      <family val="1"/>
    </font>
    <font>
      <sz val="12"/>
      <color theme="1"/>
      <name val="Calibri"/>
      <family val="2"/>
      <scheme val="minor"/>
    </font>
    <font>
      <sz val="11"/>
      <color theme="1"/>
      <name val="Calibri"/>
      <family val="2"/>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8"/>
      </top>
      <bottom/>
      <diagonal/>
    </border>
    <border>
      <left/>
      <right/>
      <top style="thin">
        <color rgb="FF000000"/>
      </top>
      <bottom/>
      <diagonal/>
    </border>
    <border>
      <left/>
      <right/>
      <top style="thin">
        <color auto="1"/>
      </top>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0">
    <xf numFmtId="0" fontId="0"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20" fillId="0" borderId="0">
      <alignment vertical="center"/>
    </xf>
    <xf numFmtId="179" fontId="3" fillId="0" borderId="0" applyFont="0" applyFill="0" applyBorder="0" applyAlignment="0" applyProtection="0"/>
    <xf numFmtId="0" fontId="26" fillId="0" borderId="0"/>
    <xf numFmtId="179" fontId="26" fillId="0" borderId="0" applyFont="0" applyFill="0" applyBorder="0" applyAlignment="0" applyProtection="0"/>
    <xf numFmtId="9" fontId="26" fillId="0" borderId="0" applyFont="0" applyFill="0" applyBorder="0" applyAlignment="0" applyProtection="0"/>
    <xf numFmtId="0" fontId="1" fillId="0" borderId="0"/>
  </cellStyleXfs>
  <cellXfs count="230">
    <xf numFmtId="0" fontId="0" fillId="0" borderId="0" xfId="0"/>
    <xf numFmtId="0" fontId="4" fillId="0" borderId="0" xfId="1" applyFont="1"/>
    <xf numFmtId="0" fontId="4" fillId="0" borderId="0" xfId="1" applyFont="1" applyAlignment="1">
      <alignment vertical="center"/>
    </xf>
    <xf numFmtId="0" fontId="4" fillId="0" borderId="0" xfId="1" applyFont="1" applyAlignment="1">
      <alignment vertical="center" wrapText="1"/>
    </xf>
    <xf numFmtId="164" fontId="5" fillId="0" borderId="0" xfId="1" applyNumberFormat="1" applyFont="1" applyAlignment="1">
      <alignment horizontal="right" vertical="center" wrapText="1"/>
    </xf>
    <xf numFmtId="0" fontId="6" fillId="0" borderId="0" xfId="1" applyFont="1" applyAlignment="1">
      <alignment horizontal="left" vertical="center" wrapText="1"/>
    </xf>
    <xf numFmtId="0" fontId="7" fillId="0" borderId="0" xfId="1" applyFont="1" applyAlignment="1">
      <alignment horizontal="left" vertical="center"/>
    </xf>
    <xf numFmtId="0" fontId="8" fillId="0" borderId="0" xfId="1" applyFont="1" applyAlignment="1">
      <alignment horizontal="left" vertical="center"/>
    </xf>
    <xf numFmtId="0" fontId="7" fillId="0" borderId="0" xfId="1" applyFont="1" applyAlignment="1">
      <alignment horizontal="left" vertical="center" wrapText="1"/>
    </xf>
    <xf numFmtId="164" fontId="9" fillId="0" borderId="0" xfId="1" applyNumberFormat="1" applyFont="1" applyAlignment="1">
      <alignment horizontal="right" vertical="center" wrapText="1"/>
    </xf>
    <xf numFmtId="164" fontId="8" fillId="0" borderId="0" xfId="1" applyNumberFormat="1" applyFont="1" applyAlignment="1">
      <alignment horizontal="right" vertical="center" wrapText="1"/>
    </xf>
    <xf numFmtId="164" fontId="7" fillId="0" borderId="0" xfId="1" applyNumberFormat="1" applyFont="1" applyAlignment="1">
      <alignment horizontal="right" vertical="center" wrapText="1"/>
    </xf>
    <xf numFmtId="164" fontId="10" fillId="0" borderId="0" xfId="1" applyNumberFormat="1" applyFont="1" applyAlignment="1">
      <alignment horizontal="right" vertical="center" wrapText="1"/>
    </xf>
    <xf numFmtId="164" fontId="4" fillId="0" borderId="0" xfId="1" applyNumberFormat="1" applyFont="1"/>
    <xf numFmtId="164" fontId="10" fillId="0" borderId="1" xfId="1" applyNumberFormat="1" applyFont="1" applyBorder="1" applyAlignment="1">
      <alignment horizontal="right" vertical="center" wrapText="1"/>
    </xf>
    <xf numFmtId="164" fontId="4" fillId="0" borderId="0" xfId="1" applyNumberFormat="1" applyFont="1" applyAlignment="1">
      <alignment vertical="center"/>
    </xf>
    <xf numFmtId="164" fontId="11" fillId="0" borderId="0" xfId="1" applyNumberFormat="1" applyFont="1" applyAlignment="1">
      <alignment vertical="center"/>
    </xf>
    <xf numFmtId="165" fontId="7" fillId="0" borderId="0" xfId="1" applyNumberFormat="1" applyFont="1" applyAlignment="1">
      <alignment horizontal="left" vertical="center"/>
    </xf>
    <xf numFmtId="164" fontId="6" fillId="0" borderId="0" xfId="1" applyNumberFormat="1" applyFont="1" applyAlignment="1">
      <alignment horizontal="right" vertical="center" wrapText="1"/>
    </xf>
    <xf numFmtId="164" fontId="5" fillId="0" borderId="1" xfId="1" applyNumberFormat="1" applyFont="1" applyBorder="1" applyAlignment="1">
      <alignment horizontal="right" vertical="center" wrapText="1"/>
    </xf>
    <xf numFmtId="0" fontId="11" fillId="0" borderId="0" xfId="1" applyFont="1"/>
    <xf numFmtId="164" fontId="12" fillId="0" borderId="1" xfId="1" applyNumberFormat="1" applyFont="1" applyBorder="1" applyAlignment="1">
      <alignment horizontal="right" vertical="center" wrapText="1"/>
    </xf>
    <xf numFmtId="0" fontId="11" fillId="0" borderId="0" xfId="1" applyFont="1" applyAlignment="1">
      <alignment vertical="center"/>
    </xf>
    <xf numFmtId="164" fontId="12" fillId="0" borderId="2" xfId="1" applyNumberFormat="1" applyFont="1" applyBorder="1" applyAlignment="1">
      <alignment horizontal="right" vertical="center" wrapText="1"/>
    </xf>
    <xf numFmtId="0" fontId="12" fillId="0" borderId="0" xfId="1" applyFont="1" applyAlignment="1">
      <alignment horizontal="left" vertical="center" wrapText="1"/>
    </xf>
    <xf numFmtId="164" fontId="11" fillId="0" borderId="0" xfId="1" applyNumberFormat="1" applyFont="1" applyAlignment="1">
      <alignment horizontal="right" vertical="center" wrapText="1"/>
    </xf>
    <xf numFmtId="0" fontId="11" fillId="0" borderId="0" xfId="1" applyFont="1" applyAlignment="1">
      <alignment horizontal="left" vertical="center" wrapText="1"/>
    </xf>
    <xf numFmtId="166" fontId="7" fillId="0" borderId="0" xfId="1" applyNumberFormat="1" applyFont="1" applyAlignment="1">
      <alignment horizontal="right" vertical="center" wrapText="1"/>
    </xf>
    <xf numFmtId="166" fontId="8" fillId="0" borderId="0" xfId="1" applyNumberFormat="1" applyFont="1" applyAlignment="1">
      <alignment horizontal="right" vertical="center" wrapText="1"/>
    </xf>
    <xf numFmtId="167" fontId="6" fillId="0" borderId="0" xfId="1" applyNumberFormat="1" applyFont="1" applyAlignment="1">
      <alignment horizontal="right" vertical="center" wrapText="1"/>
    </xf>
    <xf numFmtId="0" fontId="6" fillId="0" borderId="0" xfId="1" applyFont="1" applyAlignment="1">
      <alignment horizontal="right" vertical="center" wrapText="1"/>
    </xf>
    <xf numFmtId="0" fontId="13" fillId="0" borderId="0" xfId="1" applyFont="1" applyAlignment="1">
      <alignment vertical="center"/>
    </xf>
    <xf numFmtId="168" fontId="8" fillId="0" borderId="0" xfId="1" applyNumberFormat="1" applyFont="1" applyAlignment="1">
      <alignment horizontal="right" vertical="center" wrapText="1"/>
    </xf>
    <xf numFmtId="0" fontId="10" fillId="0" borderId="0" xfId="1" applyFont="1" applyAlignment="1">
      <alignment horizontal="left" vertical="center"/>
    </xf>
    <xf numFmtId="0" fontId="5" fillId="0" borderId="1" xfId="1" applyFont="1" applyBorder="1" applyAlignment="1">
      <alignment horizontal="right" vertical="center" wrapText="1"/>
    </xf>
    <xf numFmtId="169" fontId="10" fillId="0" borderId="1" xfId="1" applyNumberFormat="1" applyFont="1" applyBorder="1" applyAlignment="1">
      <alignment horizontal="right" vertical="center" wrapText="1"/>
    </xf>
    <xf numFmtId="169" fontId="10" fillId="0" borderId="0" xfId="1" applyNumberFormat="1" applyFont="1" applyAlignment="1">
      <alignment horizontal="right" vertical="center" wrapText="1"/>
    </xf>
    <xf numFmtId="166" fontId="4" fillId="0" borderId="0" xfId="1" applyNumberFormat="1" applyFont="1"/>
    <xf numFmtId="166" fontId="4" fillId="0" borderId="0" xfId="1" applyNumberFormat="1" applyFont="1" applyAlignment="1">
      <alignment vertical="center"/>
    </xf>
    <xf numFmtId="170" fontId="8" fillId="0" borderId="0" xfId="1" applyNumberFormat="1" applyFont="1" applyAlignment="1">
      <alignment horizontal="right" vertical="center" wrapText="1"/>
    </xf>
    <xf numFmtId="166" fontId="8" fillId="0" borderId="0" xfId="1" applyNumberFormat="1" applyFont="1" applyAlignment="1">
      <alignment horizontal="left" vertical="center"/>
    </xf>
    <xf numFmtId="171" fontId="11" fillId="0" borderId="0" xfId="1" applyNumberFormat="1" applyFont="1" applyAlignment="1">
      <alignment horizontal="right" vertical="center" wrapText="1"/>
    </xf>
    <xf numFmtId="0" fontId="11" fillId="0" borderId="0" xfId="1" applyFont="1" applyAlignment="1">
      <alignment horizontal="right" vertical="center" wrapText="1"/>
    </xf>
    <xf numFmtId="0" fontId="11" fillId="0" borderId="0" xfId="1" applyFont="1" applyAlignment="1">
      <alignment horizontal="left" vertical="center"/>
    </xf>
    <xf numFmtId="164" fontId="8" fillId="0" borderId="0" xfId="1" applyNumberFormat="1" applyFont="1" applyAlignment="1">
      <alignment horizontal="left" vertical="center"/>
    </xf>
    <xf numFmtId="164" fontId="10" fillId="0" borderId="3" xfId="1" applyNumberFormat="1" applyFont="1" applyBorder="1" applyAlignment="1">
      <alignment horizontal="right" vertical="center" wrapText="1"/>
    </xf>
    <xf numFmtId="166" fontId="11" fillId="0" borderId="0" xfId="1" applyNumberFormat="1" applyFont="1" applyAlignment="1">
      <alignment horizontal="right" vertical="center" wrapText="1"/>
    </xf>
    <xf numFmtId="166" fontId="11" fillId="0" borderId="0" xfId="1" applyNumberFormat="1" applyFont="1" applyAlignment="1">
      <alignment vertical="center"/>
    </xf>
    <xf numFmtId="0" fontId="15" fillId="0" borderId="0" xfId="1" applyFont="1" applyAlignment="1">
      <alignment horizontal="right" vertical="center" wrapText="1"/>
    </xf>
    <xf numFmtId="0" fontId="7" fillId="0" borderId="0" xfId="1" applyFont="1" applyAlignment="1">
      <alignment horizontal="left" vertical="top"/>
    </xf>
    <xf numFmtId="49" fontId="7" fillId="0" borderId="0" xfId="1" applyNumberFormat="1" applyFont="1" applyAlignment="1">
      <alignment horizontal="right" vertical="center" wrapText="1"/>
    </xf>
    <xf numFmtId="167" fontId="7" fillId="0" borderId="0" xfId="1" applyNumberFormat="1" applyFont="1" applyAlignment="1">
      <alignment horizontal="right" vertical="center" wrapText="1"/>
    </xf>
    <xf numFmtId="172" fontId="7" fillId="0" borderId="0" xfId="1" applyNumberFormat="1" applyFont="1" applyAlignment="1">
      <alignment horizontal="right" vertical="center" wrapText="1"/>
    </xf>
    <xf numFmtId="0" fontId="6" fillId="0" borderId="0" xfId="1" applyFont="1" applyAlignment="1">
      <alignment horizontal="left" vertical="top"/>
    </xf>
    <xf numFmtId="168" fontId="7" fillId="0" borderId="0" xfId="1" applyNumberFormat="1" applyFont="1" applyAlignment="1">
      <alignment horizontal="right" vertical="center" wrapText="1"/>
    </xf>
    <xf numFmtId="173" fontId="16" fillId="0" borderId="0" xfId="1" applyNumberFormat="1" applyFont="1" applyAlignment="1">
      <alignment horizontal="right" vertical="center" wrapText="1"/>
    </xf>
    <xf numFmtId="173" fontId="7" fillId="0" borderId="0" xfId="1" applyNumberFormat="1" applyFont="1" applyAlignment="1">
      <alignment horizontal="right" vertical="center" wrapText="1"/>
    </xf>
    <xf numFmtId="173" fontId="6" fillId="0" borderId="0" xfId="1" applyNumberFormat="1" applyFont="1" applyAlignment="1">
      <alignment horizontal="right" vertical="center" wrapText="1"/>
    </xf>
    <xf numFmtId="173" fontId="6" fillId="0" borderId="2" xfId="1" applyNumberFormat="1" applyFont="1" applyBorder="1" applyAlignment="1">
      <alignment horizontal="right" vertical="center" wrapText="1"/>
    </xf>
    <xf numFmtId="173" fontId="7" fillId="0" borderId="0" xfId="1" applyNumberFormat="1" applyFont="1" applyAlignment="1">
      <alignment horizontal="right" vertical="center"/>
    </xf>
    <xf numFmtId="173" fontId="16" fillId="0" borderId="2" xfId="1" applyNumberFormat="1" applyFont="1" applyBorder="1" applyAlignment="1">
      <alignment horizontal="right" vertical="center" wrapText="1"/>
    </xf>
    <xf numFmtId="173" fontId="6" fillId="0" borderId="3" xfId="1" applyNumberFormat="1" applyFont="1" applyBorder="1" applyAlignment="1">
      <alignment horizontal="right" vertical="center" wrapText="1"/>
    </xf>
    <xf numFmtId="173" fontId="7" fillId="0" borderId="3" xfId="1" applyNumberFormat="1" applyFont="1" applyBorder="1" applyAlignment="1">
      <alignment horizontal="right" vertical="center" wrapText="1"/>
    </xf>
    <xf numFmtId="174" fontId="8" fillId="0" borderId="0" xfId="1" applyNumberFormat="1" applyFont="1" applyAlignment="1">
      <alignment horizontal="right" vertical="center" wrapText="1"/>
    </xf>
    <xf numFmtId="0" fontId="8" fillId="0" borderId="0" xfId="1" applyFont="1" applyAlignment="1">
      <alignment horizontal="left" vertical="center" wrapText="1"/>
    </xf>
    <xf numFmtId="173" fontId="8" fillId="0" borderId="0" xfId="1" applyNumberFormat="1" applyFont="1" applyAlignment="1">
      <alignment horizontal="right" vertical="center" wrapText="1"/>
    </xf>
    <xf numFmtId="175" fontId="8" fillId="0" borderId="0" xfId="1" applyNumberFormat="1" applyFont="1" applyAlignment="1">
      <alignment horizontal="right" vertical="center" wrapText="1"/>
    </xf>
    <xf numFmtId="0" fontId="10" fillId="0" borderId="0" xfId="1" applyFont="1" applyAlignment="1">
      <alignment horizontal="left" vertical="center" wrapText="1"/>
    </xf>
    <xf numFmtId="173" fontId="5" fillId="0" borderId="3" xfId="1" applyNumberFormat="1" applyFont="1" applyBorder="1" applyAlignment="1">
      <alignment horizontal="right" vertical="center" wrapText="1"/>
    </xf>
    <xf numFmtId="173" fontId="10" fillId="0" borderId="0" xfId="1" applyNumberFormat="1" applyFont="1" applyAlignment="1">
      <alignment horizontal="right" vertical="center" wrapText="1"/>
    </xf>
    <xf numFmtId="173" fontId="5" fillId="0" borderId="0" xfId="1" applyNumberFormat="1" applyFont="1" applyAlignment="1">
      <alignment horizontal="right" vertical="center" wrapText="1"/>
    </xf>
    <xf numFmtId="173" fontId="10" fillId="0" borderId="3" xfId="1" applyNumberFormat="1" applyFont="1" applyBorder="1" applyAlignment="1">
      <alignment horizontal="right" vertical="center" wrapText="1"/>
    </xf>
    <xf numFmtId="173" fontId="10" fillId="0" borderId="1" xfId="1" applyNumberFormat="1" applyFont="1" applyBorder="1" applyAlignment="1">
      <alignment horizontal="right" vertical="center" wrapText="1"/>
    </xf>
    <xf numFmtId="164" fontId="5" fillId="0" borderId="1" xfId="1" applyNumberFormat="1" applyFont="1" applyBorder="1" applyAlignment="1">
      <alignment horizontal="right" vertical="top" wrapText="1"/>
    </xf>
    <xf numFmtId="164" fontId="5" fillId="0" borderId="0" xfId="1" applyNumberFormat="1" applyFont="1" applyAlignment="1">
      <alignment horizontal="right" vertical="top" wrapText="1"/>
    </xf>
    <xf numFmtId="0" fontId="10" fillId="0" borderId="0" xfId="1" applyFont="1" applyAlignment="1">
      <alignment horizontal="left" vertical="top"/>
    </xf>
    <xf numFmtId="164" fontId="8" fillId="0" borderId="0" xfId="1" applyNumberFormat="1" applyFont="1" applyAlignment="1">
      <alignment horizontal="right" vertical="top" wrapText="1"/>
    </xf>
    <xf numFmtId="0" fontId="8" fillId="0" borderId="0" xfId="1" applyFont="1" applyAlignment="1">
      <alignment horizontal="left" vertical="top"/>
    </xf>
    <xf numFmtId="164" fontId="10" fillId="0" borderId="1" xfId="1" applyNumberFormat="1" applyFont="1" applyBorder="1" applyAlignment="1">
      <alignment horizontal="right" vertical="top" wrapText="1"/>
    </xf>
    <xf numFmtId="164" fontId="10" fillId="0" borderId="0" xfId="1" applyNumberFormat="1" applyFont="1" applyAlignment="1">
      <alignment horizontal="right" vertical="top" wrapText="1"/>
    </xf>
    <xf numFmtId="164" fontId="8" fillId="0" borderId="0" xfId="1" applyNumberFormat="1" applyFont="1" applyAlignment="1">
      <alignment horizontal="left" vertical="top"/>
    </xf>
    <xf numFmtId="0" fontId="15" fillId="0" borderId="0" xfId="1" applyFont="1" applyAlignment="1">
      <alignment horizontal="right" wrapText="1"/>
    </xf>
    <xf numFmtId="167" fontId="6" fillId="0" borderId="0" xfId="1" applyNumberFormat="1" applyFont="1" applyAlignment="1">
      <alignment horizontal="right" wrapText="1"/>
    </xf>
    <xf numFmtId="0" fontId="6" fillId="0" borderId="0" xfId="1" applyFont="1" applyAlignment="1">
      <alignment horizontal="right" wrapText="1"/>
    </xf>
    <xf numFmtId="0" fontId="17" fillId="0" borderId="0" xfId="1" applyFont="1"/>
    <xf numFmtId="49" fontId="17" fillId="0" borderId="0" xfId="1" applyNumberFormat="1" applyFont="1" applyAlignment="1">
      <alignment horizontal="center"/>
    </xf>
    <xf numFmtId="0" fontId="18" fillId="0" borderId="0" xfId="1" applyFont="1"/>
    <xf numFmtId="2" fontId="4" fillId="0" borderId="0" xfId="2" applyNumberFormat="1" applyFont="1" applyFill="1" applyAlignment="1"/>
    <xf numFmtId="176" fontId="4" fillId="0" borderId="0" xfId="2" applyNumberFormat="1" applyFont="1" applyFill="1" applyAlignment="1"/>
    <xf numFmtId="0" fontId="14" fillId="0" borderId="0" xfId="1" applyFont="1"/>
    <xf numFmtId="173" fontId="8" fillId="0" borderId="0" xfId="1" applyNumberFormat="1" applyFont="1" applyAlignment="1">
      <alignment horizontal="right" vertical="top" wrapText="1"/>
    </xf>
    <xf numFmtId="177" fontId="4" fillId="0" borderId="0" xfId="3" applyNumberFormat="1" applyFont="1" applyFill="1" applyAlignment="1"/>
    <xf numFmtId="178" fontId="4" fillId="0" borderId="0" xfId="3" applyNumberFormat="1" applyFont="1" applyAlignment="1"/>
    <xf numFmtId="178" fontId="4" fillId="0" borderId="0" xfId="3" applyNumberFormat="1" applyFont="1" applyFill="1" applyAlignment="1"/>
    <xf numFmtId="177" fontId="4" fillId="0" borderId="4" xfId="3" applyNumberFormat="1" applyFont="1" applyFill="1" applyBorder="1" applyAlignment="1"/>
    <xf numFmtId="166" fontId="8" fillId="0" borderId="0" xfId="1" applyNumberFormat="1" applyFont="1" applyAlignment="1">
      <alignment horizontal="right" vertical="top" wrapText="1"/>
    </xf>
    <xf numFmtId="43" fontId="4" fillId="0" borderId="0" xfId="3" applyFont="1" applyFill="1" applyAlignment="1"/>
    <xf numFmtId="179" fontId="4" fillId="0" borderId="0" xfId="1" applyNumberFormat="1" applyFont="1"/>
    <xf numFmtId="10" fontId="8" fillId="0" borderId="0" xfId="2" applyNumberFormat="1" applyFont="1" applyFill="1" applyBorder="1" applyAlignment="1">
      <alignment horizontal="right" vertical="top" wrapText="1"/>
    </xf>
    <xf numFmtId="172" fontId="8" fillId="0" borderId="0" xfId="1" applyNumberFormat="1" applyFont="1" applyAlignment="1">
      <alignment horizontal="right" vertical="top" wrapText="1"/>
    </xf>
    <xf numFmtId="180" fontId="8" fillId="0" borderId="0" xfId="1" applyNumberFormat="1" applyFont="1" applyAlignment="1">
      <alignment horizontal="right" vertical="top" wrapText="1"/>
    </xf>
    <xf numFmtId="181" fontId="8" fillId="0" borderId="0" xfId="1" applyNumberFormat="1" applyFont="1" applyAlignment="1">
      <alignment horizontal="right" vertical="top" wrapText="1"/>
    </xf>
    <xf numFmtId="182" fontId="8" fillId="0" borderId="0" xfId="1" applyNumberFormat="1" applyFont="1" applyAlignment="1">
      <alignment horizontal="right" vertical="top" wrapText="1"/>
    </xf>
    <xf numFmtId="0" fontId="20" fillId="0" borderId="0" xfId="4">
      <alignment vertical="center"/>
    </xf>
    <xf numFmtId="0" fontId="3" fillId="0" borderId="0" xfId="1"/>
    <xf numFmtId="2" fontId="4" fillId="0" borderId="5" xfId="5" applyNumberFormat="1" applyFont="1" applyBorder="1" applyAlignment="1"/>
    <xf numFmtId="2" fontId="4" fillId="0" borderId="0" xfId="5" applyNumberFormat="1" applyFont="1" applyBorder="1" applyAlignment="1"/>
    <xf numFmtId="2" fontId="4" fillId="0" borderId="6" xfId="5" applyNumberFormat="1" applyFont="1" applyBorder="1" applyAlignment="1"/>
    <xf numFmtId="0" fontId="14" fillId="0" borderId="5" xfId="1" applyFont="1" applyBorder="1"/>
    <xf numFmtId="179" fontId="21" fillId="0" borderId="0" xfId="5" applyFont="1"/>
    <xf numFmtId="2" fontId="4" fillId="0" borderId="5" xfId="2" applyNumberFormat="1" applyFont="1" applyBorder="1" applyAlignment="1"/>
    <xf numFmtId="2" fontId="4" fillId="0" borderId="0" xfId="2" applyNumberFormat="1" applyFont="1" applyBorder="1" applyAlignment="1"/>
    <xf numFmtId="2" fontId="4" fillId="0" borderId="6" xfId="2" applyNumberFormat="1" applyFont="1" applyBorder="1" applyAlignment="1"/>
    <xf numFmtId="0" fontId="14" fillId="0" borderId="5" xfId="5" applyNumberFormat="1" applyFont="1" applyBorder="1"/>
    <xf numFmtId="164" fontId="22" fillId="0" borderId="0" xfId="1" applyNumberFormat="1" applyFont="1" applyAlignment="1">
      <alignment horizontal="right" vertical="top" wrapText="1"/>
    </xf>
    <xf numFmtId="2" fontId="8" fillId="0" borderId="5" xfId="1" applyNumberFormat="1" applyFont="1" applyBorder="1" applyAlignment="1">
      <alignment horizontal="right" vertical="top"/>
    </xf>
    <xf numFmtId="2" fontId="8" fillId="0" borderId="0" xfId="1" applyNumberFormat="1" applyFont="1" applyAlignment="1">
      <alignment horizontal="right" vertical="top"/>
    </xf>
    <xf numFmtId="2" fontId="8" fillId="0" borderId="6" xfId="1" applyNumberFormat="1" applyFont="1" applyBorder="1" applyAlignment="1">
      <alignment horizontal="right" vertical="top"/>
    </xf>
    <xf numFmtId="167" fontId="23" fillId="0" borderId="7" xfId="1" applyNumberFormat="1" applyFont="1" applyBorder="1" applyAlignment="1">
      <alignment horizontal="right" wrapText="1"/>
    </xf>
    <xf numFmtId="167" fontId="23" fillId="0" borderId="4" xfId="1" applyNumberFormat="1" applyFont="1" applyBorder="1" applyAlignment="1">
      <alignment horizontal="right" wrapText="1"/>
    </xf>
    <xf numFmtId="167" fontId="23" fillId="0" borderId="8" xfId="1" applyNumberFormat="1" applyFont="1" applyBorder="1" applyAlignment="1">
      <alignment horizontal="right" wrapText="1"/>
    </xf>
    <xf numFmtId="0" fontId="23" fillId="0" borderId="8" xfId="1" applyFont="1" applyBorder="1" applyAlignment="1">
      <alignment horizontal="right" wrapText="1"/>
    </xf>
    <xf numFmtId="0" fontId="3" fillId="0" borderId="7" xfId="1" applyBorder="1"/>
    <xf numFmtId="0" fontId="4" fillId="0" borderId="5" xfId="1" applyFont="1" applyBorder="1"/>
    <xf numFmtId="176" fontId="17" fillId="2" borderId="5" xfId="1" applyNumberFormat="1" applyFont="1" applyFill="1" applyBorder="1" applyAlignment="1">
      <alignment horizontal="center" vertical="center"/>
    </xf>
    <xf numFmtId="176" fontId="17" fillId="2" borderId="0" xfId="1" applyNumberFormat="1" applyFont="1" applyFill="1" applyAlignment="1">
      <alignment horizontal="center" vertical="center"/>
    </xf>
    <xf numFmtId="176" fontId="17" fillId="2" borderId="6" xfId="1" applyNumberFormat="1" applyFont="1" applyFill="1" applyBorder="1" applyAlignment="1">
      <alignment horizontal="center" vertical="center"/>
    </xf>
    <xf numFmtId="0" fontId="24" fillId="2" borderId="5" xfId="1" applyFont="1" applyFill="1" applyBorder="1" applyAlignment="1">
      <alignment horizontal="left" vertical="center"/>
    </xf>
    <xf numFmtId="0" fontId="24" fillId="2" borderId="7" xfId="1" applyFont="1" applyFill="1" applyBorder="1" applyAlignment="1">
      <alignment horizontal="center" vertical="center"/>
    </xf>
    <xf numFmtId="0" fontId="24" fillId="2" borderId="4" xfId="1" applyFont="1" applyFill="1" applyBorder="1" applyAlignment="1">
      <alignment horizontal="center" vertical="center"/>
    </xf>
    <xf numFmtId="0" fontId="24" fillId="2" borderId="8" xfId="1" applyFont="1" applyFill="1" applyBorder="1" applyAlignment="1">
      <alignment horizontal="center" vertical="center"/>
    </xf>
    <xf numFmtId="0" fontId="25" fillId="2" borderId="7" xfId="1" applyFont="1" applyFill="1" applyBorder="1" applyAlignment="1">
      <alignment vertical="top"/>
    </xf>
    <xf numFmtId="0" fontId="25" fillId="2" borderId="5" xfId="1" applyFont="1" applyFill="1" applyBorder="1" applyAlignment="1">
      <alignment vertical="top"/>
    </xf>
    <xf numFmtId="0" fontId="17" fillId="0" borderId="0" xfId="6" applyFont="1"/>
    <xf numFmtId="182" fontId="24" fillId="0" borderId="0" xfId="7" applyNumberFormat="1" applyFont="1"/>
    <xf numFmtId="0" fontId="24" fillId="0" borderId="0" xfId="6" applyFont="1"/>
    <xf numFmtId="9" fontId="17" fillId="0" borderId="0" xfId="8" applyFont="1"/>
    <xf numFmtId="182" fontId="17" fillId="0" borderId="0" xfId="7" applyNumberFormat="1" applyFont="1"/>
    <xf numFmtId="9" fontId="17" fillId="0" borderId="0" xfId="6" applyNumberFormat="1" applyFont="1"/>
    <xf numFmtId="0" fontId="1" fillId="0" borderId="0" xfId="9"/>
    <xf numFmtId="0" fontId="27" fillId="0" borderId="0" xfId="9" applyFont="1"/>
    <xf numFmtId="0" fontId="1" fillId="0" borderId="0" xfId="9" applyAlignment="1">
      <alignment vertical="top" wrapText="1"/>
    </xf>
    <xf numFmtId="183" fontId="1" fillId="0" borderId="0" xfId="9" applyNumberFormat="1"/>
    <xf numFmtId="0" fontId="1" fillId="0" borderId="0" xfId="9" applyAlignment="1">
      <alignment horizontal="left" vertical="top"/>
    </xf>
    <xf numFmtId="0" fontId="1" fillId="0" borderId="0" xfId="9" applyAlignment="1">
      <alignment vertical="top"/>
    </xf>
    <xf numFmtId="10" fontId="0" fillId="0" borderId="0" xfId="0" applyNumberFormat="1"/>
    <xf numFmtId="0" fontId="0" fillId="0" borderId="0" xfId="0" applyAlignment="1">
      <alignment horizontal="right"/>
    </xf>
    <xf numFmtId="176" fontId="0" fillId="0" borderId="0" xfId="0" applyNumberFormat="1"/>
    <xf numFmtId="0" fontId="2" fillId="0" borderId="0" xfId="0" applyFont="1" applyAlignment="1">
      <alignment horizontal="right"/>
    </xf>
    <xf numFmtId="2" fontId="0" fillId="0" borderId="0" xfId="0" applyNumberFormat="1"/>
    <xf numFmtId="0" fontId="2" fillId="0" borderId="0" xfId="0" applyFont="1" applyAlignment="1">
      <alignment horizontal="left"/>
    </xf>
    <xf numFmtId="164" fontId="0" fillId="0" borderId="0" xfId="0" applyNumberFormat="1"/>
    <xf numFmtId="166" fontId="8" fillId="0" borderId="0" xfId="0" applyNumberFormat="1" applyFont="1" applyAlignment="1">
      <alignment horizontal="right" vertical="center" wrapText="1"/>
    </xf>
    <xf numFmtId="0" fontId="2" fillId="0" borderId="0" xfId="0" applyFont="1"/>
    <xf numFmtId="167" fontId="6" fillId="0" borderId="0" xfId="0" applyNumberFormat="1" applyFont="1" applyAlignment="1">
      <alignment horizontal="right" vertical="center" wrapText="1"/>
    </xf>
    <xf numFmtId="0" fontId="4" fillId="0" borderId="0" xfId="0" applyFont="1" applyAlignment="1">
      <alignment vertical="center"/>
    </xf>
    <xf numFmtId="0" fontId="6" fillId="0" borderId="0" xfId="0" applyFont="1" applyAlignment="1">
      <alignment horizontal="right" vertical="center" wrapText="1"/>
    </xf>
    <xf numFmtId="0" fontId="1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184" fontId="0" fillId="0" borderId="0" xfId="0" applyNumberFormat="1"/>
    <xf numFmtId="0" fontId="4" fillId="0" borderId="0" xfId="0" applyFont="1"/>
    <xf numFmtId="164" fontId="8" fillId="0" borderId="0" xfId="0" applyNumberFormat="1" applyFont="1" applyAlignment="1">
      <alignment horizontal="right" vertical="center" wrapText="1"/>
    </xf>
    <xf numFmtId="10" fontId="4" fillId="0" borderId="0" xfId="0" applyNumberFormat="1" applyFont="1" applyAlignment="1">
      <alignment vertical="center"/>
    </xf>
    <xf numFmtId="184" fontId="4" fillId="0" borderId="0" xfId="0" applyNumberFormat="1" applyFont="1"/>
    <xf numFmtId="178" fontId="4" fillId="0" borderId="0" xfId="0" applyNumberFormat="1" applyFont="1"/>
    <xf numFmtId="164" fontId="8" fillId="0" borderId="1" xfId="0" applyNumberFormat="1" applyFont="1" applyBorder="1" applyAlignment="1">
      <alignment horizontal="right" vertical="center" wrapText="1"/>
    </xf>
    <xf numFmtId="164" fontId="5" fillId="0" borderId="0" xfId="0" applyNumberFormat="1" applyFont="1" applyAlignment="1">
      <alignment horizontal="right" vertical="center" wrapText="1"/>
    </xf>
    <xf numFmtId="0" fontId="6"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7" fillId="0" borderId="0" xfId="0" applyFont="1" applyAlignment="1">
      <alignment horizontal="left" vertical="center" wrapText="1"/>
    </xf>
    <xf numFmtId="164" fontId="9" fillId="0" borderId="0" xfId="0" applyNumberFormat="1" applyFont="1" applyAlignment="1">
      <alignment horizontal="right" vertical="center" wrapText="1"/>
    </xf>
    <xf numFmtId="164" fontId="7" fillId="0" borderId="0" xfId="0" applyNumberFormat="1" applyFont="1" applyAlignment="1">
      <alignment horizontal="right" vertical="center" wrapText="1"/>
    </xf>
    <xf numFmtId="164" fontId="10" fillId="0" borderId="0" xfId="0" applyNumberFormat="1" applyFont="1" applyAlignment="1">
      <alignment horizontal="right" vertical="center" wrapText="1"/>
    </xf>
    <xf numFmtId="164" fontId="10" fillId="0" borderId="1" xfId="0" applyNumberFormat="1" applyFont="1" applyBorder="1" applyAlignment="1">
      <alignment horizontal="right" vertical="center" wrapText="1"/>
    </xf>
    <xf numFmtId="164" fontId="4" fillId="0" borderId="0" xfId="0" applyNumberFormat="1" applyFont="1" applyAlignment="1">
      <alignment vertical="center"/>
    </xf>
    <xf numFmtId="164" fontId="11" fillId="0" borderId="0" xfId="0" applyNumberFormat="1" applyFont="1" applyAlignment="1">
      <alignment vertical="center"/>
    </xf>
    <xf numFmtId="165" fontId="7" fillId="0" borderId="0" xfId="0" applyNumberFormat="1" applyFont="1" applyAlignment="1">
      <alignment horizontal="left" vertical="center"/>
    </xf>
    <xf numFmtId="164" fontId="6" fillId="0" borderId="0" xfId="0" applyNumberFormat="1" applyFont="1" applyAlignment="1">
      <alignment horizontal="right" vertical="center" wrapText="1"/>
    </xf>
    <xf numFmtId="164" fontId="5" fillId="0" borderId="1" xfId="0" applyNumberFormat="1" applyFont="1" applyBorder="1" applyAlignment="1">
      <alignment horizontal="right" vertical="center" wrapText="1"/>
    </xf>
    <xf numFmtId="166" fontId="7" fillId="0" borderId="0" xfId="0" applyNumberFormat="1" applyFont="1" applyAlignment="1">
      <alignment horizontal="right" vertical="center" wrapText="1"/>
    </xf>
    <xf numFmtId="164" fontId="12" fillId="0" borderId="1" xfId="0" applyNumberFormat="1" applyFont="1" applyBorder="1" applyAlignment="1">
      <alignment horizontal="right" vertical="center" wrapText="1"/>
    </xf>
    <xf numFmtId="0" fontId="11" fillId="0" borderId="0" xfId="0" applyFont="1" applyAlignment="1">
      <alignment vertical="center"/>
    </xf>
    <xf numFmtId="164" fontId="12" fillId="0" borderId="2" xfId="0" applyNumberFormat="1" applyFont="1" applyBorder="1" applyAlignment="1">
      <alignment horizontal="right" vertical="center" wrapText="1"/>
    </xf>
    <xf numFmtId="0" fontId="12" fillId="0" borderId="0" xfId="0" applyFont="1" applyAlignment="1">
      <alignment horizontal="left" vertical="center" wrapText="1"/>
    </xf>
    <xf numFmtId="164" fontId="11" fillId="0" borderId="0" xfId="0" applyNumberFormat="1" applyFont="1" applyAlignment="1">
      <alignment horizontal="right" vertical="center" wrapText="1"/>
    </xf>
    <xf numFmtId="0" fontId="11" fillId="0" borderId="0" xfId="0" applyFont="1" applyAlignment="1">
      <alignment horizontal="left" vertical="center" wrapText="1"/>
    </xf>
    <xf numFmtId="0" fontId="4" fillId="0" borderId="0" xfId="0" applyFont="1" applyAlignment="1">
      <alignment vertical="center" wrapText="1"/>
    </xf>
    <xf numFmtId="164" fontId="5" fillId="0" borderId="1" xfId="0" applyNumberFormat="1" applyFont="1" applyBorder="1" applyAlignment="1">
      <alignment horizontal="right" vertical="top" wrapText="1"/>
    </xf>
    <xf numFmtId="164" fontId="5" fillId="0" borderId="0" xfId="0" applyNumberFormat="1" applyFont="1" applyAlignment="1">
      <alignment horizontal="right" vertical="top" wrapText="1"/>
    </xf>
    <xf numFmtId="0" fontId="10" fillId="0" borderId="0" xfId="0" applyFont="1" applyAlignment="1">
      <alignment horizontal="left" vertical="top"/>
    </xf>
    <xf numFmtId="164" fontId="8" fillId="0" borderId="0" xfId="0" applyNumberFormat="1" applyFont="1" applyAlignment="1">
      <alignment horizontal="right" vertical="top" wrapText="1"/>
    </xf>
    <xf numFmtId="0" fontId="8" fillId="0" borderId="0" xfId="0" applyFont="1" applyAlignment="1">
      <alignment horizontal="left" vertical="top"/>
    </xf>
    <xf numFmtId="164" fontId="10" fillId="0" borderId="1" xfId="0" applyNumberFormat="1" applyFont="1" applyBorder="1" applyAlignment="1">
      <alignment horizontal="right" vertical="top" wrapText="1"/>
    </xf>
    <xf numFmtId="164" fontId="10" fillId="0" borderId="0" xfId="0" applyNumberFormat="1" applyFont="1" applyAlignment="1">
      <alignment horizontal="right" vertical="top" wrapText="1"/>
    </xf>
    <xf numFmtId="164" fontId="8" fillId="0" borderId="0" xfId="0" applyNumberFormat="1" applyFont="1" applyAlignment="1">
      <alignment horizontal="left" vertical="top"/>
    </xf>
    <xf numFmtId="0" fontId="15" fillId="0" borderId="0" xfId="0" applyFont="1" applyAlignment="1">
      <alignment horizontal="right" wrapText="1"/>
    </xf>
    <xf numFmtId="167" fontId="6" fillId="0" borderId="0" xfId="0" applyNumberFormat="1" applyFont="1" applyAlignment="1">
      <alignment horizontal="right" wrapText="1"/>
    </xf>
    <xf numFmtId="0" fontId="6" fillId="0" borderId="0" xfId="0" applyFont="1" applyAlignment="1">
      <alignment horizontal="right" wrapText="1"/>
    </xf>
    <xf numFmtId="168" fontId="8" fillId="0" borderId="0" xfId="0" applyNumberFormat="1" applyFont="1" applyAlignment="1">
      <alignment horizontal="right" vertical="center" wrapText="1"/>
    </xf>
    <xf numFmtId="0" fontId="10" fillId="0" borderId="0" xfId="0" applyFont="1" applyAlignment="1">
      <alignment horizontal="left" vertical="center"/>
    </xf>
    <xf numFmtId="0" fontId="5" fillId="0" borderId="1" xfId="0" applyFont="1" applyBorder="1" applyAlignment="1">
      <alignment horizontal="right" vertical="center" wrapText="1"/>
    </xf>
    <xf numFmtId="169" fontId="10" fillId="0" borderId="1" xfId="0" applyNumberFormat="1" applyFont="1" applyBorder="1" applyAlignment="1">
      <alignment horizontal="right" vertical="center" wrapText="1"/>
    </xf>
    <xf numFmtId="169" fontId="10" fillId="0" borderId="0" xfId="0" applyNumberFormat="1" applyFont="1" applyAlignment="1">
      <alignment horizontal="right" vertical="center" wrapText="1"/>
    </xf>
    <xf numFmtId="166" fontId="4" fillId="0" borderId="0" xfId="0" applyNumberFormat="1" applyFont="1" applyAlignment="1">
      <alignment vertical="center"/>
    </xf>
    <xf numFmtId="170" fontId="8" fillId="0" borderId="0" xfId="0" applyNumberFormat="1" applyFont="1" applyAlignment="1">
      <alignment horizontal="right" vertical="center" wrapText="1"/>
    </xf>
    <xf numFmtId="166" fontId="8" fillId="0" borderId="0" xfId="0" applyNumberFormat="1" applyFont="1" applyAlignment="1">
      <alignment horizontal="left" vertical="center"/>
    </xf>
    <xf numFmtId="171" fontId="11" fillId="0" borderId="0" xfId="0" applyNumberFormat="1" applyFont="1" applyAlignment="1">
      <alignment horizontal="right" vertical="center" wrapText="1"/>
    </xf>
    <xf numFmtId="0" fontId="11" fillId="0" borderId="0" xfId="0" applyFont="1" applyAlignment="1">
      <alignment horizontal="right" vertical="center" wrapText="1"/>
    </xf>
    <xf numFmtId="0" fontId="11" fillId="0" borderId="0" xfId="0" applyFont="1" applyAlignment="1">
      <alignment horizontal="left" vertical="center"/>
    </xf>
    <xf numFmtId="164" fontId="8" fillId="0" borderId="0" xfId="0" applyNumberFormat="1" applyFont="1" applyAlignment="1">
      <alignment horizontal="left" vertical="center"/>
    </xf>
    <xf numFmtId="164" fontId="10" fillId="0" borderId="3" xfId="0" applyNumberFormat="1" applyFont="1" applyBorder="1" applyAlignment="1">
      <alignment horizontal="right" vertical="center" wrapText="1"/>
    </xf>
    <xf numFmtId="166" fontId="11" fillId="0" borderId="0" xfId="0" applyNumberFormat="1" applyFont="1" applyAlignment="1">
      <alignment horizontal="right" vertical="center" wrapText="1"/>
    </xf>
    <xf numFmtId="166" fontId="11" fillId="0" borderId="0" xfId="0" applyNumberFormat="1" applyFont="1" applyAlignment="1">
      <alignment vertical="center"/>
    </xf>
    <xf numFmtId="0" fontId="15" fillId="0" borderId="0" xfId="0" applyFont="1" applyAlignment="1">
      <alignment horizontal="right" vertical="center" wrapText="1"/>
    </xf>
    <xf numFmtId="0" fontId="14" fillId="0" borderId="0" xfId="0" applyFont="1"/>
    <xf numFmtId="0" fontId="28" fillId="0" borderId="0" xfId="9" applyFont="1" applyAlignment="1">
      <alignment vertical="top" wrapText="1"/>
    </xf>
    <xf numFmtId="0" fontId="27" fillId="0" borderId="0" xfId="9" applyFont="1"/>
    <xf numFmtId="0" fontId="1" fillId="0" borderId="0" xfId="9"/>
    <xf numFmtId="0" fontId="14" fillId="0" borderId="0" xfId="1" applyFont="1" applyAlignment="1">
      <alignment horizontal="center" vertical="center"/>
    </xf>
    <xf numFmtId="0" fontId="14" fillId="0" borderId="0" xfId="1" applyFont="1" applyAlignment="1">
      <alignment vertical="center"/>
    </xf>
    <xf numFmtId="0" fontId="24" fillId="2" borderId="0" xfId="1" applyFont="1" applyFill="1" applyAlignment="1">
      <alignment horizontal="center" vertical="center"/>
    </xf>
    <xf numFmtId="0" fontId="24" fillId="2" borderId="5" xfId="1" applyFont="1" applyFill="1" applyBorder="1" applyAlignment="1">
      <alignment horizontal="center" vertical="center"/>
    </xf>
    <xf numFmtId="0" fontId="24" fillId="2" borderId="6" xfId="1" applyFont="1" applyFill="1" applyBorder="1" applyAlignment="1">
      <alignment horizontal="center" vertical="center"/>
    </xf>
    <xf numFmtId="0" fontId="14" fillId="0" borderId="6" xfId="1" applyFont="1" applyBorder="1" applyAlignment="1">
      <alignment horizontal="center"/>
    </xf>
    <xf numFmtId="0" fontId="14" fillId="0" borderId="0" xfId="1" applyFont="1" applyAlignment="1">
      <alignment horizontal="center"/>
    </xf>
    <xf numFmtId="0" fontId="14" fillId="0" borderId="5" xfId="1" applyFont="1" applyBorder="1" applyAlignment="1">
      <alignment horizontal="center"/>
    </xf>
    <xf numFmtId="0" fontId="14" fillId="0" borderId="0" xfId="0" applyFont="1" applyAlignment="1">
      <alignment horizontal="center" vertical="center"/>
    </xf>
    <xf numFmtId="0" fontId="14" fillId="0" borderId="0" xfId="0" applyFont="1" applyAlignment="1">
      <alignment vertical="center"/>
    </xf>
  </cellXfs>
  <cellStyles count="10">
    <cellStyle name="Comma 2" xfId="7" xr:uid="{7F0EA39D-EB89-41DD-90D0-8DC104E23C52}"/>
    <cellStyle name="Normal" xfId="0" builtinId="0"/>
    <cellStyle name="Normal 2" xfId="1" xr:uid="{702B3130-BD23-44E1-814E-2A4FA54C16B4}"/>
    <cellStyle name="Normal 2 2" xfId="6" xr:uid="{4EAFCF1F-1B79-4C92-867D-EE65E08AEF9C}"/>
    <cellStyle name="Normal 3" xfId="4" xr:uid="{6C238AC5-FE6D-45A6-9B65-62240463F984}"/>
    <cellStyle name="Normal 3 2" xfId="9" xr:uid="{6F1ECEC2-8C1B-4D5E-BEC1-34CC355CB7B0}"/>
    <cellStyle name="Percent 2" xfId="8" xr:uid="{9765DADB-4005-4983-90DD-6558C802B771}"/>
    <cellStyle name="Percentagem 2" xfId="2" xr:uid="{D978A5C2-7C70-4C7C-BDD6-DC7A2EF0E03C}"/>
    <cellStyle name="Vírgula 2" xfId="3" xr:uid="{C564E169-E334-4276-9FEF-A2645C1C8016}"/>
    <cellStyle name="Vírgula 3" xfId="5" xr:uid="{1438897E-28CF-40B9-8217-0D33159A30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Disney Segmented</a:t>
            </a:r>
            <a:r>
              <a:rPr lang="en-US" baseline="0">
                <a:latin typeface="Arial" panose="020B0604020202020204" pitchFamily="34" charset="0"/>
                <a:cs typeface="Arial" panose="020B0604020202020204" pitchFamily="34" charset="0"/>
              </a:rPr>
              <a:t> Revenue, 2019</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63-4B71-BC76-2315FAD290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63-4B71-BC76-2315FAD290F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63-4B71-BC76-2315FAD290F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63-4B71-BC76-2315FAD290F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63-4B71-BC76-2315FAD290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PT"/>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Segments!$A$2:$A$6</c:f>
              <c:strCache>
                <c:ptCount val="5"/>
                <c:pt idx="0">
                  <c:v>Media Networks</c:v>
                </c:pt>
                <c:pt idx="1">
                  <c:v>Parks and Resorts</c:v>
                </c:pt>
                <c:pt idx="2">
                  <c:v>Studio Entertainment</c:v>
                </c:pt>
                <c:pt idx="3">
                  <c:v>Direct-to-Consumer &amp; International</c:v>
                </c:pt>
                <c:pt idx="4">
                  <c:v>Eliminations</c:v>
                </c:pt>
              </c:strCache>
            </c:strRef>
          </c:cat>
          <c:val>
            <c:numRef>
              <c:f>Segments!$B$2:$B$6</c:f>
              <c:numCache>
                <c:formatCode>_(* #\ ##0_);_(* \(#\ ##0\);_(* "-"??_);_(@_)</c:formatCode>
                <c:ptCount val="5"/>
                <c:pt idx="0">
                  <c:v>24827</c:v>
                </c:pt>
                <c:pt idx="1">
                  <c:v>26225</c:v>
                </c:pt>
                <c:pt idx="2">
                  <c:v>11127</c:v>
                </c:pt>
                <c:pt idx="3">
                  <c:v>9349</c:v>
                </c:pt>
                <c:pt idx="4">
                  <c:v>-1957</c:v>
                </c:pt>
              </c:numCache>
            </c:numRef>
          </c:val>
          <c:extLst>
            <c:ext xmlns:c16="http://schemas.microsoft.com/office/drawing/2014/chart" uri="{C3380CC4-5D6E-409C-BE32-E72D297353CC}">
              <c16:uniqueId val="{0000000A-2663-4B71-BC76-2315FAD290F2}"/>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2663-4B71-BC76-2315FAD290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2663-4B71-BC76-2315FAD290F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2663-4B71-BC76-2315FAD290F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2663-4B71-BC76-2315FAD290F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2663-4B71-BC76-2315FAD290F2}"/>
              </c:ext>
            </c:extLst>
          </c:dPt>
          <c:cat>
            <c:strRef>
              <c:f>Segments!$A$2:$A$6</c:f>
              <c:strCache>
                <c:ptCount val="5"/>
                <c:pt idx="0">
                  <c:v>Media Networks</c:v>
                </c:pt>
                <c:pt idx="1">
                  <c:v>Parks and Resorts</c:v>
                </c:pt>
                <c:pt idx="2">
                  <c:v>Studio Entertainment</c:v>
                </c:pt>
                <c:pt idx="3">
                  <c:v>Direct-to-Consumer &amp; International</c:v>
                </c:pt>
                <c:pt idx="4">
                  <c:v>Eliminations</c:v>
                </c:pt>
              </c:strCache>
            </c:strRef>
          </c:cat>
          <c:val>
            <c:numRef>
              <c:f>Segments!$C$2:$C$6</c:f>
              <c:numCache>
                <c:formatCode>0%</c:formatCode>
                <c:ptCount val="5"/>
                <c:pt idx="0">
                  <c:v>0.35685846114041769</c:v>
                </c:pt>
                <c:pt idx="1">
                  <c:v>0.37695304077848529</c:v>
                </c:pt>
                <c:pt idx="2">
                  <c:v>0.15993733020942635</c:v>
                </c:pt>
                <c:pt idx="3">
                  <c:v>0.13438070460392978</c:v>
                </c:pt>
                <c:pt idx="4">
                  <c:v>-2.8129536732259132E-2</c:v>
                </c:pt>
              </c:numCache>
            </c:numRef>
          </c:val>
          <c:extLst>
            <c:ext xmlns:c16="http://schemas.microsoft.com/office/drawing/2014/chart" uri="{C3380CC4-5D6E-409C-BE32-E72D297353CC}">
              <c16:uniqueId val="{00000015-2663-4B71-BC76-2315FAD290F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Disney Segmented Operating</a:t>
            </a:r>
            <a:r>
              <a:rPr lang="en-US" baseline="0">
                <a:latin typeface="Arial" panose="020B0604020202020204" pitchFamily="34" charset="0"/>
                <a:cs typeface="Arial" panose="020B0604020202020204" pitchFamily="34" charset="0"/>
              </a:rPr>
              <a:t> Income, 2019</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D0-4398-B7F7-CD76DDB9A1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D0-4398-B7F7-CD76DDB9A1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BD0-4398-B7F7-CD76DDB9A1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BD0-4398-B7F7-CD76DDB9A1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BD0-4398-B7F7-CD76DDB9A1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PT"/>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Segments!$A$9:$A$13</c:f>
              <c:strCache>
                <c:ptCount val="5"/>
                <c:pt idx="0">
                  <c:v>Media Networks</c:v>
                </c:pt>
                <c:pt idx="1">
                  <c:v>Parks and Resorts</c:v>
                </c:pt>
                <c:pt idx="2">
                  <c:v>Studio Entertainment</c:v>
                </c:pt>
                <c:pt idx="3">
                  <c:v>Direct-to-Consumer &amp; International</c:v>
                </c:pt>
                <c:pt idx="4">
                  <c:v>Eliminations</c:v>
                </c:pt>
              </c:strCache>
            </c:strRef>
          </c:cat>
          <c:val>
            <c:numRef>
              <c:f>Segments!$B$9:$B$13</c:f>
              <c:numCache>
                <c:formatCode>_(* #\ ##0_);_(* \(#\ ##0\);_(* "-"??_);_(@_)</c:formatCode>
                <c:ptCount val="5"/>
                <c:pt idx="0">
                  <c:v>7479</c:v>
                </c:pt>
                <c:pt idx="1">
                  <c:v>6758</c:v>
                </c:pt>
                <c:pt idx="2">
                  <c:v>2686</c:v>
                </c:pt>
                <c:pt idx="3">
                  <c:v>-1814</c:v>
                </c:pt>
                <c:pt idx="4">
                  <c:v>-241</c:v>
                </c:pt>
              </c:numCache>
            </c:numRef>
          </c:val>
          <c:extLst>
            <c:ext xmlns:c16="http://schemas.microsoft.com/office/drawing/2014/chart" uri="{C3380CC4-5D6E-409C-BE32-E72D297353CC}">
              <c16:uniqueId val="{0000000A-FBD0-4398-B7F7-CD76DDB9A1E9}"/>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FBD0-4398-B7F7-CD76DDB9A1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FBD0-4398-B7F7-CD76DDB9A1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FBD0-4398-B7F7-CD76DDB9A1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FBD0-4398-B7F7-CD76DDB9A1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FBD0-4398-B7F7-CD76DDB9A1E9}"/>
              </c:ext>
            </c:extLst>
          </c:dPt>
          <c:cat>
            <c:strRef>
              <c:f>Segments!$A$9:$A$13</c:f>
              <c:strCache>
                <c:ptCount val="5"/>
                <c:pt idx="0">
                  <c:v>Media Networks</c:v>
                </c:pt>
                <c:pt idx="1">
                  <c:v>Parks and Resorts</c:v>
                </c:pt>
                <c:pt idx="2">
                  <c:v>Studio Entertainment</c:v>
                </c:pt>
                <c:pt idx="3">
                  <c:v>Direct-to-Consumer &amp; International</c:v>
                </c:pt>
                <c:pt idx="4">
                  <c:v>Eliminations</c:v>
                </c:pt>
              </c:strCache>
            </c:strRef>
          </c:cat>
          <c:val>
            <c:numRef>
              <c:f>Segments!$C$9:$C$13</c:f>
              <c:numCache>
                <c:formatCode>0%</c:formatCode>
                <c:ptCount val="5"/>
                <c:pt idx="0">
                  <c:v>0.50302663438256656</c:v>
                </c:pt>
                <c:pt idx="1">
                  <c:v>0.45453322571966642</c:v>
                </c:pt>
                <c:pt idx="2">
                  <c:v>0.18065644336830777</c:v>
                </c:pt>
                <c:pt idx="3">
                  <c:v>-0.12200699488835082</c:v>
                </c:pt>
                <c:pt idx="4">
                  <c:v>-1.6209308582189937E-2</c:v>
                </c:pt>
              </c:numCache>
            </c:numRef>
          </c:val>
          <c:extLst>
            <c:ext xmlns:c16="http://schemas.microsoft.com/office/drawing/2014/chart" uri="{C3380CC4-5D6E-409C-BE32-E72D297353CC}">
              <c16:uniqueId val="{00000015-FBD0-4398-B7F7-CD76DDB9A1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219075</xdr:colOff>
      <xdr:row>0</xdr:row>
      <xdr:rowOff>276225</xdr:rowOff>
    </xdr:from>
    <xdr:ext cx="4721629" cy="993371"/>
    <xdr:pic>
      <xdr:nvPicPr>
        <xdr:cNvPr id="2" name="Picture 1">
          <a:extLst>
            <a:ext uri="{FF2B5EF4-FFF2-40B4-BE49-F238E27FC236}">
              <a16:creationId xmlns:a16="http://schemas.microsoft.com/office/drawing/2014/main" id="{625B66D3-1EA6-40C7-B3CD-D4B6FC72FD3C}"/>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190500"/>
          <a:ext cx="47216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63500</xdr:rowOff>
    </xdr:from>
    <xdr:ext cx="10515600" cy="4772025"/>
    <xdr:pic>
      <xdr:nvPicPr>
        <xdr:cNvPr id="2" name="Picture 1">
          <a:extLst>
            <a:ext uri="{FF2B5EF4-FFF2-40B4-BE49-F238E27FC236}">
              <a16:creationId xmlns:a16="http://schemas.microsoft.com/office/drawing/2014/main" id="{A278EABB-3E34-4303-9097-A2C4A1E84227}"/>
            </a:ext>
          </a:extLst>
        </xdr:cNvPr>
        <xdr:cNvPicPr>
          <a:picLocks noChangeAspect="1"/>
        </xdr:cNvPicPr>
      </xdr:nvPicPr>
      <xdr:blipFill>
        <a:blip xmlns:r="http://schemas.openxmlformats.org/officeDocument/2006/relationships" r:embed="rId1"/>
        <a:stretch>
          <a:fillRect/>
        </a:stretch>
      </xdr:blipFill>
      <xdr:spPr>
        <a:xfrm>
          <a:off x="0" y="63500"/>
          <a:ext cx="10515600" cy="47720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5</xdr:col>
      <xdr:colOff>47625</xdr:colOff>
      <xdr:row>1</xdr:row>
      <xdr:rowOff>38100</xdr:rowOff>
    </xdr:from>
    <xdr:to>
      <xdr:col>11</xdr:col>
      <xdr:colOff>196850</xdr:colOff>
      <xdr:row>17</xdr:row>
      <xdr:rowOff>38100</xdr:rowOff>
    </xdr:to>
    <xdr:graphicFrame macro="">
      <xdr:nvGraphicFramePr>
        <xdr:cNvPr id="2" name="Chart 1">
          <a:extLst>
            <a:ext uri="{FF2B5EF4-FFF2-40B4-BE49-F238E27FC236}">
              <a16:creationId xmlns:a16="http://schemas.microsoft.com/office/drawing/2014/main" id="{7ABC0181-D7A8-4B19-A99A-E47A93A1C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19</xdr:row>
      <xdr:rowOff>0</xdr:rowOff>
    </xdr:from>
    <xdr:to>
      <xdr:col>11</xdr:col>
      <xdr:colOff>257175</xdr:colOff>
      <xdr:row>34</xdr:row>
      <xdr:rowOff>85725</xdr:rowOff>
    </xdr:to>
    <xdr:graphicFrame macro="">
      <xdr:nvGraphicFramePr>
        <xdr:cNvPr id="3" name="Chart 2">
          <a:extLst>
            <a:ext uri="{FF2B5EF4-FFF2-40B4-BE49-F238E27FC236}">
              <a16:creationId xmlns:a16="http://schemas.microsoft.com/office/drawing/2014/main" id="{0F5CBD89-9AE4-435C-923D-D35DDA342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F80-BD62-4643-AA99-EECD65946B39}">
  <dimension ref="A1:G12"/>
  <sheetViews>
    <sheetView showGridLines="0" workbookViewId="0">
      <selection activeCell="B8" sqref="B8"/>
    </sheetView>
  </sheetViews>
  <sheetFormatPr defaultColWidth="9.140625" defaultRowHeight="15" x14ac:dyDescent="0.25"/>
  <cols>
    <col min="1" max="1" width="20" style="139" customWidth="1"/>
    <col min="2" max="2" width="58.7109375" style="139" customWidth="1"/>
    <col min="3" max="16384" width="9.140625" style="139"/>
  </cols>
  <sheetData>
    <row r="1" spans="1:7" ht="106.5" customHeight="1" x14ac:dyDescent="0.25">
      <c r="A1" s="219"/>
      <c r="B1" s="219"/>
    </row>
    <row r="3" spans="1:7" x14ac:dyDescent="0.25">
      <c r="A3" s="143" t="s">
        <v>165</v>
      </c>
      <c r="B3" s="144" t="s">
        <v>164</v>
      </c>
    </row>
    <row r="4" spans="1:7" ht="30" x14ac:dyDescent="0.25">
      <c r="A4" s="143" t="s">
        <v>163</v>
      </c>
      <c r="B4" s="141" t="s">
        <v>162</v>
      </c>
    </row>
    <row r="5" spans="1:7" ht="45" x14ac:dyDescent="0.25">
      <c r="A5" s="143"/>
      <c r="B5" s="141" t="s">
        <v>161</v>
      </c>
    </row>
    <row r="6" spans="1:7" x14ac:dyDescent="0.25">
      <c r="A6" s="143" t="s">
        <v>160</v>
      </c>
      <c r="B6" s="141" t="s">
        <v>159</v>
      </c>
    </row>
    <row r="8" spans="1:7" x14ac:dyDescent="0.25">
      <c r="A8" s="140" t="s">
        <v>158</v>
      </c>
      <c r="B8" s="142">
        <v>43879</v>
      </c>
    </row>
    <row r="10" spans="1:7" ht="104.25" customHeight="1" x14ac:dyDescent="0.25">
      <c r="A10" s="217" t="s">
        <v>157</v>
      </c>
      <c r="B10" s="217"/>
      <c r="C10" s="141"/>
      <c r="D10" s="141"/>
      <c r="E10" s="141"/>
      <c r="F10" s="141"/>
      <c r="G10" s="141"/>
    </row>
    <row r="11" spans="1:7" x14ac:dyDescent="0.25">
      <c r="A11" s="140"/>
    </row>
    <row r="12" spans="1:7" x14ac:dyDescent="0.25">
      <c r="A12" s="218" t="s">
        <v>156</v>
      </c>
      <c r="B12" s="219"/>
    </row>
  </sheetData>
  <sheetProtection algorithmName="SHA-512" hashValue="JTmaskoGxxC1vpwZklGFVj3aMw6NVA/CPiOPBQS0fX54RxhqC7eNVvu4ncBb7qJvFcAt1kcYVX0d6SWufsPpIA==" saltValue="g8A0vkVad4DPRNwuebKF7Q==" spinCount="100000" sheet="1" objects="1" scenarios="1"/>
  <mergeCells count="3">
    <mergeCell ref="A10:B10"/>
    <mergeCell ref="A12:B12"/>
    <mergeCell ref="A1:B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87B79-CF6E-4352-874D-F1718029784D}">
  <dimension ref="A1:I6"/>
  <sheetViews>
    <sheetView zoomScale="130" zoomScaleNormal="130" workbookViewId="0">
      <selection activeCell="A21" sqref="A21"/>
    </sheetView>
  </sheetViews>
  <sheetFormatPr defaultColWidth="11.42578125" defaultRowHeight="15" x14ac:dyDescent="0.25"/>
  <cols>
    <col min="1" max="16384" width="11.42578125" style="104"/>
  </cols>
  <sheetData>
    <row r="1" spans="1:9" ht="15.75" x14ac:dyDescent="0.25">
      <c r="A1" s="132"/>
      <c r="B1" s="222" t="s">
        <v>31</v>
      </c>
      <c r="C1" s="223"/>
      <c r="D1" s="224" t="s">
        <v>30</v>
      </c>
      <c r="E1" s="223"/>
      <c r="F1" s="224" t="s">
        <v>29</v>
      </c>
      <c r="G1" s="223"/>
      <c r="H1" s="222" t="s">
        <v>28</v>
      </c>
      <c r="I1" s="223"/>
    </row>
    <row r="2" spans="1:9" ht="15.75" x14ac:dyDescent="0.25">
      <c r="A2" s="131"/>
      <c r="B2" s="129">
        <v>2020</v>
      </c>
      <c r="C2" s="128">
        <v>2021</v>
      </c>
      <c r="D2" s="130">
        <v>2020</v>
      </c>
      <c r="E2" s="128">
        <v>2021</v>
      </c>
      <c r="F2" s="130">
        <v>2020</v>
      </c>
      <c r="G2" s="128">
        <v>2021</v>
      </c>
      <c r="H2" s="129">
        <v>2020</v>
      </c>
      <c r="I2" s="128">
        <v>2021</v>
      </c>
    </row>
    <row r="3" spans="1:9" x14ac:dyDescent="0.25">
      <c r="A3" s="127" t="s">
        <v>119</v>
      </c>
      <c r="B3" s="125">
        <v>0.17499999999999999</v>
      </c>
      <c r="C3" s="124">
        <v>6.0999999999999999E-2</v>
      </c>
      <c r="D3" s="126">
        <v>0.218</v>
      </c>
      <c r="E3" s="124">
        <v>0.19</v>
      </c>
      <c r="F3" s="126">
        <v>5.2999999999999999E-2</v>
      </c>
      <c r="G3" s="124">
        <v>1.4999999999999999E-2</v>
      </c>
      <c r="H3" s="125">
        <v>3.4000000000000002E-2</v>
      </c>
      <c r="I3" s="124">
        <v>2.7E-2</v>
      </c>
    </row>
    <row r="4" spans="1:9" x14ac:dyDescent="0.25">
      <c r="A4" s="127" t="s">
        <v>144</v>
      </c>
      <c r="B4" s="125">
        <v>0.13200000000000001</v>
      </c>
      <c r="C4" s="124">
        <v>7.6999999999999999E-2</v>
      </c>
      <c r="D4" s="126">
        <v>0.45800000000000002</v>
      </c>
      <c r="E4" s="124">
        <v>0.374</v>
      </c>
      <c r="F4" s="126">
        <v>6.7000000000000004E-2</v>
      </c>
      <c r="G4" s="124">
        <v>2.8000000000000001E-2</v>
      </c>
      <c r="H4" s="125">
        <v>6.0000000000000001E-3</v>
      </c>
      <c r="I4" s="124">
        <v>7.0000000000000001E-3</v>
      </c>
    </row>
    <row r="5" spans="1:9" x14ac:dyDescent="0.25">
      <c r="A5" s="127" t="s">
        <v>143</v>
      </c>
      <c r="B5" s="125">
        <v>0.27500000000000002</v>
      </c>
      <c r="C5" s="124">
        <v>0.113</v>
      </c>
      <c r="D5" s="126">
        <v>0.497</v>
      </c>
      <c r="E5" s="124">
        <v>0.39700000000000002</v>
      </c>
      <c r="F5" s="126">
        <v>0.1</v>
      </c>
      <c r="G5" s="124">
        <v>3.2000000000000001E-2</v>
      </c>
      <c r="H5" s="125">
        <v>3.0000000000000001E-3</v>
      </c>
      <c r="I5" s="124">
        <v>1.2E-2</v>
      </c>
    </row>
    <row r="6" spans="1:9" x14ac:dyDescent="0.25">
      <c r="A6" s="127" t="s">
        <v>142</v>
      </c>
      <c r="B6" s="125">
        <v>-0.214</v>
      </c>
      <c r="C6" s="124">
        <v>0.16600000000000001</v>
      </c>
      <c r="D6" s="126">
        <v>0.63300000000000001</v>
      </c>
      <c r="E6" s="124">
        <v>0.53500000000000003</v>
      </c>
      <c r="F6" s="125">
        <v>9.8000000000000004E-2</v>
      </c>
      <c r="G6" s="124">
        <v>5.8999999999999997E-2</v>
      </c>
      <c r="H6" s="125">
        <v>0.106</v>
      </c>
      <c r="I6" s="124">
        <v>5.0999999999999997E-2</v>
      </c>
    </row>
  </sheetData>
  <mergeCells count="4">
    <mergeCell ref="B1:C1"/>
    <mergeCell ref="D1:E1"/>
    <mergeCell ref="F1:G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E6260-9881-4ADD-B9AC-B7216EF0476B}">
  <sheetPr>
    <pageSetUpPr fitToPage="1"/>
  </sheetPr>
  <dimension ref="A1"/>
  <sheetViews>
    <sheetView zoomScaleNormal="100" workbookViewId="0">
      <selection activeCell="F31" sqref="F31"/>
    </sheetView>
  </sheetViews>
  <sheetFormatPr defaultColWidth="8.85546875" defaultRowHeight="12.75" x14ac:dyDescent="0.25"/>
  <cols>
    <col min="1" max="1" width="11.42578125" style="103" bestFit="1" customWidth="1"/>
    <col min="2" max="2" width="46.7109375" style="103" bestFit="1" customWidth="1"/>
    <col min="3" max="3" width="39.140625" style="103" bestFit="1" customWidth="1"/>
    <col min="4" max="4" width="50.140625" style="103" bestFit="1" customWidth="1"/>
    <col min="5" max="5" width="26.140625" style="103" bestFit="1" customWidth="1"/>
    <col min="6" max="6" width="39.42578125" style="103" bestFit="1" customWidth="1"/>
    <col min="7" max="256" width="8.85546875" style="103"/>
    <col min="257" max="257" width="11.42578125" style="103" bestFit="1" customWidth="1"/>
    <col min="258" max="258" width="46.7109375" style="103" bestFit="1" customWidth="1"/>
    <col min="259" max="259" width="39.140625" style="103" bestFit="1" customWidth="1"/>
    <col min="260" max="260" width="50.140625" style="103" bestFit="1" customWidth="1"/>
    <col min="261" max="261" width="26.140625" style="103" bestFit="1" customWidth="1"/>
    <col min="262" max="262" width="39.42578125" style="103" bestFit="1" customWidth="1"/>
    <col min="263" max="512" width="8.85546875" style="103"/>
    <col min="513" max="513" width="11.42578125" style="103" bestFit="1" customWidth="1"/>
    <col min="514" max="514" width="46.7109375" style="103" bestFit="1" customWidth="1"/>
    <col min="515" max="515" width="39.140625" style="103" bestFit="1" customWidth="1"/>
    <col min="516" max="516" width="50.140625" style="103" bestFit="1" customWidth="1"/>
    <col min="517" max="517" width="26.140625" style="103" bestFit="1" customWidth="1"/>
    <col min="518" max="518" width="39.42578125" style="103" bestFit="1" customWidth="1"/>
    <col min="519" max="768" width="8.85546875" style="103"/>
    <col min="769" max="769" width="11.42578125" style="103" bestFit="1" customWidth="1"/>
    <col min="770" max="770" width="46.7109375" style="103" bestFit="1" customWidth="1"/>
    <col min="771" max="771" width="39.140625" style="103" bestFit="1" customWidth="1"/>
    <col min="772" max="772" width="50.140625" style="103" bestFit="1" customWidth="1"/>
    <col min="773" max="773" width="26.140625" style="103" bestFit="1" customWidth="1"/>
    <col min="774" max="774" width="39.42578125" style="103" bestFit="1" customWidth="1"/>
    <col min="775" max="1024" width="8.85546875" style="103"/>
    <col min="1025" max="1025" width="11.42578125" style="103" bestFit="1" customWidth="1"/>
    <col min="1026" max="1026" width="46.7109375" style="103" bestFit="1" customWidth="1"/>
    <col min="1027" max="1027" width="39.140625" style="103" bestFit="1" customWidth="1"/>
    <col min="1028" max="1028" width="50.140625" style="103" bestFit="1" customWidth="1"/>
    <col min="1029" max="1029" width="26.140625" style="103" bestFit="1" customWidth="1"/>
    <col min="1030" max="1030" width="39.42578125" style="103" bestFit="1" customWidth="1"/>
    <col min="1031" max="1280" width="8.85546875" style="103"/>
    <col min="1281" max="1281" width="11.42578125" style="103" bestFit="1" customWidth="1"/>
    <col min="1282" max="1282" width="46.7109375" style="103" bestFit="1" customWidth="1"/>
    <col min="1283" max="1283" width="39.140625" style="103" bestFit="1" customWidth="1"/>
    <col min="1284" max="1284" width="50.140625" style="103" bestFit="1" customWidth="1"/>
    <col min="1285" max="1285" width="26.140625" style="103" bestFit="1" customWidth="1"/>
    <col min="1286" max="1286" width="39.42578125" style="103" bestFit="1" customWidth="1"/>
    <col min="1287" max="1536" width="8.85546875" style="103"/>
    <col min="1537" max="1537" width="11.42578125" style="103" bestFit="1" customWidth="1"/>
    <col min="1538" max="1538" width="46.7109375" style="103" bestFit="1" customWidth="1"/>
    <col min="1539" max="1539" width="39.140625" style="103" bestFit="1" customWidth="1"/>
    <col min="1540" max="1540" width="50.140625" style="103" bestFit="1" customWidth="1"/>
    <col min="1541" max="1541" width="26.140625" style="103" bestFit="1" customWidth="1"/>
    <col min="1542" max="1542" width="39.42578125" style="103" bestFit="1" customWidth="1"/>
    <col min="1543" max="1792" width="8.85546875" style="103"/>
    <col min="1793" max="1793" width="11.42578125" style="103" bestFit="1" customWidth="1"/>
    <col min="1794" max="1794" width="46.7109375" style="103" bestFit="1" customWidth="1"/>
    <col min="1795" max="1795" width="39.140625" style="103" bestFit="1" customWidth="1"/>
    <col min="1796" max="1796" width="50.140625" style="103" bestFit="1" customWidth="1"/>
    <col min="1797" max="1797" width="26.140625" style="103" bestFit="1" customWidth="1"/>
    <col min="1798" max="1798" width="39.42578125" style="103" bestFit="1" customWidth="1"/>
    <col min="1799" max="2048" width="8.85546875" style="103"/>
    <col min="2049" max="2049" width="11.42578125" style="103" bestFit="1" customWidth="1"/>
    <col min="2050" max="2050" width="46.7109375" style="103" bestFit="1" customWidth="1"/>
    <col min="2051" max="2051" width="39.140625" style="103" bestFit="1" customWidth="1"/>
    <col min="2052" max="2052" width="50.140625" style="103" bestFit="1" customWidth="1"/>
    <col min="2053" max="2053" width="26.140625" style="103" bestFit="1" customWidth="1"/>
    <col min="2054" max="2054" width="39.42578125" style="103" bestFit="1" customWidth="1"/>
    <col min="2055" max="2304" width="8.85546875" style="103"/>
    <col min="2305" max="2305" width="11.42578125" style="103" bestFit="1" customWidth="1"/>
    <col min="2306" max="2306" width="46.7109375" style="103" bestFit="1" customWidth="1"/>
    <col min="2307" max="2307" width="39.140625" style="103" bestFit="1" customWidth="1"/>
    <col min="2308" max="2308" width="50.140625" style="103" bestFit="1" customWidth="1"/>
    <col min="2309" max="2309" width="26.140625" style="103" bestFit="1" customWidth="1"/>
    <col min="2310" max="2310" width="39.42578125" style="103" bestFit="1" customWidth="1"/>
    <col min="2311" max="2560" width="8.85546875" style="103"/>
    <col min="2561" max="2561" width="11.42578125" style="103" bestFit="1" customWidth="1"/>
    <col min="2562" max="2562" width="46.7109375" style="103" bestFit="1" customWidth="1"/>
    <col min="2563" max="2563" width="39.140625" style="103" bestFit="1" customWidth="1"/>
    <col min="2564" max="2564" width="50.140625" style="103" bestFit="1" customWidth="1"/>
    <col min="2565" max="2565" width="26.140625" style="103" bestFit="1" customWidth="1"/>
    <col min="2566" max="2566" width="39.42578125" style="103" bestFit="1" customWidth="1"/>
    <col min="2567" max="2816" width="8.85546875" style="103"/>
    <col min="2817" max="2817" width="11.42578125" style="103" bestFit="1" customWidth="1"/>
    <col min="2818" max="2818" width="46.7109375" style="103" bestFit="1" customWidth="1"/>
    <col min="2819" max="2819" width="39.140625" style="103" bestFit="1" customWidth="1"/>
    <col min="2820" max="2820" width="50.140625" style="103" bestFit="1" customWidth="1"/>
    <col min="2821" max="2821" width="26.140625" style="103" bestFit="1" customWidth="1"/>
    <col min="2822" max="2822" width="39.42578125" style="103" bestFit="1" customWidth="1"/>
    <col min="2823" max="3072" width="8.85546875" style="103"/>
    <col min="3073" max="3073" width="11.42578125" style="103" bestFit="1" customWidth="1"/>
    <col min="3074" max="3074" width="46.7109375" style="103" bestFit="1" customWidth="1"/>
    <col min="3075" max="3075" width="39.140625" style="103" bestFit="1" customWidth="1"/>
    <col min="3076" max="3076" width="50.140625" style="103" bestFit="1" customWidth="1"/>
    <col min="3077" max="3077" width="26.140625" style="103" bestFit="1" customWidth="1"/>
    <col min="3078" max="3078" width="39.42578125" style="103" bestFit="1" customWidth="1"/>
    <col min="3079" max="3328" width="8.85546875" style="103"/>
    <col min="3329" max="3329" width="11.42578125" style="103" bestFit="1" customWidth="1"/>
    <col min="3330" max="3330" width="46.7109375" style="103" bestFit="1" customWidth="1"/>
    <col min="3331" max="3331" width="39.140625" style="103" bestFit="1" customWidth="1"/>
    <col min="3332" max="3332" width="50.140625" style="103" bestFit="1" customWidth="1"/>
    <col min="3333" max="3333" width="26.140625" style="103" bestFit="1" customWidth="1"/>
    <col min="3334" max="3334" width="39.42578125" style="103" bestFit="1" customWidth="1"/>
    <col min="3335" max="3584" width="8.85546875" style="103"/>
    <col min="3585" max="3585" width="11.42578125" style="103" bestFit="1" customWidth="1"/>
    <col min="3586" max="3586" width="46.7109375" style="103" bestFit="1" customWidth="1"/>
    <col min="3587" max="3587" width="39.140625" style="103" bestFit="1" customWidth="1"/>
    <col min="3588" max="3588" width="50.140625" style="103" bestFit="1" customWidth="1"/>
    <col min="3589" max="3589" width="26.140625" style="103" bestFit="1" customWidth="1"/>
    <col min="3590" max="3590" width="39.42578125" style="103" bestFit="1" customWidth="1"/>
    <col min="3591" max="3840" width="8.85546875" style="103"/>
    <col min="3841" max="3841" width="11.42578125" style="103" bestFit="1" customWidth="1"/>
    <col min="3842" max="3842" width="46.7109375" style="103" bestFit="1" customWidth="1"/>
    <col min="3843" max="3843" width="39.140625" style="103" bestFit="1" customWidth="1"/>
    <col min="3844" max="3844" width="50.140625" style="103" bestFit="1" customWidth="1"/>
    <col min="3845" max="3845" width="26.140625" style="103" bestFit="1" customWidth="1"/>
    <col min="3846" max="3846" width="39.42578125" style="103" bestFit="1" customWidth="1"/>
    <col min="3847" max="4096" width="8.85546875" style="103"/>
    <col min="4097" max="4097" width="11.42578125" style="103" bestFit="1" customWidth="1"/>
    <col min="4098" max="4098" width="46.7109375" style="103" bestFit="1" customWidth="1"/>
    <col min="4099" max="4099" width="39.140625" style="103" bestFit="1" customWidth="1"/>
    <col min="4100" max="4100" width="50.140625" style="103" bestFit="1" customWidth="1"/>
    <col min="4101" max="4101" width="26.140625" style="103" bestFit="1" customWidth="1"/>
    <col min="4102" max="4102" width="39.42578125" style="103" bestFit="1" customWidth="1"/>
    <col min="4103" max="4352" width="8.85546875" style="103"/>
    <col min="4353" max="4353" width="11.42578125" style="103" bestFit="1" customWidth="1"/>
    <col min="4354" max="4354" width="46.7109375" style="103" bestFit="1" customWidth="1"/>
    <col min="4355" max="4355" width="39.140625" style="103" bestFit="1" customWidth="1"/>
    <col min="4356" max="4356" width="50.140625" style="103" bestFit="1" customWidth="1"/>
    <col min="4357" max="4357" width="26.140625" style="103" bestFit="1" customWidth="1"/>
    <col min="4358" max="4358" width="39.42578125" style="103" bestFit="1" customWidth="1"/>
    <col min="4359" max="4608" width="8.85546875" style="103"/>
    <col min="4609" max="4609" width="11.42578125" style="103" bestFit="1" customWidth="1"/>
    <col min="4610" max="4610" width="46.7109375" style="103" bestFit="1" customWidth="1"/>
    <col min="4611" max="4611" width="39.140625" style="103" bestFit="1" customWidth="1"/>
    <col min="4612" max="4612" width="50.140625" style="103" bestFit="1" customWidth="1"/>
    <col min="4613" max="4613" width="26.140625" style="103" bestFit="1" customWidth="1"/>
    <col min="4614" max="4614" width="39.42578125" style="103" bestFit="1" customWidth="1"/>
    <col min="4615" max="4864" width="8.85546875" style="103"/>
    <col min="4865" max="4865" width="11.42578125" style="103" bestFit="1" customWidth="1"/>
    <col min="4866" max="4866" width="46.7109375" style="103" bestFit="1" customWidth="1"/>
    <col min="4867" max="4867" width="39.140625" style="103" bestFit="1" customWidth="1"/>
    <col min="4868" max="4868" width="50.140625" style="103" bestFit="1" customWidth="1"/>
    <col min="4869" max="4869" width="26.140625" style="103" bestFit="1" customWidth="1"/>
    <col min="4870" max="4870" width="39.42578125" style="103" bestFit="1" customWidth="1"/>
    <col min="4871" max="5120" width="8.85546875" style="103"/>
    <col min="5121" max="5121" width="11.42578125" style="103" bestFit="1" customWidth="1"/>
    <col min="5122" max="5122" width="46.7109375" style="103" bestFit="1" customWidth="1"/>
    <col min="5123" max="5123" width="39.140625" style="103" bestFit="1" customWidth="1"/>
    <col min="5124" max="5124" width="50.140625" style="103" bestFit="1" customWidth="1"/>
    <col min="5125" max="5125" width="26.140625" style="103" bestFit="1" customWidth="1"/>
    <col min="5126" max="5126" width="39.42578125" style="103" bestFit="1" customWidth="1"/>
    <col min="5127" max="5376" width="8.85546875" style="103"/>
    <col min="5377" max="5377" width="11.42578125" style="103" bestFit="1" customWidth="1"/>
    <col min="5378" max="5378" width="46.7109375" style="103" bestFit="1" customWidth="1"/>
    <col min="5379" max="5379" width="39.140625" style="103" bestFit="1" customWidth="1"/>
    <col min="5380" max="5380" width="50.140625" style="103" bestFit="1" customWidth="1"/>
    <col min="5381" max="5381" width="26.140625" style="103" bestFit="1" customWidth="1"/>
    <col min="5382" max="5382" width="39.42578125" style="103" bestFit="1" customWidth="1"/>
    <col min="5383" max="5632" width="8.85546875" style="103"/>
    <col min="5633" max="5633" width="11.42578125" style="103" bestFit="1" customWidth="1"/>
    <col min="5634" max="5634" width="46.7109375" style="103" bestFit="1" customWidth="1"/>
    <col min="5635" max="5635" width="39.140625" style="103" bestFit="1" customWidth="1"/>
    <col min="5636" max="5636" width="50.140625" style="103" bestFit="1" customWidth="1"/>
    <col min="5637" max="5637" width="26.140625" style="103" bestFit="1" customWidth="1"/>
    <col min="5638" max="5638" width="39.42578125" style="103" bestFit="1" customWidth="1"/>
    <col min="5639" max="5888" width="8.85546875" style="103"/>
    <col min="5889" max="5889" width="11.42578125" style="103" bestFit="1" customWidth="1"/>
    <col min="5890" max="5890" width="46.7109375" style="103" bestFit="1" customWidth="1"/>
    <col min="5891" max="5891" width="39.140625" style="103" bestFit="1" customWidth="1"/>
    <col min="5892" max="5892" width="50.140625" style="103" bestFit="1" customWidth="1"/>
    <col min="5893" max="5893" width="26.140625" style="103" bestFit="1" customWidth="1"/>
    <col min="5894" max="5894" width="39.42578125" style="103" bestFit="1" customWidth="1"/>
    <col min="5895" max="6144" width="8.85546875" style="103"/>
    <col min="6145" max="6145" width="11.42578125" style="103" bestFit="1" customWidth="1"/>
    <col min="6146" max="6146" width="46.7109375" style="103" bestFit="1" customWidth="1"/>
    <col min="6147" max="6147" width="39.140625" style="103" bestFit="1" customWidth="1"/>
    <col min="6148" max="6148" width="50.140625" style="103" bestFit="1" customWidth="1"/>
    <col min="6149" max="6149" width="26.140625" style="103" bestFit="1" customWidth="1"/>
    <col min="6150" max="6150" width="39.42578125" style="103" bestFit="1" customWidth="1"/>
    <col min="6151" max="6400" width="8.85546875" style="103"/>
    <col min="6401" max="6401" width="11.42578125" style="103" bestFit="1" customWidth="1"/>
    <col min="6402" max="6402" width="46.7109375" style="103" bestFit="1" customWidth="1"/>
    <col min="6403" max="6403" width="39.140625" style="103" bestFit="1" customWidth="1"/>
    <col min="6404" max="6404" width="50.140625" style="103" bestFit="1" customWidth="1"/>
    <col min="6405" max="6405" width="26.140625" style="103" bestFit="1" customWidth="1"/>
    <col min="6406" max="6406" width="39.42578125" style="103" bestFit="1" customWidth="1"/>
    <col min="6407" max="6656" width="8.85546875" style="103"/>
    <col min="6657" max="6657" width="11.42578125" style="103" bestFit="1" customWidth="1"/>
    <col min="6658" max="6658" width="46.7109375" style="103" bestFit="1" customWidth="1"/>
    <col min="6659" max="6659" width="39.140625" style="103" bestFit="1" customWidth="1"/>
    <col min="6660" max="6660" width="50.140625" style="103" bestFit="1" customWidth="1"/>
    <col min="6661" max="6661" width="26.140625" style="103" bestFit="1" customWidth="1"/>
    <col min="6662" max="6662" width="39.42578125" style="103" bestFit="1" customWidth="1"/>
    <col min="6663" max="6912" width="8.85546875" style="103"/>
    <col min="6913" max="6913" width="11.42578125" style="103" bestFit="1" customWidth="1"/>
    <col min="6914" max="6914" width="46.7109375" style="103" bestFit="1" customWidth="1"/>
    <col min="6915" max="6915" width="39.140625" style="103" bestFit="1" customWidth="1"/>
    <col min="6916" max="6916" width="50.140625" style="103" bestFit="1" customWidth="1"/>
    <col min="6917" max="6917" width="26.140625" style="103" bestFit="1" customWidth="1"/>
    <col min="6918" max="6918" width="39.42578125" style="103" bestFit="1" customWidth="1"/>
    <col min="6919" max="7168" width="8.85546875" style="103"/>
    <col min="7169" max="7169" width="11.42578125" style="103" bestFit="1" customWidth="1"/>
    <col min="7170" max="7170" width="46.7109375" style="103" bestFit="1" customWidth="1"/>
    <col min="7171" max="7171" width="39.140625" style="103" bestFit="1" customWidth="1"/>
    <col min="7172" max="7172" width="50.140625" style="103" bestFit="1" customWidth="1"/>
    <col min="7173" max="7173" width="26.140625" style="103" bestFit="1" customWidth="1"/>
    <col min="7174" max="7174" width="39.42578125" style="103" bestFit="1" customWidth="1"/>
    <col min="7175" max="7424" width="8.85546875" style="103"/>
    <col min="7425" max="7425" width="11.42578125" style="103" bestFit="1" customWidth="1"/>
    <col min="7426" max="7426" width="46.7109375" style="103" bestFit="1" customWidth="1"/>
    <col min="7427" max="7427" width="39.140625" style="103" bestFit="1" customWidth="1"/>
    <col min="7428" max="7428" width="50.140625" style="103" bestFit="1" customWidth="1"/>
    <col min="7429" max="7429" width="26.140625" style="103" bestFit="1" customWidth="1"/>
    <col min="7430" max="7430" width="39.42578125" style="103" bestFit="1" customWidth="1"/>
    <col min="7431" max="7680" width="8.85546875" style="103"/>
    <col min="7681" max="7681" width="11.42578125" style="103" bestFit="1" customWidth="1"/>
    <col min="7682" max="7682" width="46.7109375" style="103" bestFit="1" customWidth="1"/>
    <col min="7683" max="7683" width="39.140625" style="103" bestFit="1" customWidth="1"/>
    <col min="7684" max="7684" width="50.140625" style="103" bestFit="1" customWidth="1"/>
    <col min="7685" max="7685" width="26.140625" style="103" bestFit="1" customWidth="1"/>
    <col min="7686" max="7686" width="39.42578125" style="103" bestFit="1" customWidth="1"/>
    <col min="7687" max="7936" width="8.85546875" style="103"/>
    <col min="7937" max="7937" width="11.42578125" style="103" bestFit="1" customWidth="1"/>
    <col min="7938" max="7938" width="46.7109375" style="103" bestFit="1" customWidth="1"/>
    <col min="7939" max="7939" width="39.140625" style="103" bestFit="1" customWidth="1"/>
    <col min="7940" max="7940" width="50.140625" style="103" bestFit="1" customWidth="1"/>
    <col min="7941" max="7941" width="26.140625" style="103" bestFit="1" customWidth="1"/>
    <col min="7942" max="7942" width="39.42578125" style="103" bestFit="1" customWidth="1"/>
    <col min="7943" max="8192" width="8.85546875" style="103"/>
    <col min="8193" max="8193" width="11.42578125" style="103" bestFit="1" customWidth="1"/>
    <col min="8194" max="8194" width="46.7109375" style="103" bestFit="1" customWidth="1"/>
    <col min="8195" max="8195" width="39.140625" style="103" bestFit="1" customWidth="1"/>
    <col min="8196" max="8196" width="50.140625" style="103" bestFit="1" customWidth="1"/>
    <col min="8197" max="8197" width="26.140625" style="103" bestFit="1" customWidth="1"/>
    <col min="8198" max="8198" width="39.42578125" style="103" bestFit="1" customWidth="1"/>
    <col min="8199" max="8448" width="8.85546875" style="103"/>
    <col min="8449" max="8449" width="11.42578125" style="103" bestFit="1" customWidth="1"/>
    <col min="8450" max="8450" width="46.7109375" style="103" bestFit="1" customWidth="1"/>
    <col min="8451" max="8451" width="39.140625" style="103" bestFit="1" customWidth="1"/>
    <col min="8452" max="8452" width="50.140625" style="103" bestFit="1" customWidth="1"/>
    <col min="8453" max="8453" width="26.140625" style="103" bestFit="1" customWidth="1"/>
    <col min="8454" max="8454" width="39.42578125" style="103" bestFit="1" customWidth="1"/>
    <col min="8455" max="8704" width="8.85546875" style="103"/>
    <col min="8705" max="8705" width="11.42578125" style="103" bestFit="1" customWidth="1"/>
    <col min="8706" max="8706" width="46.7109375" style="103" bestFit="1" customWidth="1"/>
    <col min="8707" max="8707" width="39.140625" style="103" bestFit="1" customWidth="1"/>
    <col min="8708" max="8708" width="50.140625" style="103" bestFit="1" customWidth="1"/>
    <col min="8709" max="8709" width="26.140625" style="103" bestFit="1" customWidth="1"/>
    <col min="8710" max="8710" width="39.42578125" style="103" bestFit="1" customWidth="1"/>
    <col min="8711" max="8960" width="8.85546875" style="103"/>
    <col min="8961" max="8961" width="11.42578125" style="103" bestFit="1" customWidth="1"/>
    <col min="8962" max="8962" width="46.7109375" style="103" bestFit="1" customWidth="1"/>
    <col min="8963" max="8963" width="39.140625" style="103" bestFit="1" customWidth="1"/>
    <col min="8964" max="8964" width="50.140625" style="103" bestFit="1" customWidth="1"/>
    <col min="8965" max="8965" width="26.140625" style="103" bestFit="1" customWidth="1"/>
    <col min="8966" max="8966" width="39.42578125" style="103" bestFit="1" customWidth="1"/>
    <col min="8967" max="9216" width="8.85546875" style="103"/>
    <col min="9217" max="9217" width="11.42578125" style="103" bestFit="1" customWidth="1"/>
    <col min="9218" max="9218" width="46.7109375" style="103" bestFit="1" customWidth="1"/>
    <col min="9219" max="9219" width="39.140625" style="103" bestFit="1" customWidth="1"/>
    <col min="9220" max="9220" width="50.140625" style="103" bestFit="1" customWidth="1"/>
    <col min="9221" max="9221" width="26.140625" style="103" bestFit="1" customWidth="1"/>
    <col min="9222" max="9222" width="39.42578125" style="103" bestFit="1" customWidth="1"/>
    <col min="9223" max="9472" width="8.85546875" style="103"/>
    <col min="9473" max="9473" width="11.42578125" style="103" bestFit="1" customWidth="1"/>
    <col min="9474" max="9474" width="46.7109375" style="103" bestFit="1" customWidth="1"/>
    <col min="9475" max="9475" width="39.140625" style="103" bestFit="1" customWidth="1"/>
    <col min="9476" max="9476" width="50.140625" style="103" bestFit="1" customWidth="1"/>
    <col min="9477" max="9477" width="26.140625" style="103" bestFit="1" customWidth="1"/>
    <col min="9478" max="9478" width="39.42578125" style="103" bestFit="1" customWidth="1"/>
    <col min="9479" max="9728" width="8.85546875" style="103"/>
    <col min="9729" max="9729" width="11.42578125" style="103" bestFit="1" customWidth="1"/>
    <col min="9730" max="9730" width="46.7109375" style="103" bestFit="1" customWidth="1"/>
    <col min="9731" max="9731" width="39.140625" style="103" bestFit="1" customWidth="1"/>
    <col min="9732" max="9732" width="50.140625" style="103" bestFit="1" customWidth="1"/>
    <col min="9733" max="9733" width="26.140625" style="103" bestFit="1" customWidth="1"/>
    <col min="9734" max="9734" width="39.42578125" style="103" bestFit="1" customWidth="1"/>
    <col min="9735" max="9984" width="8.85546875" style="103"/>
    <col min="9985" max="9985" width="11.42578125" style="103" bestFit="1" customWidth="1"/>
    <col min="9986" max="9986" width="46.7109375" style="103" bestFit="1" customWidth="1"/>
    <col min="9987" max="9987" width="39.140625" style="103" bestFit="1" customWidth="1"/>
    <col min="9988" max="9988" width="50.140625" style="103" bestFit="1" customWidth="1"/>
    <col min="9989" max="9989" width="26.140625" style="103" bestFit="1" customWidth="1"/>
    <col min="9990" max="9990" width="39.42578125" style="103" bestFit="1" customWidth="1"/>
    <col min="9991" max="10240" width="8.85546875" style="103"/>
    <col min="10241" max="10241" width="11.42578125" style="103" bestFit="1" customWidth="1"/>
    <col min="10242" max="10242" width="46.7109375" style="103" bestFit="1" customWidth="1"/>
    <col min="10243" max="10243" width="39.140625" style="103" bestFit="1" customWidth="1"/>
    <col min="10244" max="10244" width="50.140625" style="103" bestFit="1" customWidth="1"/>
    <col min="10245" max="10245" width="26.140625" style="103" bestFit="1" customWidth="1"/>
    <col min="10246" max="10246" width="39.42578125" style="103" bestFit="1" customWidth="1"/>
    <col min="10247" max="10496" width="8.85546875" style="103"/>
    <col min="10497" max="10497" width="11.42578125" style="103" bestFit="1" customWidth="1"/>
    <col min="10498" max="10498" width="46.7109375" style="103" bestFit="1" customWidth="1"/>
    <col min="10499" max="10499" width="39.140625" style="103" bestFit="1" customWidth="1"/>
    <col min="10500" max="10500" width="50.140625" style="103" bestFit="1" customWidth="1"/>
    <col min="10501" max="10501" width="26.140625" style="103" bestFit="1" customWidth="1"/>
    <col min="10502" max="10502" width="39.42578125" style="103" bestFit="1" customWidth="1"/>
    <col min="10503" max="10752" width="8.85546875" style="103"/>
    <col min="10753" max="10753" width="11.42578125" style="103" bestFit="1" customWidth="1"/>
    <col min="10754" max="10754" width="46.7109375" style="103" bestFit="1" customWidth="1"/>
    <col min="10755" max="10755" width="39.140625" style="103" bestFit="1" customWidth="1"/>
    <col min="10756" max="10756" width="50.140625" style="103" bestFit="1" customWidth="1"/>
    <col min="10757" max="10757" width="26.140625" style="103" bestFit="1" customWidth="1"/>
    <col min="10758" max="10758" width="39.42578125" style="103" bestFit="1" customWidth="1"/>
    <col min="10759" max="11008" width="8.85546875" style="103"/>
    <col min="11009" max="11009" width="11.42578125" style="103" bestFit="1" customWidth="1"/>
    <col min="11010" max="11010" width="46.7109375" style="103" bestFit="1" customWidth="1"/>
    <col min="11011" max="11011" width="39.140625" style="103" bestFit="1" customWidth="1"/>
    <col min="11012" max="11012" width="50.140625" style="103" bestFit="1" customWidth="1"/>
    <col min="11013" max="11013" width="26.140625" style="103" bestFit="1" customWidth="1"/>
    <col min="11014" max="11014" width="39.42578125" style="103" bestFit="1" customWidth="1"/>
    <col min="11015" max="11264" width="8.85546875" style="103"/>
    <col min="11265" max="11265" width="11.42578125" style="103" bestFit="1" customWidth="1"/>
    <col min="11266" max="11266" width="46.7109375" style="103" bestFit="1" customWidth="1"/>
    <col min="11267" max="11267" width="39.140625" style="103" bestFit="1" customWidth="1"/>
    <col min="11268" max="11268" width="50.140625" style="103" bestFit="1" customWidth="1"/>
    <col min="11269" max="11269" width="26.140625" style="103" bestFit="1" customWidth="1"/>
    <col min="11270" max="11270" width="39.42578125" style="103" bestFit="1" customWidth="1"/>
    <col min="11271" max="11520" width="8.85546875" style="103"/>
    <col min="11521" max="11521" width="11.42578125" style="103" bestFit="1" customWidth="1"/>
    <col min="11522" max="11522" width="46.7109375" style="103" bestFit="1" customWidth="1"/>
    <col min="11523" max="11523" width="39.140625" style="103" bestFit="1" customWidth="1"/>
    <col min="11524" max="11524" width="50.140625" style="103" bestFit="1" customWidth="1"/>
    <col min="11525" max="11525" width="26.140625" style="103" bestFit="1" customWidth="1"/>
    <col min="11526" max="11526" width="39.42578125" style="103" bestFit="1" customWidth="1"/>
    <col min="11527" max="11776" width="8.85546875" style="103"/>
    <col min="11777" max="11777" width="11.42578125" style="103" bestFit="1" customWidth="1"/>
    <col min="11778" max="11778" width="46.7109375" style="103" bestFit="1" customWidth="1"/>
    <col min="11779" max="11779" width="39.140625" style="103" bestFit="1" customWidth="1"/>
    <col min="11780" max="11780" width="50.140625" style="103" bestFit="1" customWidth="1"/>
    <col min="11781" max="11781" width="26.140625" style="103" bestFit="1" customWidth="1"/>
    <col min="11782" max="11782" width="39.42578125" style="103" bestFit="1" customWidth="1"/>
    <col min="11783" max="12032" width="8.85546875" style="103"/>
    <col min="12033" max="12033" width="11.42578125" style="103" bestFit="1" customWidth="1"/>
    <col min="12034" max="12034" width="46.7109375" style="103" bestFit="1" customWidth="1"/>
    <col min="12035" max="12035" width="39.140625" style="103" bestFit="1" customWidth="1"/>
    <col min="12036" max="12036" width="50.140625" style="103" bestFit="1" customWidth="1"/>
    <col min="12037" max="12037" width="26.140625" style="103" bestFit="1" customWidth="1"/>
    <col min="12038" max="12038" width="39.42578125" style="103" bestFit="1" customWidth="1"/>
    <col min="12039" max="12288" width="8.85546875" style="103"/>
    <col min="12289" max="12289" width="11.42578125" style="103" bestFit="1" customWidth="1"/>
    <col min="12290" max="12290" width="46.7109375" style="103" bestFit="1" customWidth="1"/>
    <col min="12291" max="12291" width="39.140625" style="103" bestFit="1" customWidth="1"/>
    <col min="12292" max="12292" width="50.140625" style="103" bestFit="1" customWidth="1"/>
    <col min="12293" max="12293" width="26.140625" style="103" bestFit="1" customWidth="1"/>
    <col min="12294" max="12294" width="39.42578125" style="103" bestFit="1" customWidth="1"/>
    <col min="12295" max="12544" width="8.85546875" style="103"/>
    <col min="12545" max="12545" width="11.42578125" style="103" bestFit="1" customWidth="1"/>
    <col min="12546" max="12546" width="46.7109375" style="103" bestFit="1" customWidth="1"/>
    <col min="12547" max="12547" width="39.140625" style="103" bestFit="1" customWidth="1"/>
    <col min="12548" max="12548" width="50.140625" style="103" bestFit="1" customWidth="1"/>
    <col min="12549" max="12549" width="26.140625" style="103" bestFit="1" customWidth="1"/>
    <col min="12550" max="12550" width="39.42578125" style="103" bestFit="1" customWidth="1"/>
    <col min="12551" max="12800" width="8.85546875" style="103"/>
    <col min="12801" max="12801" width="11.42578125" style="103" bestFit="1" customWidth="1"/>
    <col min="12802" max="12802" width="46.7109375" style="103" bestFit="1" customWidth="1"/>
    <col min="12803" max="12803" width="39.140625" style="103" bestFit="1" customWidth="1"/>
    <col min="12804" max="12804" width="50.140625" style="103" bestFit="1" customWidth="1"/>
    <col min="12805" max="12805" width="26.140625" style="103" bestFit="1" customWidth="1"/>
    <col min="12806" max="12806" width="39.42578125" style="103" bestFit="1" customWidth="1"/>
    <col min="12807" max="13056" width="8.85546875" style="103"/>
    <col min="13057" max="13057" width="11.42578125" style="103" bestFit="1" customWidth="1"/>
    <col min="13058" max="13058" width="46.7109375" style="103" bestFit="1" customWidth="1"/>
    <col min="13059" max="13059" width="39.140625" style="103" bestFit="1" customWidth="1"/>
    <col min="13060" max="13060" width="50.140625" style="103" bestFit="1" customWidth="1"/>
    <col min="13061" max="13061" width="26.140625" style="103" bestFit="1" customWidth="1"/>
    <col min="13062" max="13062" width="39.42578125" style="103" bestFit="1" customWidth="1"/>
    <col min="13063" max="13312" width="8.85546875" style="103"/>
    <col min="13313" max="13313" width="11.42578125" style="103" bestFit="1" customWidth="1"/>
    <col min="13314" max="13314" width="46.7109375" style="103" bestFit="1" customWidth="1"/>
    <col min="13315" max="13315" width="39.140625" style="103" bestFit="1" customWidth="1"/>
    <col min="13316" max="13316" width="50.140625" style="103" bestFit="1" customWidth="1"/>
    <col min="13317" max="13317" width="26.140625" style="103" bestFit="1" customWidth="1"/>
    <col min="13318" max="13318" width="39.42578125" style="103" bestFit="1" customWidth="1"/>
    <col min="13319" max="13568" width="8.85546875" style="103"/>
    <col min="13569" max="13569" width="11.42578125" style="103" bestFit="1" customWidth="1"/>
    <col min="13570" max="13570" width="46.7109375" style="103" bestFit="1" customWidth="1"/>
    <col min="13571" max="13571" width="39.140625" style="103" bestFit="1" customWidth="1"/>
    <col min="13572" max="13572" width="50.140625" style="103" bestFit="1" customWidth="1"/>
    <col min="13573" max="13573" width="26.140625" style="103" bestFit="1" customWidth="1"/>
    <col min="13574" max="13574" width="39.42578125" style="103" bestFit="1" customWidth="1"/>
    <col min="13575" max="13824" width="8.85546875" style="103"/>
    <col min="13825" max="13825" width="11.42578125" style="103" bestFit="1" customWidth="1"/>
    <col min="13826" max="13826" width="46.7109375" style="103" bestFit="1" customWidth="1"/>
    <col min="13827" max="13827" width="39.140625" style="103" bestFit="1" customWidth="1"/>
    <col min="13828" max="13828" width="50.140625" style="103" bestFit="1" customWidth="1"/>
    <col min="13829" max="13829" width="26.140625" style="103" bestFit="1" customWidth="1"/>
    <col min="13830" max="13830" width="39.42578125" style="103" bestFit="1" customWidth="1"/>
    <col min="13831" max="14080" width="8.85546875" style="103"/>
    <col min="14081" max="14081" width="11.42578125" style="103" bestFit="1" customWidth="1"/>
    <col min="14082" max="14082" width="46.7109375" style="103" bestFit="1" customWidth="1"/>
    <col min="14083" max="14083" width="39.140625" style="103" bestFit="1" customWidth="1"/>
    <col min="14084" max="14084" width="50.140625" style="103" bestFit="1" customWidth="1"/>
    <col min="14085" max="14085" width="26.140625" style="103" bestFit="1" customWidth="1"/>
    <col min="14086" max="14086" width="39.42578125" style="103" bestFit="1" customWidth="1"/>
    <col min="14087" max="14336" width="8.85546875" style="103"/>
    <col min="14337" max="14337" width="11.42578125" style="103" bestFit="1" customWidth="1"/>
    <col min="14338" max="14338" width="46.7109375" style="103" bestFit="1" customWidth="1"/>
    <col min="14339" max="14339" width="39.140625" style="103" bestFit="1" customWidth="1"/>
    <col min="14340" max="14340" width="50.140625" style="103" bestFit="1" customWidth="1"/>
    <col min="14341" max="14341" width="26.140625" style="103" bestFit="1" customWidth="1"/>
    <col min="14342" max="14342" width="39.42578125" style="103" bestFit="1" customWidth="1"/>
    <col min="14343" max="14592" width="8.85546875" style="103"/>
    <col min="14593" max="14593" width="11.42578125" style="103" bestFit="1" customWidth="1"/>
    <col min="14594" max="14594" width="46.7109375" style="103" bestFit="1" customWidth="1"/>
    <col min="14595" max="14595" width="39.140625" style="103" bestFit="1" customWidth="1"/>
    <col min="14596" max="14596" width="50.140625" style="103" bestFit="1" customWidth="1"/>
    <col min="14597" max="14597" width="26.140625" style="103" bestFit="1" customWidth="1"/>
    <col min="14598" max="14598" width="39.42578125" style="103" bestFit="1" customWidth="1"/>
    <col min="14599" max="14848" width="8.85546875" style="103"/>
    <col min="14849" max="14849" width="11.42578125" style="103" bestFit="1" customWidth="1"/>
    <col min="14850" max="14850" width="46.7109375" style="103" bestFit="1" customWidth="1"/>
    <col min="14851" max="14851" width="39.140625" style="103" bestFit="1" customWidth="1"/>
    <col min="14852" max="14852" width="50.140625" style="103" bestFit="1" customWidth="1"/>
    <col min="14853" max="14853" width="26.140625" style="103" bestFit="1" customWidth="1"/>
    <col min="14854" max="14854" width="39.42578125" style="103" bestFit="1" customWidth="1"/>
    <col min="14855" max="15104" width="8.85546875" style="103"/>
    <col min="15105" max="15105" width="11.42578125" style="103" bestFit="1" customWidth="1"/>
    <col min="15106" max="15106" width="46.7109375" style="103" bestFit="1" customWidth="1"/>
    <col min="15107" max="15107" width="39.140625" style="103" bestFit="1" customWidth="1"/>
    <col min="15108" max="15108" width="50.140625" style="103" bestFit="1" customWidth="1"/>
    <col min="15109" max="15109" width="26.140625" style="103" bestFit="1" customWidth="1"/>
    <col min="15110" max="15110" width="39.42578125" style="103" bestFit="1" customWidth="1"/>
    <col min="15111" max="15360" width="8.85546875" style="103"/>
    <col min="15361" max="15361" width="11.42578125" style="103" bestFit="1" customWidth="1"/>
    <col min="15362" max="15362" width="46.7109375" style="103" bestFit="1" customWidth="1"/>
    <col min="15363" max="15363" width="39.140625" style="103" bestFit="1" customWidth="1"/>
    <col min="15364" max="15364" width="50.140625" style="103" bestFit="1" customWidth="1"/>
    <col min="15365" max="15365" width="26.140625" style="103" bestFit="1" customWidth="1"/>
    <col min="15366" max="15366" width="39.42578125" style="103" bestFit="1" customWidth="1"/>
    <col min="15367" max="15616" width="8.85546875" style="103"/>
    <col min="15617" max="15617" width="11.42578125" style="103" bestFit="1" customWidth="1"/>
    <col min="15618" max="15618" width="46.7109375" style="103" bestFit="1" customWidth="1"/>
    <col min="15619" max="15619" width="39.140625" style="103" bestFit="1" customWidth="1"/>
    <col min="15620" max="15620" width="50.140625" style="103" bestFit="1" customWidth="1"/>
    <col min="15621" max="15621" width="26.140625" style="103" bestFit="1" customWidth="1"/>
    <col min="15622" max="15622" width="39.42578125" style="103" bestFit="1" customWidth="1"/>
    <col min="15623" max="15872" width="8.85546875" style="103"/>
    <col min="15873" max="15873" width="11.42578125" style="103" bestFit="1" customWidth="1"/>
    <col min="15874" max="15874" width="46.7109375" style="103" bestFit="1" customWidth="1"/>
    <col min="15875" max="15875" width="39.140625" style="103" bestFit="1" customWidth="1"/>
    <col min="15876" max="15876" width="50.140625" style="103" bestFit="1" customWidth="1"/>
    <col min="15877" max="15877" width="26.140625" style="103" bestFit="1" customWidth="1"/>
    <col min="15878" max="15878" width="39.42578125" style="103" bestFit="1" customWidth="1"/>
    <col min="15879" max="16128" width="8.85546875" style="103"/>
    <col min="16129" max="16129" width="11.42578125" style="103" bestFit="1" customWidth="1"/>
    <col min="16130" max="16130" width="46.7109375" style="103" bestFit="1" customWidth="1"/>
    <col min="16131" max="16131" width="39.140625" style="103" bestFit="1" customWidth="1"/>
    <col min="16132" max="16132" width="50.140625" style="103" bestFit="1" customWidth="1"/>
    <col min="16133" max="16133" width="26.140625" style="103" bestFit="1" customWidth="1"/>
    <col min="16134" max="16134" width="39.42578125" style="103" bestFit="1" customWidth="1"/>
    <col min="16135" max="16384" width="8.85546875" style="103"/>
  </cols>
  <sheetData/>
  <pageMargins left="0.75" right="0.75" top="1" bottom="1" header="0.5" footer="0.5"/>
  <pageSetup paperSize="9" scale="62" fitToHeight="0" orientation="landscape"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4E3B-E780-4D7D-B82E-E49BD997B938}">
  <dimension ref="A1:O6"/>
  <sheetViews>
    <sheetView showGridLines="0" zoomScale="130" zoomScaleNormal="130" workbookViewId="0">
      <selection activeCell="A21" sqref="A21"/>
    </sheetView>
  </sheetViews>
  <sheetFormatPr defaultColWidth="10.85546875" defaultRowHeight="14.1" customHeight="1" x14ac:dyDescent="0.25"/>
  <cols>
    <col min="1" max="1" width="23.140625" style="104" customWidth="1"/>
    <col min="2" max="3" width="10" style="104" customWidth="1"/>
    <col min="4" max="4" width="10.7109375" style="104" customWidth="1"/>
    <col min="5" max="5" width="10" style="104" customWidth="1"/>
    <col min="6" max="6" width="9.85546875" style="104" customWidth="1"/>
    <col min="7" max="7" width="10.140625" style="104" customWidth="1"/>
    <col min="8" max="8" width="10.42578125" style="104" customWidth="1"/>
    <col min="9" max="10" width="10.28515625" style="104" customWidth="1"/>
    <col min="11" max="11" width="11.140625" style="104" customWidth="1"/>
    <col min="12" max="12" width="10.28515625" style="104" customWidth="1"/>
    <col min="13" max="13" width="10.5703125" style="104" customWidth="1"/>
    <col min="14" max="16384" width="10.85546875" style="104"/>
  </cols>
  <sheetData>
    <row r="1" spans="1:15" ht="14.1" customHeight="1" x14ac:dyDescent="0.25">
      <c r="A1" s="123"/>
      <c r="B1" s="225" t="s">
        <v>31</v>
      </c>
      <c r="C1" s="226"/>
      <c r="D1" s="227"/>
      <c r="E1" s="225" t="s">
        <v>30</v>
      </c>
      <c r="F1" s="226"/>
      <c r="G1" s="227"/>
      <c r="H1" s="225" t="s">
        <v>29</v>
      </c>
      <c r="I1" s="226"/>
      <c r="J1" s="227"/>
      <c r="K1" s="225" t="s">
        <v>28</v>
      </c>
      <c r="L1" s="226"/>
      <c r="M1" s="227"/>
    </row>
    <row r="2" spans="1:15" ht="14.1" customHeight="1" x14ac:dyDescent="0.25">
      <c r="A2" s="122"/>
      <c r="B2" s="120">
        <v>43008</v>
      </c>
      <c r="C2" s="119">
        <v>43372</v>
      </c>
      <c r="D2" s="118" t="s">
        <v>76</v>
      </c>
      <c r="E2" s="120">
        <v>43100</v>
      </c>
      <c r="F2" s="119">
        <v>43465</v>
      </c>
      <c r="G2" s="118">
        <v>43738</v>
      </c>
      <c r="H2" s="121" t="s">
        <v>75</v>
      </c>
      <c r="I2" s="119">
        <v>43465</v>
      </c>
      <c r="J2" s="118">
        <v>43738</v>
      </c>
      <c r="K2" s="120">
        <v>43008</v>
      </c>
      <c r="L2" s="119">
        <v>43373</v>
      </c>
      <c r="M2" s="118">
        <v>43738</v>
      </c>
    </row>
    <row r="3" spans="1:15" ht="14.1" customHeight="1" x14ac:dyDescent="0.25">
      <c r="A3" s="108" t="s">
        <v>148</v>
      </c>
      <c r="B3" s="117">
        <v>18.053866369710466</v>
      </c>
      <c r="C3" s="116">
        <v>13.520892998888712</v>
      </c>
      <c r="D3" s="115">
        <v>22.144506965804236</v>
      </c>
      <c r="E3" s="117">
        <v>205.13748065847437</v>
      </c>
      <c r="F3" s="116">
        <v>124.6262163786627</v>
      </c>
      <c r="G3" s="115">
        <v>85.138953281537937</v>
      </c>
      <c r="H3" s="117">
        <v>22.477183098591553</v>
      </c>
      <c r="I3" s="116">
        <v>14.004821413349246</v>
      </c>
      <c r="J3" s="115">
        <v>16.419225374818637</v>
      </c>
      <c r="K3" s="117">
        <v>5.0641483457844192</v>
      </c>
      <c r="L3" s="116">
        <v>7.7341303083187904</v>
      </c>
      <c r="M3" s="115">
        <v>5.8613604651162792</v>
      </c>
      <c r="N3" s="114"/>
      <c r="O3" s="114"/>
    </row>
    <row r="4" spans="1:15" ht="14.1" customHeight="1" x14ac:dyDescent="0.25">
      <c r="A4" s="108" t="s">
        <v>147</v>
      </c>
      <c r="B4" s="117">
        <v>5.6907477820025347</v>
      </c>
      <c r="C4" s="116">
        <v>8.3596549435965493</v>
      </c>
      <c r="D4" s="115">
        <v>6.6350540216086431</v>
      </c>
      <c r="E4" s="117">
        <v>0.95321439735114588</v>
      </c>
      <c r="F4" s="116">
        <v>2.7819989250621293</v>
      </c>
      <c r="G4" s="115">
        <v>3.2335375217691076</v>
      </c>
      <c r="H4" s="117">
        <v>1.6136363636363635</v>
      </c>
      <c r="I4" s="116">
        <v>2.5591186736474696</v>
      </c>
      <c r="J4" s="115">
        <v>2.7309449122227725</v>
      </c>
      <c r="K4" s="117">
        <v>4.6779830254618071</v>
      </c>
      <c r="L4" s="116">
        <v>4.2655086848635237</v>
      </c>
      <c r="M4" s="115">
        <v>3.8335809806835064</v>
      </c>
      <c r="N4" s="114"/>
      <c r="O4" s="114"/>
    </row>
    <row r="5" spans="1:15" s="109" customFormat="1" ht="14.1" customHeight="1" x14ac:dyDescent="0.2">
      <c r="A5" s="113" t="s">
        <v>146</v>
      </c>
      <c r="B5" s="107"/>
      <c r="C5" s="111">
        <f>100*(C4-B4)/B4</f>
        <v>46.899059031128672</v>
      </c>
      <c r="D5" s="110">
        <f>100*(D4-C4)/C4</f>
        <v>-20.630049130304609</v>
      </c>
      <c r="E5" s="112"/>
      <c r="F5" s="111">
        <f>100*(F4-E4)/E4</f>
        <v>191.8544802505007</v>
      </c>
      <c r="G5" s="110">
        <f>100*(G4-F4)/F4</f>
        <v>16.230725060287153</v>
      </c>
      <c r="H5" s="112"/>
      <c r="I5" s="111">
        <f>100*(I4-H4)/H4</f>
        <v>58.593269916181228</v>
      </c>
      <c r="J5" s="110">
        <f>100*(J4-I4)/I4</f>
        <v>6.7142739547283981</v>
      </c>
      <c r="K5" s="112"/>
      <c r="L5" s="111">
        <f>100*(L4-K4)/K4</f>
        <v>-8.8173543673250965</v>
      </c>
      <c r="M5" s="110">
        <f>100*(M4-L4)/L4</f>
        <v>-10.126053797821232</v>
      </c>
    </row>
    <row r="6" spans="1:15" ht="14.1" customHeight="1" x14ac:dyDescent="0.25">
      <c r="A6" s="108" t="s">
        <v>145</v>
      </c>
      <c r="B6" s="107"/>
      <c r="C6" s="106">
        <f>C3/C5</f>
        <v>0.28829774580156048</v>
      </c>
      <c r="D6" s="105">
        <f>D3/D5</f>
        <v>-1.0734102873887468</v>
      </c>
      <c r="E6" s="107"/>
      <c r="F6" s="106">
        <f>F3/F5</f>
        <v>0.64958720909691892</v>
      </c>
      <c r="G6" s="105">
        <f>G3/G5</f>
        <v>5.2455422025386502</v>
      </c>
      <c r="H6" s="107"/>
      <c r="I6" s="106">
        <f>I3/I5</f>
        <v>0.23901757716173558</v>
      </c>
      <c r="J6" s="105">
        <f>J3/J5</f>
        <v>2.4454208281530891</v>
      </c>
      <c r="K6" s="107"/>
      <c r="L6" s="106">
        <f>L3/L5</f>
        <v>-0.87714863054382131</v>
      </c>
      <c r="M6" s="105">
        <f>M3/M5</f>
        <v>-0.57883955409929155</v>
      </c>
    </row>
  </sheetData>
  <mergeCells count="4">
    <mergeCell ref="B1:D1"/>
    <mergeCell ref="E1:G1"/>
    <mergeCell ref="H1:J1"/>
    <mergeCell ref="K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0F334-66F2-4C4C-9197-74816ADEB300}">
  <dimension ref="A1:E14"/>
  <sheetViews>
    <sheetView workbookViewId="0">
      <selection activeCell="A21" sqref="A21"/>
    </sheetView>
  </sheetViews>
  <sheetFormatPr defaultColWidth="10.85546875" defaultRowHeight="12.75" x14ac:dyDescent="0.2"/>
  <cols>
    <col min="1" max="1" width="31.7109375" style="133" customWidth="1"/>
    <col min="2" max="16384" width="10.85546875" style="133"/>
  </cols>
  <sheetData>
    <row r="1" spans="1:5" x14ac:dyDescent="0.2">
      <c r="A1" s="135" t="s">
        <v>155</v>
      </c>
    </row>
    <row r="2" spans="1:5" x14ac:dyDescent="0.2">
      <c r="A2" s="133" t="s">
        <v>154</v>
      </c>
      <c r="B2" s="137">
        <v>24827</v>
      </c>
      <c r="C2" s="136">
        <f>B2/$B$7</f>
        <v>0.35685846114041769</v>
      </c>
    </row>
    <row r="3" spans="1:5" x14ac:dyDescent="0.2">
      <c r="A3" s="133" t="s">
        <v>153</v>
      </c>
      <c r="B3" s="137">
        <v>26225</v>
      </c>
      <c r="C3" s="136">
        <f>B3/$B$7</f>
        <v>0.37695304077848529</v>
      </c>
      <c r="E3" s="138"/>
    </row>
    <row r="4" spans="1:5" x14ac:dyDescent="0.2">
      <c r="A4" s="133" t="s">
        <v>152</v>
      </c>
      <c r="B4" s="137">
        <v>11127</v>
      </c>
      <c r="C4" s="136">
        <f>B4/$B$7</f>
        <v>0.15993733020942635</v>
      </c>
    </row>
    <row r="5" spans="1:5" x14ac:dyDescent="0.2">
      <c r="A5" s="133" t="s">
        <v>151</v>
      </c>
      <c r="B5" s="137">
        <v>9349</v>
      </c>
      <c r="C5" s="136">
        <f>B5/$B$7</f>
        <v>0.13438070460392978</v>
      </c>
    </row>
    <row r="6" spans="1:5" x14ac:dyDescent="0.2">
      <c r="A6" s="133" t="s">
        <v>150</v>
      </c>
      <c r="B6" s="137">
        <v>-1957</v>
      </c>
      <c r="C6" s="136">
        <f>B6/$B$7</f>
        <v>-2.8129536732259132E-2</v>
      </c>
    </row>
    <row r="7" spans="1:5" x14ac:dyDescent="0.2">
      <c r="A7" s="135" t="s">
        <v>149</v>
      </c>
      <c r="B7" s="134">
        <f>SUM(B2:B6)</f>
        <v>69571</v>
      </c>
    </row>
    <row r="8" spans="1:5" x14ac:dyDescent="0.2">
      <c r="B8" s="137"/>
    </row>
    <row r="9" spans="1:5" x14ac:dyDescent="0.2">
      <c r="A9" s="133" t="s">
        <v>154</v>
      </c>
      <c r="B9" s="137">
        <v>7479</v>
      </c>
      <c r="C9" s="136">
        <f>B9/$B$14</f>
        <v>0.50302663438256656</v>
      </c>
    </row>
    <row r="10" spans="1:5" x14ac:dyDescent="0.2">
      <c r="A10" s="133" t="s">
        <v>153</v>
      </c>
      <c r="B10" s="137">
        <v>6758</v>
      </c>
      <c r="C10" s="136">
        <f>B10/$B$14</f>
        <v>0.45453322571966642</v>
      </c>
      <c r="E10" s="138"/>
    </row>
    <row r="11" spans="1:5" x14ac:dyDescent="0.2">
      <c r="A11" s="133" t="s">
        <v>152</v>
      </c>
      <c r="B11" s="137">
        <v>2686</v>
      </c>
      <c r="C11" s="136">
        <f>B11/$B$14</f>
        <v>0.18065644336830777</v>
      </c>
    </row>
    <row r="12" spans="1:5" x14ac:dyDescent="0.2">
      <c r="A12" s="133" t="s">
        <v>151</v>
      </c>
      <c r="B12" s="137">
        <v>-1814</v>
      </c>
      <c r="C12" s="136">
        <f>B12/$B$14</f>
        <v>-0.12200699488835082</v>
      </c>
    </row>
    <row r="13" spans="1:5" x14ac:dyDescent="0.2">
      <c r="A13" s="133" t="s">
        <v>150</v>
      </c>
      <c r="B13" s="137">
        <v>-241</v>
      </c>
      <c r="C13" s="136">
        <f>B13/$B$14</f>
        <v>-1.6209308582189937E-2</v>
      </c>
    </row>
    <row r="14" spans="1:5" x14ac:dyDescent="0.2">
      <c r="A14" s="135" t="s">
        <v>149</v>
      </c>
      <c r="B14" s="134">
        <f>SUM(B9:B13)</f>
        <v>14868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E7E3-C3C2-41A0-B79B-2B046B16CE90}">
  <dimension ref="A1:AB146"/>
  <sheetViews>
    <sheetView tabSelected="1" topLeftCell="A85" workbookViewId="0">
      <selection activeCell="E96" sqref="E96"/>
    </sheetView>
  </sheetViews>
  <sheetFormatPr defaultRowHeight="15" x14ac:dyDescent="0.25"/>
  <cols>
    <col min="1" max="1" width="31.28515625" customWidth="1"/>
    <col min="2" max="3" width="10.7109375" bestFit="1" customWidth="1"/>
    <col min="4" max="4" width="10.85546875" bestFit="1" customWidth="1"/>
    <col min="6" max="7" width="11" bestFit="1" customWidth="1"/>
    <col min="8" max="8" width="10.7109375" bestFit="1" customWidth="1"/>
    <col min="9" max="9" width="11" bestFit="1" customWidth="1"/>
    <col min="10" max="10" width="10.85546875" bestFit="1" customWidth="1"/>
    <col min="11" max="11" width="11" bestFit="1" customWidth="1"/>
    <col min="12" max="16" width="10.7109375" bestFit="1" customWidth="1"/>
    <col min="17" max="18" width="11" bestFit="1" customWidth="1"/>
    <col min="19" max="21" width="10.7109375" bestFit="1" customWidth="1"/>
    <col min="23" max="23" width="10.7109375" bestFit="1" customWidth="1"/>
    <col min="25" max="25" width="10.7109375" bestFit="1" customWidth="1"/>
    <col min="27" max="27" width="9.85546875" bestFit="1" customWidth="1"/>
  </cols>
  <sheetData>
    <row r="1" spans="1:16" x14ac:dyDescent="0.25">
      <c r="A1" s="155"/>
      <c r="B1" s="228" t="s">
        <v>31</v>
      </c>
      <c r="C1" s="229"/>
      <c r="D1" s="229"/>
      <c r="E1" s="155"/>
      <c r="F1" s="228" t="s">
        <v>30</v>
      </c>
      <c r="G1" s="229"/>
      <c r="H1" s="229"/>
      <c r="I1" s="155"/>
      <c r="J1" s="228" t="s">
        <v>29</v>
      </c>
      <c r="K1" s="229"/>
      <c r="L1" s="229"/>
      <c r="M1" s="155"/>
      <c r="N1" s="228" t="s">
        <v>28</v>
      </c>
      <c r="O1" s="229"/>
      <c r="P1" s="229"/>
    </row>
    <row r="2" spans="1:16" ht="24" x14ac:dyDescent="0.25">
      <c r="A2" s="157"/>
      <c r="B2" s="154">
        <v>43008</v>
      </c>
      <c r="C2" s="154">
        <v>43372</v>
      </c>
      <c r="D2" s="154" t="s">
        <v>27</v>
      </c>
      <c r="E2" s="155"/>
      <c r="F2" s="154">
        <v>43100</v>
      </c>
      <c r="G2" s="154">
        <v>43465</v>
      </c>
      <c r="H2" s="154">
        <v>43738</v>
      </c>
      <c r="I2" s="155"/>
      <c r="J2" s="156" t="s">
        <v>26</v>
      </c>
      <c r="K2" s="154">
        <v>43465</v>
      </c>
      <c r="L2" s="154">
        <v>43738</v>
      </c>
      <c r="M2" s="155"/>
      <c r="N2" s="154">
        <v>43008</v>
      </c>
      <c r="O2" s="154">
        <v>43373</v>
      </c>
      <c r="P2" s="154" t="s">
        <v>50</v>
      </c>
    </row>
    <row r="3" spans="1:16" x14ac:dyDescent="0.25">
      <c r="A3" s="155"/>
      <c r="B3" s="215"/>
      <c r="C3" s="215"/>
      <c r="D3" s="215"/>
      <c r="E3" s="155"/>
      <c r="F3" s="215"/>
      <c r="G3" s="215"/>
      <c r="H3" s="215"/>
      <c r="I3" s="155"/>
      <c r="J3" s="215"/>
      <c r="K3" s="215"/>
      <c r="L3" s="215"/>
      <c r="M3" s="155"/>
      <c r="N3" s="215"/>
      <c r="O3" s="215"/>
      <c r="P3" s="215"/>
    </row>
    <row r="4" spans="1:16" x14ac:dyDescent="0.25">
      <c r="A4" s="201" t="s">
        <v>49</v>
      </c>
      <c r="B4" s="174">
        <v>55137</v>
      </c>
      <c r="C4" s="174">
        <v>59434</v>
      </c>
      <c r="D4" s="174">
        <v>69570</v>
      </c>
      <c r="E4" s="155"/>
      <c r="F4" s="174">
        <v>11692.713</v>
      </c>
      <c r="G4" s="174">
        <v>15794.341</v>
      </c>
      <c r="H4" s="174">
        <v>18875.853999999999</v>
      </c>
      <c r="I4" s="155"/>
      <c r="J4" s="174">
        <v>85029</v>
      </c>
      <c r="K4" s="174">
        <v>94507</v>
      </c>
      <c r="L4" s="174">
        <v>108390</v>
      </c>
      <c r="M4" s="155"/>
      <c r="N4" s="174">
        <v>13263</v>
      </c>
      <c r="O4" s="174">
        <v>12943</v>
      </c>
      <c r="P4" s="174">
        <v>12838</v>
      </c>
    </row>
    <row r="5" spans="1:16" x14ac:dyDescent="0.25">
      <c r="A5" s="170"/>
      <c r="B5" s="170"/>
      <c r="C5" s="170"/>
      <c r="D5" s="170"/>
      <c r="E5" s="155"/>
      <c r="F5" s="170"/>
      <c r="G5" s="170"/>
      <c r="H5" s="170"/>
      <c r="I5" s="155"/>
      <c r="J5" s="170"/>
      <c r="K5" s="170"/>
      <c r="L5" s="170"/>
      <c r="M5" s="155"/>
      <c r="N5" s="170"/>
      <c r="O5" s="170"/>
      <c r="P5" s="170"/>
    </row>
    <row r="6" spans="1:16" x14ac:dyDescent="0.25">
      <c r="A6" s="170" t="s">
        <v>48</v>
      </c>
      <c r="B6" s="162">
        <v>30191</v>
      </c>
      <c r="C6" s="162">
        <v>32726</v>
      </c>
      <c r="D6" s="162">
        <v>42018</v>
      </c>
      <c r="E6" s="155"/>
      <c r="F6" s="162">
        <v>8033</v>
      </c>
      <c r="G6" s="162">
        <v>9967.5380000000005</v>
      </c>
      <c r="H6" s="162">
        <v>11707.59</v>
      </c>
      <c r="I6" s="155"/>
      <c r="J6" s="162">
        <v>25355</v>
      </c>
      <c r="K6" s="162">
        <v>29692</v>
      </c>
      <c r="L6" s="162">
        <v>34392</v>
      </c>
      <c r="M6" s="155"/>
      <c r="N6" s="162">
        <v>7292</v>
      </c>
      <c r="O6" s="162">
        <v>6879</v>
      </c>
      <c r="P6" s="162">
        <v>6761</v>
      </c>
    </row>
    <row r="7" spans="1:16" x14ac:dyDescent="0.25">
      <c r="A7" s="201" t="s">
        <v>47</v>
      </c>
      <c r="B7" s="175">
        <f>B4-B6</f>
        <v>24946</v>
      </c>
      <c r="C7" s="175">
        <f>C4-C6</f>
        <v>26708</v>
      </c>
      <c r="D7" s="175">
        <f>D4-D6</f>
        <v>27552</v>
      </c>
      <c r="E7" s="174"/>
      <c r="F7" s="175">
        <f>F4-F6</f>
        <v>3659.7129999999997</v>
      </c>
      <c r="G7" s="175">
        <f>G4-G6</f>
        <v>5826.8029999999999</v>
      </c>
      <c r="H7" s="175">
        <f>H4-H6</f>
        <v>7168.2639999999992</v>
      </c>
      <c r="I7" s="174"/>
      <c r="J7" s="175">
        <f>J4-J6</f>
        <v>59674</v>
      </c>
      <c r="K7" s="175">
        <f>K4-K6</f>
        <v>64815</v>
      </c>
      <c r="L7" s="175">
        <f>L4-L6</f>
        <v>73998</v>
      </c>
      <c r="M7" s="174"/>
      <c r="N7" s="175">
        <f>N4-N6</f>
        <v>5971</v>
      </c>
      <c r="O7" s="175">
        <f>O4-O6</f>
        <v>6064</v>
      </c>
      <c r="P7" s="175">
        <f>P4-P6</f>
        <v>6077</v>
      </c>
    </row>
    <row r="8" spans="1:16" x14ac:dyDescent="0.25">
      <c r="A8" s="170" t="s">
        <v>46</v>
      </c>
      <c r="B8" s="162">
        <v>8176</v>
      </c>
      <c r="C8" s="162">
        <v>8860</v>
      </c>
      <c r="D8" s="162">
        <v>11438.8</v>
      </c>
      <c r="E8" s="155"/>
      <c r="F8" s="162">
        <v>1867.3240000000001</v>
      </c>
      <c r="G8" s="162">
        <v>2999.7629999999999</v>
      </c>
      <c r="H8" s="162">
        <v>3339.1930000000002</v>
      </c>
      <c r="I8" s="155"/>
      <c r="J8" s="162">
        <v>31968</v>
      </c>
      <c r="K8" s="162">
        <v>34791</v>
      </c>
      <c r="L8" s="162">
        <v>40323</v>
      </c>
      <c r="M8" s="155"/>
      <c r="N8" s="162">
        <v>3005</v>
      </c>
      <c r="O8" s="162">
        <v>3056</v>
      </c>
      <c r="P8" s="162">
        <v>3150</v>
      </c>
    </row>
    <row r="9" spans="1:16" x14ac:dyDescent="0.25">
      <c r="A9" s="170" t="s">
        <v>45</v>
      </c>
      <c r="B9" s="162" t="s">
        <v>9</v>
      </c>
      <c r="C9" s="162" t="s">
        <v>9</v>
      </c>
      <c r="D9" s="162" t="s">
        <v>9</v>
      </c>
      <c r="E9" s="155"/>
      <c r="F9" s="162">
        <v>953.71</v>
      </c>
      <c r="G9" s="162">
        <v>1221.8140000000001</v>
      </c>
      <c r="H9" s="162">
        <v>1467.5619999999999</v>
      </c>
      <c r="I9" s="155"/>
      <c r="J9" s="162" t="s">
        <v>9</v>
      </c>
      <c r="K9" s="162" t="s">
        <v>9</v>
      </c>
      <c r="L9" s="162" t="s">
        <v>9</v>
      </c>
      <c r="M9" s="155"/>
      <c r="N9" s="162" t="s">
        <v>9</v>
      </c>
      <c r="O9" s="162" t="s">
        <v>9</v>
      </c>
      <c r="P9" s="162" t="s">
        <v>9</v>
      </c>
    </row>
    <row r="10" spans="1:16" x14ac:dyDescent="0.25">
      <c r="A10" s="170" t="s">
        <v>44</v>
      </c>
      <c r="B10" s="162">
        <v>2782</v>
      </c>
      <c r="C10" s="162">
        <v>3011</v>
      </c>
      <c r="D10" s="162">
        <v>4160</v>
      </c>
      <c r="E10" s="155"/>
      <c r="F10" s="152">
        <v>0</v>
      </c>
      <c r="G10" s="152">
        <v>0</v>
      </c>
      <c r="H10" s="152">
        <v>0</v>
      </c>
      <c r="I10" s="155"/>
      <c r="J10" s="162">
        <v>7914</v>
      </c>
      <c r="K10" s="162">
        <v>8281</v>
      </c>
      <c r="L10" s="162">
        <v>8772</v>
      </c>
      <c r="M10" s="155"/>
      <c r="N10" s="162">
        <v>223</v>
      </c>
      <c r="O10" s="162">
        <v>213</v>
      </c>
      <c r="P10" s="162">
        <v>215</v>
      </c>
    </row>
    <row r="11" spans="1:16" x14ac:dyDescent="0.25">
      <c r="A11" s="210" t="s">
        <v>43</v>
      </c>
      <c r="B11" s="213">
        <v>0</v>
      </c>
      <c r="C11" s="213">
        <v>0</v>
      </c>
      <c r="D11" s="152">
        <v>0</v>
      </c>
      <c r="E11" s="214"/>
      <c r="F11" s="213">
        <v>0</v>
      </c>
      <c r="G11" s="213">
        <v>0</v>
      </c>
      <c r="H11" s="213">
        <v>0</v>
      </c>
      <c r="I11" s="214"/>
      <c r="J11" s="152">
        <v>2216</v>
      </c>
      <c r="K11" s="152">
        <v>2736</v>
      </c>
      <c r="L11" s="152">
        <v>4201</v>
      </c>
      <c r="M11" s="214"/>
      <c r="N11" s="213">
        <v>0</v>
      </c>
      <c r="O11" s="213">
        <v>0</v>
      </c>
      <c r="P11" s="213">
        <v>0</v>
      </c>
    </row>
    <row r="12" spans="1:16" x14ac:dyDescent="0.25">
      <c r="A12" s="201" t="s">
        <v>42</v>
      </c>
      <c r="B12" s="212">
        <f>B7-SUM(B8:B11)</f>
        <v>13988</v>
      </c>
      <c r="C12" s="212">
        <f>C7-SUM(C8:C11)</f>
        <v>14837</v>
      </c>
      <c r="D12" s="212">
        <f>D7-SUM(D8:D11)</f>
        <v>11953.2</v>
      </c>
      <c r="E12" s="174"/>
      <c r="F12" s="212">
        <f>F7-SUM(F8:F11)</f>
        <v>838.67899999999963</v>
      </c>
      <c r="G12" s="212">
        <f>G7-SUM(G8:G11)</f>
        <v>1605.2259999999997</v>
      </c>
      <c r="H12" s="212">
        <f>H7-SUM(H8:H11)</f>
        <v>2361.5089999999991</v>
      </c>
      <c r="I12" s="174"/>
      <c r="J12" s="212">
        <f>J7-SUM(J8:J11)</f>
        <v>17576</v>
      </c>
      <c r="K12" s="212">
        <f>K7-SUM(K8:K11)</f>
        <v>19007</v>
      </c>
      <c r="L12" s="212">
        <f>L7-SUM(L8:L11)</f>
        <v>20702</v>
      </c>
      <c r="M12" s="174"/>
      <c r="N12" s="212">
        <f>N7-SUM(N8:N11)</f>
        <v>2743</v>
      </c>
      <c r="O12" s="212">
        <f>O7-SUM(O8:O11)</f>
        <v>2795</v>
      </c>
      <c r="P12" s="212">
        <f>P7-SUM(P8:P11)</f>
        <v>2712</v>
      </c>
    </row>
    <row r="13" spans="1:16" x14ac:dyDescent="0.25">
      <c r="A13" s="170" t="s">
        <v>41</v>
      </c>
      <c r="B13" s="162">
        <v>-412</v>
      </c>
      <c r="C13" s="162">
        <v>-574</v>
      </c>
      <c r="D13" s="162">
        <v>-980</v>
      </c>
      <c r="E13" s="155"/>
      <c r="F13" s="162">
        <v>-225.4</v>
      </c>
      <c r="G13" s="162">
        <v>-377.8</v>
      </c>
      <c r="H13" s="162">
        <v>-509.2</v>
      </c>
      <c r="I13" s="155"/>
      <c r="J13" s="162">
        <v>-2755</v>
      </c>
      <c r="K13" s="162">
        <v>-3216</v>
      </c>
      <c r="L13" s="162">
        <v>-4326</v>
      </c>
      <c r="M13" s="155"/>
      <c r="N13" s="162">
        <v>-618</v>
      </c>
      <c r="O13" s="162">
        <v>-560</v>
      </c>
      <c r="P13" s="162">
        <v>-489</v>
      </c>
    </row>
    <row r="14" spans="1:16" x14ac:dyDescent="0.25">
      <c r="A14" s="210" t="s">
        <v>40</v>
      </c>
      <c r="B14" s="162">
        <v>320</v>
      </c>
      <c r="C14" s="162">
        <v>-102</v>
      </c>
      <c r="D14" s="162">
        <v>-103</v>
      </c>
      <c r="E14" s="162"/>
      <c r="F14" s="211">
        <v>-128</v>
      </c>
      <c r="G14" s="211">
        <v>-1</v>
      </c>
      <c r="H14" s="211">
        <v>180</v>
      </c>
      <c r="I14" s="162"/>
      <c r="J14" s="162">
        <v>107</v>
      </c>
      <c r="K14" s="162">
        <v>-364</v>
      </c>
      <c r="L14" s="162">
        <v>-603</v>
      </c>
      <c r="M14" s="162"/>
      <c r="N14" s="162">
        <v>86</v>
      </c>
      <c r="O14" s="162">
        <v>-8</v>
      </c>
      <c r="P14" s="162">
        <v>-12</v>
      </c>
    </row>
    <row r="15" spans="1:16" x14ac:dyDescent="0.25">
      <c r="A15" s="210" t="s">
        <v>39</v>
      </c>
      <c r="B15" s="186">
        <v>-108</v>
      </c>
      <c r="C15" s="186">
        <v>568</v>
      </c>
      <c r="D15" s="209">
        <v>3073.8</v>
      </c>
      <c r="E15" s="209"/>
      <c r="F15" s="186" t="s">
        <v>9</v>
      </c>
      <c r="G15" s="186" t="s">
        <v>9</v>
      </c>
      <c r="H15" s="186" t="s">
        <v>9</v>
      </c>
      <c r="I15" s="209"/>
      <c r="J15" s="162">
        <v>425</v>
      </c>
      <c r="K15" s="162">
        <v>-185</v>
      </c>
      <c r="L15" s="162">
        <v>230</v>
      </c>
      <c r="M15" s="209"/>
      <c r="N15" s="209">
        <v>4</v>
      </c>
      <c r="O15" s="209">
        <v>-199</v>
      </c>
      <c r="P15" s="208">
        <v>-178</v>
      </c>
    </row>
    <row r="16" spans="1:16" x14ac:dyDescent="0.25">
      <c r="A16" s="170" t="s">
        <v>38</v>
      </c>
      <c r="B16" s="162">
        <v>-4422</v>
      </c>
      <c r="C16" s="162">
        <v>-1663</v>
      </c>
      <c r="D16" s="162">
        <v>-3031</v>
      </c>
      <c r="E16" s="155"/>
      <c r="F16" s="162">
        <v>-73.599999999999994</v>
      </c>
      <c r="G16" s="162">
        <v>-15.215999999999999</v>
      </c>
      <c r="H16" s="162">
        <v>-618.41399999999999</v>
      </c>
      <c r="I16" s="155"/>
      <c r="J16" s="162">
        <v>-7569</v>
      </c>
      <c r="K16" s="162">
        <v>-3380</v>
      </c>
      <c r="L16" s="162">
        <v>-3298</v>
      </c>
      <c r="M16" s="155"/>
      <c r="N16" s="162">
        <v>-293</v>
      </c>
      <c r="O16" s="162">
        <v>-269</v>
      </c>
      <c r="P16" s="162">
        <v>-445</v>
      </c>
    </row>
    <row r="17" spans="1:16" x14ac:dyDescent="0.25">
      <c r="A17" s="207" t="s">
        <v>37</v>
      </c>
      <c r="B17" s="152">
        <v>0</v>
      </c>
      <c r="C17" s="152">
        <v>0</v>
      </c>
      <c r="D17" s="206">
        <v>613</v>
      </c>
      <c r="E17" s="205"/>
      <c r="F17" s="152">
        <v>0</v>
      </c>
      <c r="G17" s="152">
        <v>0</v>
      </c>
      <c r="H17" s="152">
        <v>0</v>
      </c>
      <c r="I17" s="152"/>
      <c r="J17" s="152">
        <v>0</v>
      </c>
      <c r="K17" s="152">
        <v>0</v>
      </c>
      <c r="L17" s="152">
        <v>0</v>
      </c>
      <c r="M17" s="152"/>
      <c r="N17" s="152">
        <v>0</v>
      </c>
      <c r="O17" s="152">
        <v>0</v>
      </c>
      <c r="P17" s="152">
        <v>0</v>
      </c>
    </row>
    <row r="18" spans="1:16" x14ac:dyDescent="0.25">
      <c r="A18" s="201" t="s">
        <v>36</v>
      </c>
      <c r="B18" s="203">
        <f>B12+SUM(B13:B17)</f>
        <v>9366</v>
      </c>
      <c r="C18" s="203">
        <f>C12+SUM(C13:C17)</f>
        <v>13066</v>
      </c>
      <c r="D18" s="203">
        <f>D12+SUM(D13:D17)</f>
        <v>11526</v>
      </c>
      <c r="E18" s="204"/>
      <c r="F18" s="203">
        <f>F12+SUM(F13:F17)</f>
        <v>411.67899999999963</v>
      </c>
      <c r="G18" s="203">
        <f>G12+SUM(G13:G17)</f>
        <v>1211.2099999999996</v>
      </c>
      <c r="H18" s="203">
        <f>H12+SUM(H13:H17)</f>
        <v>1413.8949999999991</v>
      </c>
      <c r="I18" s="204"/>
      <c r="J18" s="203">
        <f>J12+SUM(J13:J17)</f>
        <v>7784</v>
      </c>
      <c r="K18" s="203">
        <f>K12+SUM(K13:K17)</f>
        <v>11862</v>
      </c>
      <c r="L18" s="203">
        <f>L12+SUM(L13:L17)</f>
        <v>12705</v>
      </c>
      <c r="M18" s="204"/>
      <c r="N18" s="203">
        <f>N12+SUM(N13:N17)</f>
        <v>1922</v>
      </c>
      <c r="O18" s="203">
        <f>O12+SUM(O13:O17)</f>
        <v>1759</v>
      </c>
      <c r="P18" s="203">
        <f>P12+SUM(P13:P17)</f>
        <v>1588</v>
      </c>
    </row>
    <row r="19" spans="1:16" x14ac:dyDescent="0.25">
      <c r="A19" s="170" t="s">
        <v>35</v>
      </c>
      <c r="B19" s="162">
        <v>-386</v>
      </c>
      <c r="C19" s="162">
        <v>-468</v>
      </c>
      <c r="D19" s="162">
        <v>-472</v>
      </c>
      <c r="E19" s="155"/>
      <c r="F19" s="152">
        <v>0</v>
      </c>
      <c r="G19" s="152">
        <v>0</v>
      </c>
      <c r="H19" s="152">
        <v>0</v>
      </c>
      <c r="I19" s="155"/>
      <c r="J19" s="162">
        <v>-187</v>
      </c>
      <c r="K19" s="162">
        <v>-131</v>
      </c>
      <c r="L19" s="162">
        <v>-299</v>
      </c>
      <c r="M19" s="155"/>
      <c r="N19" s="162">
        <v>-48</v>
      </c>
      <c r="O19" s="162">
        <v>-40</v>
      </c>
      <c r="P19" s="162">
        <v>-40</v>
      </c>
    </row>
    <row r="20" spans="1:16" x14ac:dyDescent="0.25">
      <c r="A20" s="201" t="s">
        <v>34</v>
      </c>
      <c r="B20" s="180">
        <f>B18+B19</f>
        <v>8980</v>
      </c>
      <c r="C20" s="180">
        <f>C18+C19</f>
        <v>12598</v>
      </c>
      <c r="D20" s="180">
        <f>D18+D19</f>
        <v>11054</v>
      </c>
      <c r="E20" s="167"/>
      <c r="F20" s="202">
        <f>F18+F19</f>
        <v>411.67899999999963</v>
      </c>
      <c r="G20" s="180">
        <f>G18+G19</f>
        <v>1211.2099999999996</v>
      </c>
      <c r="H20" s="180">
        <f>H18+H19</f>
        <v>1413.8949999999991</v>
      </c>
      <c r="I20" s="167"/>
      <c r="J20" s="180">
        <f>J18+J19</f>
        <v>7597</v>
      </c>
      <c r="K20" s="180">
        <f>K18+K19</f>
        <v>11731</v>
      </c>
      <c r="L20" s="180">
        <f>L18+L19</f>
        <v>12406</v>
      </c>
      <c r="M20" s="167"/>
      <c r="N20" s="180">
        <f>N18+N19</f>
        <v>1874</v>
      </c>
      <c r="O20" s="180">
        <f>O18+O19</f>
        <v>1719</v>
      </c>
      <c r="P20" s="180">
        <f>P18+P19</f>
        <v>1548</v>
      </c>
    </row>
    <row r="21" spans="1:16" x14ac:dyDescent="0.25">
      <c r="A21" s="201"/>
      <c r="B21" s="174"/>
      <c r="C21" s="174"/>
      <c r="D21" s="174"/>
      <c r="E21" s="155"/>
      <c r="F21" s="174"/>
      <c r="G21" s="174"/>
      <c r="H21" s="174"/>
      <c r="I21" s="155"/>
      <c r="J21" s="174"/>
      <c r="K21" s="174"/>
      <c r="L21" s="174"/>
      <c r="M21" s="155"/>
      <c r="N21" s="174"/>
      <c r="O21" s="174"/>
      <c r="P21" s="174"/>
    </row>
    <row r="22" spans="1:16" x14ac:dyDescent="0.25">
      <c r="A22" s="170" t="s">
        <v>33</v>
      </c>
      <c r="B22" s="162">
        <v>1578</v>
      </c>
      <c r="C22" s="162">
        <v>1507</v>
      </c>
      <c r="D22" s="162">
        <v>1666</v>
      </c>
      <c r="E22" s="155"/>
      <c r="F22" s="162">
        <v>431.88499999999999</v>
      </c>
      <c r="G22" s="162">
        <v>435.37400000000002</v>
      </c>
      <c r="H22" s="162">
        <v>437.2595</v>
      </c>
      <c r="I22" s="155"/>
      <c r="J22" s="162">
        <v>4708</v>
      </c>
      <c r="K22" s="162">
        <v>4584</v>
      </c>
      <c r="L22" s="162">
        <v>4542.75</v>
      </c>
      <c r="M22" s="155"/>
      <c r="N22" s="162">
        <v>400.6</v>
      </c>
      <c r="O22" s="162">
        <v>403</v>
      </c>
      <c r="P22" s="162">
        <v>403.8</v>
      </c>
    </row>
    <row r="23" spans="1:16" x14ac:dyDescent="0.25">
      <c r="A23" s="170" t="s">
        <v>32</v>
      </c>
      <c r="B23" s="200">
        <v>1.62</v>
      </c>
      <c r="C23" s="200">
        <v>1.72</v>
      </c>
      <c r="D23" s="200">
        <v>1.76</v>
      </c>
      <c r="E23" s="152"/>
      <c r="F23" s="152">
        <v>0</v>
      </c>
      <c r="G23" s="152">
        <v>0</v>
      </c>
      <c r="H23" s="152">
        <v>0</v>
      </c>
      <c r="I23" s="155"/>
      <c r="J23" s="200">
        <v>0.63</v>
      </c>
      <c r="K23" s="200">
        <v>0.76</v>
      </c>
      <c r="L23" s="200">
        <v>0.82</v>
      </c>
      <c r="M23" s="155"/>
      <c r="N23" s="200">
        <v>0.8</v>
      </c>
      <c r="O23" s="200">
        <v>0.8</v>
      </c>
      <c r="P23" s="200">
        <v>0.8</v>
      </c>
    </row>
    <row r="30" spans="1:16" x14ac:dyDescent="0.25">
      <c r="A30" s="161"/>
      <c r="B30" s="228" t="s">
        <v>31</v>
      </c>
      <c r="C30" s="229"/>
      <c r="D30" s="229"/>
      <c r="E30" s="155"/>
      <c r="F30" s="228" t="s">
        <v>30</v>
      </c>
      <c r="G30" s="229"/>
      <c r="H30" s="229"/>
      <c r="I30" s="155"/>
      <c r="J30" s="228" t="s">
        <v>29</v>
      </c>
      <c r="K30" s="229"/>
      <c r="L30" s="229"/>
      <c r="M30" s="155"/>
      <c r="N30" s="228" t="s">
        <v>28</v>
      </c>
      <c r="O30" s="229"/>
      <c r="P30" s="229"/>
    </row>
    <row r="31" spans="1:16" ht="36.75" x14ac:dyDescent="0.25">
      <c r="A31" s="157"/>
      <c r="B31" s="198">
        <v>43008</v>
      </c>
      <c r="C31" s="198">
        <v>43372</v>
      </c>
      <c r="D31" s="198" t="s">
        <v>76</v>
      </c>
      <c r="E31" s="161"/>
      <c r="F31" s="198">
        <v>43100</v>
      </c>
      <c r="G31" s="198">
        <v>43465</v>
      </c>
      <c r="H31" s="198">
        <v>43738</v>
      </c>
      <c r="I31" s="161"/>
      <c r="J31" s="199" t="s">
        <v>75</v>
      </c>
      <c r="K31" s="198">
        <v>43465</v>
      </c>
      <c r="L31" s="198">
        <v>43738</v>
      </c>
      <c r="M31" s="161"/>
      <c r="N31" s="198">
        <v>43008</v>
      </c>
      <c r="O31" s="198">
        <v>43373</v>
      </c>
      <c r="P31" s="198" t="s">
        <v>74</v>
      </c>
    </row>
    <row r="32" spans="1:16" x14ac:dyDescent="0.25">
      <c r="A32" s="161"/>
      <c r="B32" s="197"/>
      <c r="C32" s="197"/>
      <c r="D32" s="197"/>
      <c r="E32" s="161"/>
      <c r="F32" s="197"/>
      <c r="G32" s="197"/>
      <c r="H32" s="197"/>
      <c r="I32" s="161"/>
      <c r="J32" s="197"/>
      <c r="K32" s="197"/>
      <c r="L32" s="197"/>
      <c r="M32" s="161"/>
      <c r="N32" s="197"/>
      <c r="O32" s="197"/>
      <c r="P32" s="197"/>
    </row>
    <row r="33" spans="1:16" x14ac:dyDescent="0.25">
      <c r="A33" s="193" t="s">
        <v>73</v>
      </c>
      <c r="B33" s="161"/>
      <c r="C33" s="161"/>
      <c r="D33" s="161"/>
      <c r="E33" s="161"/>
      <c r="F33" s="161"/>
      <c r="G33" s="161"/>
      <c r="H33" s="161"/>
      <c r="I33" s="161"/>
      <c r="J33" s="161"/>
      <c r="K33" s="161"/>
      <c r="L33" s="161"/>
      <c r="M33" s="161"/>
      <c r="N33" s="161"/>
      <c r="O33" s="161"/>
      <c r="P33" s="161"/>
    </row>
    <row r="34" spans="1:16" x14ac:dyDescent="0.25">
      <c r="A34" s="193" t="s">
        <v>72</v>
      </c>
      <c r="B34" s="192">
        <v>8980</v>
      </c>
      <c r="C34" s="192">
        <v>12598</v>
      </c>
      <c r="D34" s="192">
        <v>11054</v>
      </c>
      <c r="E34" s="161"/>
      <c r="F34" s="192">
        <v>558.92899999999997</v>
      </c>
      <c r="G34" s="192">
        <v>1211.242</v>
      </c>
      <c r="H34" s="192">
        <v>1413.88</v>
      </c>
      <c r="I34" s="161"/>
      <c r="J34" s="192">
        <v>22735</v>
      </c>
      <c r="K34" s="192">
        <v>11731</v>
      </c>
      <c r="L34" s="192">
        <v>12406</v>
      </c>
      <c r="M34" s="161"/>
      <c r="N34" s="192">
        <v>1874</v>
      </c>
      <c r="O34" s="192">
        <v>1719</v>
      </c>
      <c r="P34" s="192">
        <v>1548</v>
      </c>
    </row>
    <row r="35" spans="1:16" x14ac:dyDescent="0.25">
      <c r="A35" s="193" t="s">
        <v>44</v>
      </c>
      <c r="B35" s="192">
        <v>2782</v>
      </c>
      <c r="C35" s="192">
        <v>3011</v>
      </c>
      <c r="D35" s="192">
        <v>4160</v>
      </c>
      <c r="E35" s="161"/>
      <c r="F35" s="192">
        <v>71.911000000000001</v>
      </c>
      <c r="G35" s="192">
        <v>83.156999999999996</v>
      </c>
      <c r="H35" s="192">
        <v>98.98</v>
      </c>
      <c r="I35" s="161"/>
      <c r="J35" s="192">
        <v>10130</v>
      </c>
      <c r="K35" s="192">
        <v>11017</v>
      </c>
      <c r="L35" s="192">
        <v>12973</v>
      </c>
      <c r="M35" s="161"/>
      <c r="N35" s="192">
        <v>223</v>
      </c>
      <c r="O35" s="192">
        <v>213</v>
      </c>
      <c r="P35" s="192">
        <v>215</v>
      </c>
    </row>
    <row r="36" spans="1:16" x14ac:dyDescent="0.25">
      <c r="A36" s="193" t="s">
        <v>71</v>
      </c>
      <c r="B36" s="192">
        <v>-266</v>
      </c>
      <c r="C36" s="192">
        <v>-502</v>
      </c>
      <c r="D36" s="192">
        <v>23</v>
      </c>
      <c r="E36" s="192"/>
      <c r="F36" s="192">
        <v>74.558999999999997</v>
      </c>
      <c r="G36" s="192">
        <v>199.19800000000001</v>
      </c>
      <c r="H36" s="192">
        <v>-13</v>
      </c>
      <c r="I36" s="192"/>
      <c r="J36" s="192">
        <v>-696</v>
      </c>
      <c r="K36" s="192">
        <v>-1196</v>
      </c>
      <c r="L36" s="192">
        <v>-1675</v>
      </c>
      <c r="M36" s="192"/>
      <c r="N36" s="192">
        <v>-339</v>
      </c>
      <c r="O36" s="192">
        <v>-295</v>
      </c>
      <c r="P36" s="192">
        <v>-76</v>
      </c>
    </row>
    <row r="37" spans="1:16" x14ac:dyDescent="0.25">
      <c r="A37" s="193" t="s">
        <v>70</v>
      </c>
      <c r="B37" s="192">
        <v>847</v>
      </c>
      <c r="C37" s="192">
        <v>-812</v>
      </c>
      <c r="D37" s="192">
        <v>-8631</v>
      </c>
      <c r="E37" s="192"/>
      <c r="F37" s="192">
        <v>-2491.3429999999994</v>
      </c>
      <c r="G37" s="192">
        <v>-4174.0659999999998</v>
      </c>
      <c r="H37" s="192">
        <v>-4160.3229999999994</v>
      </c>
      <c r="I37" s="192"/>
      <c r="J37" s="192">
        <v>-10908</v>
      </c>
      <c r="K37" s="192">
        <v>2745</v>
      </c>
      <c r="L37" s="192">
        <v>1548</v>
      </c>
      <c r="M37" s="192"/>
      <c r="N37" s="192">
        <v>-53</v>
      </c>
      <c r="O37" s="192">
        <v>185</v>
      </c>
      <c r="P37" s="192">
        <v>-111</v>
      </c>
    </row>
    <row r="38" spans="1:16" x14ac:dyDescent="0.25">
      <c r="A38" s="191" t="s">
        <v>69</v>
      </c>
      <c r="B38" s="194">
        <f>SUM(B34:B37)</f>
        <v>12343</v>
      </c>
      <c r="C38" s="194">
        <f>SUM(C34:C37)</f>
        <v>14295</v>
      </c>
      <c r="D38" s="194">
        <f>SUM(D34:D37)</f>
        <v>6606</v>
      </c>
      <c r="E38" s="195"/>
      <c r="F38" s="194">
        <f>SUM(F34:F37)</f>
        <v>-1785.9439999999995</v>
      </c>
      <c r="G38" s="194">
        <f>SUM(G34:G37)</f>
        <v>-2680.4690000000001</v>
      </c>
      <c r="H38" s="194">
        <f>SUM(H34:H37)</f>
        <v>-2660.4629999999993</v>
      </c>
      <c r="I38" s="195"/>
      <c r="J38" s="194">
        <f>SUM(J34:J37)</f>
        <v>21261</v>
      </c>
      <c r="K38" s="194">
        <f>SUM(K34:K37)</f>
        <v>24297</v>
      </c>
      <c r="L38" s="194">
        <f>SUM(L34:L37)</f>
        <v>25252</v>
      </c>
      <c r="M38" s="195"/>
      <c r="N38" s="194">
        <f>SUM(N34:N37)</f>
        <v>1705</v>
      </c>
      <c r="O38" s="194">
        <f>SUM(O34:O37)</f>
        <v>1822</v>
      </c>
      <c r="P38" s="194">
        <f>SUM(P34:P37)</f>
        <v>1576</v>
      </c>
    </row>
    <row r="39" spans="1:16" x14ac:dyDescent="0.25">
      <c r="A39" s="193"/>
      <c r="B39" s="193"/>
      <c r="C39" s="193"/>
      <c r="D39" s="193"/>
      <c r="E39" s="161"/>
      <c r="F39" s="193"/>
      <c r="G39" s="193"/>
      <c r="H39" s="193"/>
      <c r="I39" s="161"/>
      <c r="J39" s="193"/>
      <c r="K39" s="193"/>
      <c r="L39" s="193"/>
      <c r="M39" s="161"/>
      <c r="N39" s="193"/>
      <c r="O39" s="193"/>
      <c r="P39" s="193"/>
    </row>
    <row r="40" spans="1:16" x14ac:dyDescent="0.25">
      <c r="A40" s="193" t="s">
        <v>68</v>
      </c>
      <c r="B40" s="193"/>
      <c r="C40" s="193"/>
      <c r="D40" s="193"/>
      <c r="E40" s="161"/>
      <c r="F40" s="193"/>
      <c r="G40" s="193"/>
      <c r="H40" s="193"/>
      <c r="I40" s="161"/>
      <c r="J40" s="193"/>
      <c r="K40" s="193"/>
      <c r="L40" s="193"/>
      <c r="M40" s="161"/>
      <c r="N40" s="193"/>
      <c r="O40" s="193"/>
      <c r="P40" s="193"/>
    </row>
    <row r="41" spans="1:16" x14ac:dyDescent="0.25">
      <c r="A41" s="193" t="s">
        <v>67</v>
      </c>
      <c r="B41" s="192">
        <v>-3623</v>
      </c>
      <c r="C41" s="192">
        <v>-4465</v>
      </c>
      <c r="D41" s="192">
        <v>-4876</v>
      </c>
      <c r="E41" s="161"/>
      <c r="F41" s="192">
        <v>-173.3</v>
      </c>
      <c r="G41" s="192">
        <v>-173.9</v>
      </c>
      <c r="H41" s="192">
        <v>-215.4</v>
      </c>
      <c r="I41" s="161"/>
      <c r="J41" s="192">
        <v>-9621</v>
      </c>
      <c r="K41" s="192">
        <v>-10234</v>
      </c>
      <c r="L41" s="192">
        <v>-10972</v>
      </c>
      <c r="M41" s="161"/>
      <c r="N41" s="192">
        <v>-195</v>
      </c>
      <c r="O41" s="192">
        <v>-178</v>
      </c>
      <c r="P41" s="192">
        <v>-194</v>
      </c>
    </row>
    <row r="42" spans="1:16" x14ac:dyDescent="0.25">
      <c r="A42" s="193" t="s">
        <v>66</v>
      </c>
      <c r="B42" s="192" t="s">
        <v>9</v>
      </c>
      <c r="C42" s="192" t="s">
        <v>9</v>
      </c>
      <c r="D42" s="192" t="s">
        <v>9</v>
      </c>
      <c r="E42" s="161"/>
      <c r="F42" s="192" t="s">
        <v>9</v>
      </c>
      <c r="G42" s="192" t="s">
        <v>9</v>
      </c>
      <c r="H42" s="192" t="s">
        <v>9</v>
      </c>
      <c r="I42" s="161"/>
      <c r="J42" s="192" t="s">
        <v>9</v>
      </c>
      <c r="K42" s="192" t="s">
        <v>9</v>
      </c>
      <c r="L42" s="192" t="s">
        <v>9</v>
      </c>
      <c r="M42" s="161"/>
      <c r="N42" s="192">
        <v>848</v>
      </c>
      <c r="O42" s="192">
        <v>57</v>
      </c>
      <c r="P42" s="192">
        <v>5</v>
      </c>
    </row>
    <row r="43" spans="1:16" x14ac:dyDescent="0.25">
      <c r="A43" s="193" t="s">
        <v>65</v>
      </c>
      <c r="B43" s="192">
        <v>-417</v>
      </c>
      <c r="C43" s="192">
        <v>-1881</v>
      </c>
      <c r="D43" s="192">
        <v>-9901</v>
      </c>
      <c r="E43" s="161"/>
      <c r="F43" s="192" t="s">
        <v>9</v>
      </c>
      <c r="G43" s="192" t="s">
        <v>9</v>
      </c>
      <c r="H43" s="192" t="s">
        <v>9</v>
      </c>
      <c r="I43" s="161"/>
      <c r="J43" s="192">
        <v>-532</v>
      </c>
      <c r="K43" s="192">
        <v>-38219</v>
      </c>
      <c r="L43" s="192">
        <v>-38312</v>
      </c>
      <c r="M43" s="161"/>
      <c r="N43" s="192">
        <v>-378</v>
      </c>
      <c r="O43" s="192">
        <v>-112</v>
      </c>
      <c r="P43" s="192">
        <v>-424</v>
      </c>
    </row>
    <row r="44" spans="1:16" x14ac:dyDescent="0.25">
      <c r="A44" s="193" t="s">
        <v>64</v>
      </c>
      <c r="B44" s="192">
        <v>-71</v>
      </c>
      <c r="C44" s="192">
        <v>710</v>
      </c>
      <c r="D44" s="192">
        <v>10659</v>
      </c>
      <c r="E44" s="192"/>
      <c r="F44" s="192">
        <v>207.64000000000004</v>
      </c>
      <c r="G44" s="192">
        <v>-165.2</v>
      </c>
      <c r="H44" s="192">
        <v>-44.400000000000006</v>
      </c>
      <c r="I44" s="192"/>
      <c r="J44" s="192">
        <v>-3380</v>
      </c>
      <c r="K44" s="192">
        <v>-2401</v>
      </c>
      <c r="L44" s="192">
        <v>-3892</v>
      </c>
      <c r="M44" s="192"/>
      <c r="N44" s="192">
        <v>54</v>
      </c>
      <c r="O44" s="192">
        <v>9</v>
      </c>
      <c r="P44" s="192">
        <v>5</v>
      </c>
    </row>
    <row r="45" spans="1:16" x14ac:dyDescent="0.25">
      <c r="A45" s="191" t="s">
        <v>63</v>
      </c>
      <c r="B45" s="194">
        <f>SUM(B41:B44)</f>
        <v>-4111</v>
      </c>
      <c r="C45" s="194">
        <f>SUM(C41:C44)</f>
        <v>-5636</v>
      </c>
      <c r="D45" s="194">
        <f>SUM(D41:D44)</f>
        <v>-4118</v>
      </c>
      <c r="E45" s="195"/>
      <c r="F45" s="194">
        <f>SUM(F41:F44)</f>
        <v>34.340000000000032</v>
      </c>
      <c r="G45" s="194">
        <f>SUM(G41:G44)</f>
        <v>-339.1</v>
      </c>
      <c r="H45" s="194">
        <f>SUM(H41:H44)</f>
        <v>-259.8</v>
      </c>
      <c r="I45" s="195"/>
      <c r="J45" s="194">
        <f>SUM(J41:J44)</f>
        <v>-13533</v>
      </c>
      <c r="K45" s="194">
        <f>SUM(K41:K44)</f>
        <v>-50854</v>
      </c>
      <c r="L45" s="194">
        <f>SUM(L41:L44)</f>
        <v>-53176</v>
      </c>
      <c r="M45" s="195"/>
      <c r="N45" s="194">
        <f>SUM(N41:N44)</f>
        <v>329</v>
      </c>
      <c r="O45" s="194">
        <f>SUM(O41:O44)</f>
        <v>-224</v>
      </c>
      <c r="P45" s="194">
        <f>SUM(P41:P44)</f>
        <v>-608</v>
      </c>
    </row>
    <row r="46" spans="1:16" x14ac:dyDescent="0.25">
      <c r="A46" s="193"/>
      <c r="B46" s="193"/>
      <c r="C46" s="193"/>
      <c r="D46" s="193"/>
      <c r="E46" s="161"/>
      <c r="F46" s="193"/>
      <c r="G46" s="193"/>
      <c r="H46" s="193"/>
      <c r="I46" s="161"/>
      <c r="J46" s="193"/>
      <c r="K46" s="193"/>
      <c r="L46" s="193"/>
      <c r="M46" s="161"/>
      <c r="N46" s="193"/>
      <c r="O46" s="193"/>
      <c r="P46" s="193"/>
    </row>
    <row r="47" spans="1:16" x14ac:dyDescent="0.25">
      <c r="A47" s="193" t="s">
        <v>62</v>
      </c>
      <c r="B47" s="193"/>
      <c r="C47" s="193"/>
      <c r="D47" s="193"/>
      <c r="E47" s="161"/>
      <c r="F47" s="193"/>
      <c r="G47" s="193"/>
      <c r="H47" s="193"/>
      <c r="I47" s="161"/>
      <c r="J47" s="193"/>
      <c r="K47" s="193"/>
      <c r="L47" s="193"/>
      <c r="M47" s="161"/>
      <c r="N47" s="193"/>
      <c r="O47" s="193"/>
      <c r="P47" s="193"/>
    </row>
    <row r="48" spans="1:16" x14ac:dyDescent="0.25">
      <c r="A48" s="193" t="s">
        <v>61</v>
      </c>
      <c r="B48" s="196">
        <v>3703</v>
      </c>
      <c r="C48" s="196">
        <v>-2583</v>
      </c>
      <c r="D48" s="196">
        <v>3677</v>
      </c>
      <c r="E48" s="196"/>
      <c r="F48" s="196">
        <v>3020.51</v>
      </c>
      <c r="G48" s="196">
        <v>3961.8519999999999</v>
      </c>
      <c r="H48" s="196">
        <v>4305.0479999999998</v>
      </c>
      <c r="I48" s="196"/>
      <c r="J48" s="196">
        <v>3197</v>
      </c>
      <c r="K48" s="196">
        <v>36362</v>
      </c>
      <c r="L48" s="196">
        <v>22436</v>
      </c>
      <c r="M48" s="196"/>
      <c r="N48" s="196">
        <v>-783</v>
      </c>
      <c r="O48" s="196">
        <v>-1000</v>
      </c>
      <c r="P48" s="196">
        <v>-1320</v>
      </c>
    </row>
    <row r="49" spans="1:16" x14ac:dyDescent="0.25">
      <c r="A49" s="193" t="s">
        <v>60</v>
      </c>
      <c r="B49" s="192">
        <v>276</v>
      </c>
      <c r="C49" s="192">
        <v>210</v>
      </c>
      <c r="D49" s="192">
        <v>318</v>
      </c>
      <c r="E49" s="161"/>
      <c r="F49" s="192">
        <v>88.378</v>
      </c>
      <c r="G49" s="192">
        <v>124.502</v>
      </c>
      <c r="H49" s="192">
        <v>68.307000000000002</v>
      </c>
      <c r="I49" s="161"/>
      <c r="J49" s="192" t="s">
        <v>9</v>
      </c>
      <c r="K49" s="192" t="s">
        <v>9</v>
      </c>
      <c r="L49" s="192" t="s">
        <v>9</v>
      </c>
      <c r="M49" s="161"/>
      <c r="N49" s="192">
        <v>172</v>
      </c>
      <c r="O49" s="192">
        <v>2</v>
      </c>
      <c r="P49" s="192" t="s">
        <v>9</v>
      </c>
    </row>
    <row r="50" spans="1:16" x14ac:dyDescent="0.25">
      <c r="A50" s="193" t="s">
        <v>59</v>
      </c>
      <c r="B50" s="192">
        <v>-9368</v>
      </c>
      <c r="C50" s="192">
        <v>-3577</v>
      </c>
      <c r="D50" s="192" t="s">
        <v>9</v>
      </c>
      <c r="E50" s="161"/>
      <c r="F50" s="192" t="s">
        <v>9</v>
      </c>
      <c r="G50" s="192" t="s">
        <v>9</v>
      </c>
      <c r="H50" s="192" t="s">
        <v>9</v>
      </c>
      <c r="I50" s="161"/>
      <c r="J50" s="192">
        <v>-5435</v>
      </c>
      <c r="K50" s="192">
        <v>-5320</v>
      </c>
      <c r="L50" s="192">
        <v>-1470</v>
      </c>
      <c r="M50" s="161"/>
      <c r="N50" s="192" t="s">
        <v>9</v>
      </c>
      <c r="O50" s="192" t="s">
        <v>9</v>
      </c>
      <c r="P50" s="192" t="s">
        <v>9</v>
      </c>
    </row>
    <row r="51" spans="1:16" x14ac:dyDescent="0.25">
      <c r="A51" s="193" t="s">
        <v>58</v>
      </c>
      <c r="B51" s="192">
        <v>-2445</v>
      </c>
      <c r="C51" s="192">
        <v>-2515</v>
      </c>
      <c r="D51" s="192">
        <v>-2895</v>
      </c>
      <c r="E51" s="161"/>
      <c r="F51" s="192" t="s">
        <v>9</v>
      </c>
      <c r="G51" s="192" t="s">
        <v>9</v>
      </c>
      <c r="H51" s="192" t="s">
        <v>9</v>
      </c>
      <c r="I51" s="161"/>
      <c r="J51" s="192">
        <v>-2883</v>
      </c>
      <c r="K51" s="192">
        <v>-3352</v>
      </c>
      <c r="L51" s="192">
        <v>-3643</v>
      </c>
      <c r="M51" s="161"/>
      <c r="N51" s="192">
        <v>-319</v>
      </c>
      <c r="O51" s="192">
        <v>-322</v>
      </c>
      <c r="P51" s="192">
        <v>-322</v>
      </c>
    </row>
    <row r="52" spans="1:16" x14ac:dyDescent="0.25">
      <c r="A52" s="193" t="s">
        <v>57</v>
      </c>
      <c r="B52" s="192">
        <v>-1125</v>
      </c>
      <c r="C52" s="192">
        <v>-378</v>
      </c>
      <c r="D52" s="192">
        <v>-2190</v>
      </c>
      <c r="E52" s="161"/>
      <c r="F52" s="192">
        <v>-31.9</v>
      </c>
      <c r="G52" s="192">
        <v>-37.799999999999997</v>
      </c>
      <c r="H52" s="192">
        <v>-37.6</v>
      </c>
      <c r="I52" s="161"/>
      <c r="J52" s="192">
        <v>-2451</v>
      </c>
      <c r="K52" s="192">
        <v>-550</v>
      </c>
      <c r="L52" s="192">
        <v>-143</v>
      </c>
      <c r="M52" s="161"/>
      <c r="N52" s="192">
        <v>-114</v>
      </c>
      <c r="O52" s="192">
        <v>-90</v>
      </c>
      <c r="P52" s="192">
        <v>-102</v>
      </c>
    </row>
    <row r="53" spans="1:16" x14ac:dyDescent="0.25">
      <c r="A53" s="191" t="s">
        <v>56</v>
      </c>
      <c r="B53" s="194">
        <f>SUM(B48:B52)</f>
        <v>-8959</v>
      </c>
      <c r="C53" s="194">
        <f>SUM(C48:C52)</f>
        <v>-8843</v>
      </c>
      <c r="D53" s="194">
        <f>SUM(D48:D52)</f>
        <v>-1090</v>
      </c>
      <c r="E53" s="195"/>
      <c r="F53" s="194">
        <f>SUM(F48:F52)</f>
        <v>3076.9880000000003</v>
      </c>
      <c r="G53" s="194">
        <f>SUM(G48:G52)</f>
        <v>4048.5539999999996</v>
      </c>
      <c r="H53" s="194">
        <f>SUM(H48:H52)</f>
        <v>4335.7549999999992</v>
      </c>
      <c r="I53" s="195"/>
      <c r="J53" s="194">
        <f>SUM(J48:J52)</f>
        <v>-7572</v>
      </c>
      <c r="K53" s="194">
        <f>SUM(K48:K52)</f>
        <v>27140</v>
      </c>
      <c r="L53" s="194">
        <f>SUM(L48:L52)</f>
        <v>17180</v>
      </c>
      <c r="M53" s="195"/>
      <c r="N53" s="194">
        <f>SUM(N48:N52)</f>
        <v>-1044</v>
      </c>
      <c r="O53" s="194">
        <f>SUM(O48:O52)</f>
        <v>-1410</v>
      </c>
      <c r="P53" s="194">
        <f>SUM(P48:P52)</f>
        <v>-1744</v>
      </c>
    </row>
    <row r="54" spans="1:16" x14ac:dyDescent="0.25">
      <c r="A54" s="193"/>
      <c r="B54" s="193"/>
      <c r="C54" s="193"/>
      <c r="D54" s="193"/>
      <c r="E54" s="161"/>
      <c r="F54" s="193"/>
      <c r="G54" s="193"/>
      <c r="H54" s="193"/>
      <c r="I54" s="161"/>
      <c r="J54" s="193"/>
      <c r="K54" s="193"/>
      <c r="L54" s="193"/>
      <c r="M54" s="161"/>
      <c r="N54" s="193"/>
      <c r="O54" s="193"/>
      <c r="P54" s="193"/>
    </row>
    <row r="55" spans="1:16" x14ac:dyDescent="0.25">
      <c r="A55" s="193" t="s">
        <v>55</v>
      </c>
      <c r="B55" s="192">
        <v>31</v>
      </c>
      <c r="C55" s="192">
        <v>-25</v>
      </c>
      <c r="D55" s="192">
        <v>-98</v>
      </c>
      <c r="E55" s="161"/>
      <c r="F55" s="192">
        <v>29.847999999999999</v>
      </c>
      <c r="G55" s="192">
        <v>-39.700000000000003</v>
      </c>
      <c r="H55" s="192">
        <v>-34.299999999999997</v>
      </c>
      <c r="I55" s="161"/>
      <c r="J55" s="192" t="s">
        <v>9</v>
      </c>
      <c r="K55" s="192">
        <v>-245</v>
      </c>
      <c r="L55" s="192">
        <v>-276</v>
      </c>
      <c r="M55" s="161"/>
      <c r="N55" s="192">
        <v>20</v>
      </c>
      <c r="O55" s="192">
        <v>-20</v>
      </c>
      <c r="P55" s="192">
        <v>-21</v>
      </c>
    </row>
    <row r="56" spans="1:16" x14ac:dyDescent="0.25">
      <c r="A56" s="191" t="s">
        <v>54</v>
      </c>
      <c r="B56" s="189">
        <f>SUM(B38,B45,B53,B55)</f>
        <v>-696</v>
      </c>
      <c r="C56" s="189">
        <f>SUM(C38,C45,C53,C55)</f>
        <v>-209</v>
      </c>
      <c r="D56" s="189">
        <f>SUM(D38,D45,D53,D55)</f>
        <v>1300</v>
      </c>
      <c r="E56" s="190"/>
      <c r="F56" s="189">
        <f>SUM(F38,F45,F53,F55)</f>
        <v>1355.2320000000009</v>
      </c>
      <c r="G56" s="189">
        <f>SUM(G38,G45,G53,G55)</f>
        <v>989.28499999999963</v>
      </c>
      <c r="H56" s="189">
        <f>SUM(H38,H45,H53,H55)</f>
        <v>1381.1919999999998</v>
      </c>
      <c r="I56" s="190"/>
      <c r="J56" s="189">
        <f>SUM(J38,J45,J53,J55)</f>
        <v>156</v>
      </c>
      <c r="K56" s="189">
        <f>SUM(K38,K45,K53,K55)</f>
        <v>338</v>
      </c>
      <c r="L56" s="189">
        <f>SUM(L38,L45,L53,L55)</f>
        <v>-11020</v>
      </c>
      <c r="M56" s="190"/>
      <c r="N56" s="189">
        <f>SUM(N38,N45,N53,N55)</f>
        <v>1010</v>
      </c>
      <c r="O56" s="189">
        <f>SUM(O38,O45,O53,O55)</f>
        <v>168</v>
      </c>
      <c r="P56" s="189">
        <f>SUM(P38,P45,P53,P55)</f>
        <v>-797</v>
      </c>
    </row>
    <row r="60" spans="1:16" x14ac:dyDescent="0.25">
      <c r="A60" s="188"/>
      <c r="B60" s="159" t="s">
        <v>31</v>
      </c>
      <c r="C60" s="158"/>
      <c r="D60" s="158"/>
      <c r="E60" s="155"/>
      <c r="F60" s="159" t="s">
        <v>30</v>
      </c>
      <c r="G60" s="158"/>
      <c r="H60" s="158"/>
      <c r="I60" s="155"/>
      <c r="J60" s="159" t="s">
        <v>29</v>
      </c>
      <c r="K60" s="158"/>
      <c r="L60" s="158"/>
      <c r="M60" s="155"/>
      <c r="N60" s="159" t="s">
        <v>28</v>
      </c>
      <c r="O60" s="158"/>
      <c r="P60" s="158"/>
    </row>
    <row r="61" spans="1:16" ht="24" x14ac:dyDescent="0.25">
      <c r="A61" s="157"/>
      <c r="B61" s="154">
        <v>43008</v>
      </c>
      <c r="C61" s="154">
        <v>43372</v>
      </c>
      <c r="D61" s="154" t="s">
        <v>27</v>
      </c>
      <c r="E61" s="155"/>
      <c r="F61" s="154">
        <v>43100</v>
      </c>
      <c r="G61" s="154">
        <v>43465</v>
      </c>
      <c r="H61" s="154">
        <v>43738</v>
      </c>
      <c r="I61" s="155"/>
      <c r="J61" s="156" t="s">
        <v>26</v>
      </c>
      <c r="K61" s="154">
        <v>43465</v>
      </c>
      <c r="L61" s="154">
        <v>43738</v>
      </c>
      <c r="M61" s="155"/>
      <c r="N61" s="154">
        <v>43008</v>
      </c>
      <c r="O61" s="154">
        <v>43373</v>
      </c>
      <c r="P61" s="154">
        <v>43738</v>
      </c>
    </row>
    <row r="62" spans="1:16" x14ac:dyDescent="0.25">
      <c r="A62" s="168" t="s">
        <v>25</v>
      </c>
      <c r="B62" s="169"/>
      <c r="C62" s="169"/>
      <c r="D62" s="169"/>
      <c r="E62" s="155"/>
      <c r="F62" s="169"/>
      <c r="G62" s="169"/>
      <c r="H62" s="169"/>
      <c r="I62" s="155"/>
      <c r="J62" s="169"/>
      <c r="K62" s="169"/>
      <c r="L62" s="169"/>
      <c r="M62" s="155"/>
      <c r="N62" s="169"/>
      <c r="O62" s="169"/>
      <c r="P62" s="169"/>
    </row>
    <row r="63" spans="1:16" x14ac:dyDescent="0.25">
      <c r="A63" s="171" t="s">
        <v>24</v>
      </c>
      <c r="B63" s="173">
        <v>4017</v>
      </c>
      <c r="C63" s="173">
        <v>4150</v>
      </c>
      <c r="D63" s="173">
        <v>5418</v>
      </c>
      <c r="E63" s="155"/>
      <c r="F63" s="162">
        <v>2822.7950000000001</v>
      </c>
      <c r="G63" s="162">
        <v>3794.4830000000002</v>
      </c>
      <c r="H63" s="162">
        <v>4435.018</v>
      </c>
      <c r="I63" s="155"/>
      <c r="J63" s="162">
        <v>3428</v>
      </c>
      <c r="K63" s="162">
        <v>3814</v>
      </c>
      <c r="L63" s="162">
        <v>3507</v>
      </c>
      <c r="M63" s="155"/>
      <c r="N63" s="162">
        <v>1389</v>
      </c>
      <c r="O63" s="162">
        <v>1557</v>
      </c>
      <c r="P63" s="162">
        <v>760</v>
      </c>
    </row>
    <row r="64" spans="1:16" x14ac:dyDescent="0.25">
      <c r="A64" s="171" t="s">
        <v>23</v>
      </c>
      <c r="B64" s="173">
        <v>8633</v>
      </c>
      <c r="C64" s="173">
        <v>9334</v>
      </c>
      <c r="D64" s="173">
        <v>15481</v>
      </c>
      <c r="E64" s="155"/>
      <c r="F64" s="152">
        <v>0</v>
      </c>
      <c r="G64" s="152">
        <v>0</v>
      </c>
      <c r="H64" s="162">
        <v>466.16800000000001</v>
      </c>
      <c r="I64" s="155"/>
      <c r="J64" s="162">
        <v>8834</v>
      </c>
      <c r="K64" s="162">
        <v>11104</v>
      </c>
      <c r="L64" s="162">
        <v>10684</v>
      </c>
      <c r="M64" s="155"/>
      <c r="N64" s="162">
        <v>3456</v>
      </c>
      <c r="O64" s="162">
        <v>3144</v>
      </c>
      <c r="P64" s="162">
        <v>3717</v>
      </c>
    </row>
    <row r="65" spans="1:16" x14ac:dyDescent="0.25">
      <c r="A65" s="171" t="s">
        <v>22</v>
      </c>
      <c r="B65" s="173">
        <v>2651</v>
      </c>
      <c r="C65" s="173">
        <v>2706</v>
      </c>
      <c r="D65" s="162">
        <v>6246</v>
      </c>
      <c r="E65" s="155"/>
      <c r="F65" s="181">
        <v>0</v>
      </c>
      <c r="G65" s="181">
        <v>0</v>
      </c>
      <c r="H65" s="181">
        <v>0</v>
      </c>
      <c r="I65" s="155"/>
      <c r="J65" s="173" t="s">
        <v>9</v>
      </c>
      <c r="K65" s="173" t="s">
        <v>9</v>
      </c>
      <c r="L65" s="173" t="s">
        <v>9</v>
      </c>
      <c r="M65" s="155"/>
      <c r="N65" s="162">
        <v>919</v>
      </c>
      <c r="O65" s="162">
        <v>896</v>
      </c>
      <c r="P65" s="162">
        <v>775</v>
      </c>
    </row>
    <row r="66" spans="1:16" ht="24" x14ac:dyDescent="0.25">
      <c r="A66" s="187" t="s">
        <v>21</v>
      </c>
      <c r="B66" s="186">
        <v>588</v>
      </c>
      <c r="C66" s="186">
        <v>635</v>
      </c>
      <c r="D66" s="186">
        <v>979</v>
      </c>
      <c r="E66" s="183"/>
      <c r="F66" s="186">
        <v>4847.1790000000001</v>
      </c>
      <c r="G66" s="186">
        <v>5899.652</v>
      </c>
      <c r="H66" s="186">
        <v>426.572</v>
      </c>
      <c r="I66" s="183"/>
      <c r="J66" s="186">
        <v>4081</v>
      </c>
      <c r="K66" s="186">
        <v>6930</v>
      </c>
      <c r="L66" s="186">
        <v>8132</v>
      </c>
      <c r="M66" s="183"/>
      <c r="N66" s="186">
        <v>523</v>
      </c>
      <c r="O66" s="186">
        <v>482</v>
      </c>
      <c r="P66" s="186">
        <v>460</v>
      </c>
    </row>
    <row r="67" spans="1:16" x14ac:dyDescent="0.25">
      <c r="A67" s="185" t="s">
        <v>20</v>
      </c>
      <c r="B67" s="184">
        <f>SUM(B63:B66)</f>
        <v>15889</v>
      </c>
      <c r="C67" s="184">
        <f>SUM(C63:C66)</f>
        <v>16825</v>
      </c>
      <c r="D67" s="184">
        <f>SUM(D63:D66)</f>
        <v>28124</v>
      </c>
      <c r="E67" s="183"/>
      <c r="F67" s="184">
        <v>7669.9740000000002</v>
      </c>
      <c r="G67" s="184">
        <v>9694.1350000000002</v>
      </c>
      <c r="H67" s="184">
        <v>5327.7579999999998</v>
      </c>
      <c r="I67" s="183"/>
      <c r="J67" s="184">
        <f>SUM(J63:J66)</f>
        <v>16343</v>
      </c>
      <c r="K67" s="184">
        <f>SUM(K63:K66)</f>
        <v>21848</v>
      </c>
      <c r="L67" s="184">
        <f>SUM(L63:L66)</f>
        <v>22323</v>
      </c>
      <c r="M67" s="183"/>
      <c r="N67" s="182">
        <f>SUM(N63:N66)</f>
        <v>6287</v>
      </c>
      <c r="O67" s="182">
        <f>SUM(O63:O66)</f>
        <v>6079</v>
      </c>
      <c r="P67" s="182">
        <f>SUM(P63:P66)</f>
        <v>5712</v>
      </c>
    </row>
    <row r="68" spans="1:16" x14ac:dyDescent="0.25">
      <c r="A68" s="171"/>
      <c r="B68" s="169"/>
      <c r="C68" s="169"/>
      <c r="D68" s="169"/>
      <c r="E68" s="155"/>
      <c r="F68" s="169"/>
      <c r="G68" s="169"/>
      <c r="H68" s="169"/>
      <c r="I68" s="155"/>
      <c r="J68" s="169"/>
      <c r="K68" s="169"/>
      <c r="L68" s="169"/>
      <c r="M68" s="155"/>
      <c r="N68" s="169"/>
      <c r="O68" s="169"/>
      <c r="P68" s="169"/>
    </row>
    <row r="69" spans="1:16" x14ac:dyDescent="0.25">
      <c r="A69" s="171" t="s">
        <v>19</v>
      </c>
      <c r="B69" s="162">
        <v>57443</v>
      </c>
      <c r="C69" s="162">
        <v>60304</v>
      </c>
      <c r="D69" s="162">
        <v>64018</v>
      </c>
      <c r="E69" s="155"/>
      <c r="F69" s="162">
        <v>641.21799999999996</v>
      </c>
      <c r="G69" s="162">
        <v>786.8</v>
      </c>
      <c r="H69" s="162">
        <v>1915.596</v>
      </c>
      <c r="I69" s="155"/>
      <c r="J69" s="162">
        <v>88386</v>
      </c>
      <c r="K69" s="162">
        <v>95743</v>
      </c>
      <c r="L69" s="162">
        <v>103784</v>
      </c>
      <c r="M69" s="155"/>
      <c r="N69" s="162">
        <v>2973</v>
      </c>
      <c r="O69" s="162">
        <v>3013</v>
      </c>
      <c r="P69" s="162">
        <v>3071</v>
      </c>
    </row>
    <row r="70" spans="1:16" x14ac:dyDescent="0.25">
      <c r="A70" s="171" t="s">
        <v>18</v>
      </c>
      <c r="B70" s="162">
        <v>-29037</v>
      </c>
      <c r="C70" s="162">
        <v>-30764</v>
      </c>
      <c r="D70" s="162">
        <v>-32415</v>
      </c>
      <c r="E70" s="155"/>
      <c r="F70" s="162">
        <v>-321.8</v>
      </c>
      <c r="G70" s="162">
        <v>-368.5</v>
      </c>
      <c r="H70" s="162">
        <v>-402.6</v>
      </c>
      <c r="I70" s="155"/>
      <c r="J70" s="162">
        <v>-49916</v>
      </c>
      <c r="K70" s="162">
        <v>-51306</v>
      </c>
      <c r="L70" s="162">
        <v>-52983</v>
      </c>
      <c r="M70" s="155"/>
      <c r="N70" s="162">
        <v>-1995</v>
      </c>
      <c r="O70" s="162">
        <v>-2094</v>
      </c>
      <c r="P70" s="162">
        <v>-2149</v>
      </c>
    </row>
    <row r="71" spans="1:16" x14ac:dyDescent="0.25">
      <c r="A71" s="168" t="s">
        <v>17</v>
      </c>
      <c r="B71" s="175">
        <f>SUM(B69:B70)</f>
        <v>28406</v>
      </c>
      <c r="C71" s="175">
        <f>SUM(C69:C70)</f>
        <v>29540</v>
      </c>
      <c r="D71" s="175">
        <f>SUM(D69:D70)</f>
        <v>31603</v>
      </c>
      <c r="E71" s="174"/>
      <c r="F71" s="175">
        <f>SUM(F69:F70)</f>
        <v>319.41799999999995</v>
      </c>
      <c r="G71" s="175">
        <f>SUM(G69:G70)</f>
        <v>418.29999999999995</v>
      </c>
      <c r="H71" s="175">
        <f>SUM(H69:H70)</f>
        <v>1512.9960000000001</v>
      </c>
      <c r="I71" s="174"/>
      <c r="J71" s="175">
        <f>SUM(J69:J70)</f>
        <v>38470</v>
      </c>
      <c r="K71" s="175">
        <f>SUM(K69:K70)</f>
        <v>44437</v>
      </c>
      <c r="L71" s="175">
        <f>SUM(L69:L70)</f>
        <v>50801</v>
      </c>
      <c r="M71" s="174"/>
      <c r="N71" s="175">
        <f>SUM(N69:N70)</f>
        <v>978</v>
      </c>
      <c r="O71" s="175">
        <f>SUM(O69:O70)</f>
        <v>919</v>
      </c>
      <c r="P71" s="175">
        <f>SUM(P69:P70)</f>
        <v>922</v>
      </c>
    </row>
    <row r="72" spans="1:16" x14ac:dyDescent="0.25">
      <c r="A72" s="171" t="s">
        <v>16</v>
      </c>
      <c r="B72" s="162">
        <v>3202</v>
      </c>
      <c r="C72" s="162">
        <v>2899</v>
      </c>
      <c r="D72" s="162">
        <v>3224</v>
      </c>
      <c r="E72" s="155"/>
      <c r="F72" s="181">
        <v>0</v>
      </c>
      <c r="G72" s="181">
        <v>0</v>
      </c>
      <c r="H72" s="181">
        <v>0</v>
      </c>
      <c r="I72" s="155"/>
      <c r="J72" s="162">
        <v>6931</v>
      </c>
      <c r="K72" s="162">
        <v>7883</v>
      </c>
      <c r="L72" s="162">
        <v>7473</v>
      </c>
      <c r="M72" s="155"/>
      <c r="N72" s="181">
        <v>0</v>
      </c>
      <c r="O72" s="162">
        <v>410</v>
      </c>
      <c r="P72" s="162">
        <v>496</v>
      </c>
    </row>
    <row r="73" spans="1:16" x14ac:dyDescent="0.25">
      <c r="A73" s="171" t="s">
        <v>15</v>
      </c>
      <c r="B73" s="162">
        <v>38421</v>
      </c>
      <c r="C73" s="162">
        <v>38081</v>
      </c>
      <c r="D73" s="162">
        <v>103508</v>
      </c>
      <c r="E73" s="162"/>
      <c r="F73" s="162">
        <v>10371.055</v>
      </c>
      <c r="G73" s="162">
        <v>14960.954</v>
      </c>
      <c r="H73" s="162">
        <v>14588.629000000001</v>
      </c>
      <c r="I73" s="162"/>
      <c r="J73" s="162">
        <v>114277</v>
      </c>
      <c r="K73" s="162">
        <v>163877</v>
      </c>
      <c r="L73" s="162">
        <v>161442</v>
      </c>
      <c r="M73" s="162"/>
      <c r="N73" s="162">
        <v>11978</v>
      </c>
      <c r="O73" s="162">
        <v>11922</v>
      </c>
      <c r="P73" s="162">
        <v>12211</v>
      </c>
    </row>
    <row r="74" spans="1:16" x14ac:dyDescent="0.25">
      <c r="A74" s="168" t="s">
        <v>14</v>
      </c>
      <c r="B74" s="162">
        <v>9871</v>
      </c>
      <c r="C74" s="162">
        <v>11253</v>
      </c>
      <c r="D74" s="162">
        <v>27525</v>
      </c>
      <c r="E74" s="155"/>
      <c r="F74" s="173">
        <v>652.30899999999997</v>
      </c>
      <c r="G74" s="173">
        <v>901.03</v>
      </c>
      <c r="H74" s="173">
        <v>9512.3320000000003</v>
      </c>
      <c r="I74" s="155"/>
      <c r="J74" s="162">
        <v>11441</v>
      </c>
      <c r="K74" s="162">
        <v>13639</v>
      </c>
      <c r="L74" s="162">
        <v>14335</v>
      </c>
      <c r="M74" s="155"/>
      <c r="N74" s="173">
        <v>4455</v>
      </c>
      <c r="O74" s="173">
        <v>4453</v>
      </c>
      <c r="P74" s="162">
        <v>4330</v>
      </c>
    </row>
    <row r="75" spans="1:16" x14ac:dyDescent="0.25">
      <c r="A75" s="168" t="s">
        <v>13</v>
      </c>
      <c r="B75" s="180">
        <f>SUM(B71:B74,B67)</f>
        <v>95789</v>
      </c>
      <c r="C75" s="180">
        <f>SUM(C71:C74,C67)</f>
        <v>98598</v>
      </c>
      <c r="D75" s="180">
        <f>SUM(D71:D74,D67)</f>
        <v>193984</v>
      </c>
      <c r="E75" s="167"/>
      <c r="F75" s="180">
        <f>SUM(F71:F74,F67)</f>
        <v>19012.756000000001</v>
      </c>
      <c r="G75" s="180">
        <f>SUM(G71:G74,G67)</f>
        <v>25974.419000000002</v>
      </c>
      <c r="H75" s="180">
        <f>SUM(H71:H74,H67)</f>
        <v>30941.715000000004</v>
      </c>
      <c r="I75" s="167"/>
      <c r="J75" s="180">
        <f>SUM(J67:J67,J71:J74)</f>
        <v>187462</v>
      </c>
      <c r="K75" s="180">
        <f>SUM(K67:K67,K71:K74)</f>
        <v>251684</v>
      </c>
      <c r="L75" s="180">
        <f>SUM(L67:L67,L71:L74)</f>
        <v>256374</v>
      </c>
      <c r="M75" s="167"/>
      <c r="N75" s="180">
        <f>SUM(N71:N74,N67)</f>
        <v>23698</v>
      </c>
      <c r="O75" s="180">
        <f>SUM(O71:O74,O67)</f>
        <v>23783</v>
      </c>
      <c r="P75" s="180">
        <f>SUM(P71:P74,P67)</f>
        <v>23671</v>
      </c>
    </row>
    <row r="76" spans="1:16" x14ac:dyDescent="0.25">
      <c r="A76" s="171"/>
      <c r="B76" s="169"/>
      <c r="C76" s="169"/>
      <c r="D76" s="169"/>
      <c r="E76" s="155"/>
      <c r="F76" s="169"/>
      <c r="G76" s="169"/>
      <c r="H76" s="169"/>
      <c r="I76" s="155"/>
      <c r="J76" s="169"/>
      <c r="K76" s="169"/>
      <c r="L76" s="169"/>
      <c r="M76" s="155"/>
      <c r="N76" s="169"/>
      <c r="O76" s="169"/>
      <c r="P76" s="169"/>
    </row>
    <row r="77" spans="1:16" x14ac:dyDescent="0.25">
      <c r="A77" s="168" t="s">
        <v>12</v>
      </c>
      <c r="B77" s="169"/>
      <c r="C77" s="169"/>
      <c r="D77" s="169"/>
      <c r="E77" s="155"/>
      <c r="F77" s="169"/>
      <c r="G77" s="169"/>
      <c r="H77" s="169"/>
      <c r="I77" s="155"/>
      <c r="J77" s="169"/>
      <c r="K77" s="169"/>
      <c r="L77" s="169"/>
      <c r="M77" s="155"/>
      <c r="N77" s="169"/>
      <c r="O77" s="169"/>
      <c r="P77" s="169"/>
    </row>
    <row r="78" spans="1:16" x14ac:dyDescent="0.25">
      <c r="A78" s="171" t="s">
        <v>11</v>
      </c>
      <c r="B78" s="173">
        <v>6305</v>
      </c>
      <c r="C78" s="173">
        <v>6503</v>
      </c>
      <c r="D78" s="162">
        <v>17942</v>
      </c>
      <c r="E78" s="155"/>
      <c r="F78" s="162">
        <v>359.55500000000001</v>
      </c>
      <c r="G78" s="162">
        <v>562.98500000000001</v>
      </c>
      <c r="H78" s="162">
        <v>444.12900000000002</v>
      </c>
      <c r="I78" s="155"/>
      <c r="J78" s="162">
        <v>6908</v>
      </c>
      <c r="K78" s="162">
        <v>8494</v>
      </c>
      <c r="L78" s="162">
        <v>10198</v>
      </c>
      <c r="M78" s="155"/>
      <c r="N78" s="162">
        <v>431</v>
      </c>
      <c r="O78" s="162">
        <v>433</v>
      </c>
      <c r="P78" s="162">
        <v>482</v>
      </c>
    </row>
    <row r="79" spans="1:16" x14ac:dyDescent="0.25">
      <c r="A79" s="171" t="s">
        <v>10</v>
      </c>
      <c r="B79" s="173">
        <v>1819</v>
      </c>
      <c r="C79" s="173">
        <v>2189</v>
      </c>
      <c r="D79" s="173" t="s">
        <v>9</v>
      </c>
      <c r="E79" s="155"/>
      <c r="F79" s="162">
        <v>315.09399999999999</v>
      </c>
      <c r="G79" s="162">
        <v>477.41699999999997</v>
      </c>
      <c r="H79" s="162">
        <v>876.78200000000004</v>
      </c>
      <c r="I79" s="155"/>
      <c r="J79" s="162">
        <v>6620</v>
      </c>
      <c r="K79" s="162">
        <v>10721</v>
      </c>
      <c r="L79" s="162">
        <v>9497</v>
      </c>
      <c r="M79" s="155"/>
      <c r="N79" s="162">
        <v>869</v>
      </c>
      <c r="O79" s="162">
        <v>848</v>
      </c>
      <c r="P79" s="162">
        <v>927</v>
      </c>
    </row>
    <row r="80" spans="1:16" x14ac:dyDescent="0.25">
      <c r="A80" s="171" t="s">
        <v>8</v>
      </c>
      <c r="B80" s="173">
        <v>8699</v>
      </c>
      <c r="C80" s="173">
        <v>8163</v>
      </c>
      <c r="D80" s="173">
        <v>8237</v>
      </c>
      <c r="E80" s="173"/>
      <c r="F80" s="173">
        <v>4791.6629999999996</v>
      </c>
      <c r="G80" s="173">
        <v>5446.9180000000006</v>
      </c>
      <c r="H80" s="173">
        <v>5936.9889999999996</v>
      </c>
      <c r="I80" s="173"/>
      <c r="J80" s="173">
        <v>8465</v>
      </c>
      <c r="K80" s="173">
        <v>8388</v>
      </c>
      <c r="L80" s="173">
        <v>6294</v>
      </c>
      <c r="M80" s="173"/>
      <c r="N80" s="173">
        <v>2453</v>
      </c>
      <c r="O80" s="173">
        <v>2773</v>
      </c>
      <c r="P80" s="173">
        <v>2415</v>
      </c>
    </row>
    <row r="81" spans="1:16" x14ac:dyDescent="0.25">
      <c r="A81" s="168" t="s">
        <v>7</v>
      </c>
      <c r="B81" s="179">
        <f>SUM(B78:B80)</f>
        <v>16823</v>
      </c>
      <c r="C81" s="179">
        <f>SUM(C78:C80)</f>
        <v>16855</v>
      </c>
      <c r="D81" s="179">
        <f>SUM(D78:D80)</f>
        <v>26179</v>
      </c>
      <c r="E81" s="179"/>
      <c r="F81" s="179">
        <f>SUM(F78:F80)</f>
        <v>5466.3119999999999</v>
      </c>
      <c r="G81" s="179">
        <f>SUM(G78:G80)</f>
        <v>6487.3200000000006</v>
      </c>
      <c r="H81" s="179">
        <f>SUM(H78:H80)</f>
        <v>7257.9</v>
      </c>
      <c r="I81" s="179"/>
      <c r="J81" s="179">
        <f>SUM(J78:J80)</f>
        <v>21993</v>
      </c>
      <c r="K81" s="179">
        <f>SUM(K78:K80)</f>
        <v>27603</v>
      </c>
      <c r="L81" s="179">
        <f>SUM(L78:L80)</f>
        <v>25989</v>
      </c>
      <c r="M81" s="179"/>
      <c r="N81" s="179">
        <f>SUM(N78:N80)</f>
        <v>3753</v>
      </c>
      <c r="O81" s="179">
        <f>SUM(O78:O80)</f>
        <v>4054</v>
      </c>
      <c r="P81" s="179">
        <f>SUM(P78:P80)</f>
        <v>3824</v>
      </c>
    </row>
    <row r="82" spans="1:16" x14ac:dyDescent="0.25">
      <c r="A82" s="168"/>
      <c r="B82" s="155"/>
      <c r="C82" s="155"/>
      <c r="D82" s="155"/>
      <c r="E82" s="155"/>
      <c r="F82" s="155"/>
      <c r="G82" s="155"/>
      <c r="H82" s="155"/>
      <c r="I82" s="155"/>
      <c r="J82" s="155"/>
      <c r="K82" s="155"/>
      <c r="L82" s="155"/>
      <c r="M82" s="155"/>
      <c r="N82" s="155"/>
      <c r="O82" s="155"/>
      <c r="P82" s="155"/>
    </row>
    <row r="83" spans="1:16" x14ac:dyDescent="0.25">
      <c r="A83" s="168" t="s">
        <v>6</v>
      </c>
      <c r="B83" s="178">
        <v>21891</v>
      </c>
      <c r="C83" s="178">
        <v>18089</v>
      </c>
      <c r="D83" s="178">
        <v>43471</v>
      </c>
      <c r="E83" s="178"/>
      <c r="F83" s="178">
        <v>6499.4319999999998</v>
      </c>
      <c r="G83" s="178">
        <v>10360.058000000001</v>
      </c>
      <c r="H83" s="178">
        <v>12425.745999999999</v>
      </c>
      <c r="I83" s="178"/>
      <c r="J83" s="178">
        <v>59422</v>
      </c>
      <c r="K83" s="178">
        <v>106899</v>
      </c>
      <c r="L83" s="178">
        <v>99847</v>
      </c>
      <c r="M83" s="178"/>
      <c r="N83" s="178">
        <v>11100</v>
      </c>
      <c r="O83" s="178">
        <v>9515</v>
      </c>
      <c r="P83" s="178">
        <v>8640</v>
      </c>
    </row>
    <row r="84" spans="1:16" x14ac:dyDescent="0.25">
      <c r="A84" s="168" t="s">
        <v>5</v>
      </c>
      <c r="B84" s="173">
        <v>10923</v>
      </c>
      <c r="C84" s="173">
        <v>9699</v>
      </c>
      <c r="D84" s="177">
        <v>21482</v>
      </c>
      <c r="E84" s="176"/>
      <c r="F84" s="162">
        <v>3465.0419999999999</v>
      </c>
      <c r="G84" s="162">
        <v>3888.2570000000001</v>
      </c>
      <c r="H84" s="162">
        <v>4396.5600000000004</v>
      </c>
      <c r="I84" s="155"/>
      <c r="J84" s="162">
        <v>35231</v>
      </c>
      <c r="K84" s="162">
        <v>43364</v>
      </c>
      <c r="L84" s="162">
        <v>50010</v>
      </c>
      <c r="M84" s="155"/>
      <c r="N84" s="162">
        <v>2478</v>
      </c>
      <c r="O84" s="162">
        <v>2503</v>
      </c>
      <c r="P84" s="162">
        <v>2446</v>
      </c>
    </row>
    <row r="85" spans="1:16" x14ac:dyDescent="0.25">
      <c r="A85" s="168" t="s">
        <v>4</v>
      </c>
      <c r="B85" s="175">
        <f>B81+SUM(B83:B84)</f>
        <v>49637</v>
      </c>
      <c r="C85" s="175">
        <f>C81+SUM(C83:C84)</f>
        <v>44643</v>
      </c>
      <c r="D85" s="175">
        <f>D81+SUM(D83:D84)</f>
        <v>91132</v>
      </c>
      <c r="E85" s="174"/>
      <c r="F85" s="175">
        <f>F81+SUM(F83:F84)</f>
        <v>15430.786</v>
      </c>
      <c r="G85" s="175">
        <f>G81+SUM(G83:G84)</f>
        <v>20735.635000000002</v>
      </c>
      <c r="H85" s="175">
        <f>H81+SUM(H83:H84)</f>
        <v>24080.205999999998</v>
      </c>
      <c r="I85" s="174"/>
      <c r="J85" s="175">
        <f>J81+SUM(J83:J84)</f>
        <v>116646</v>
      </c>
      <c r="K85" s="175">
        <f>K81+SUM(K83:K84)</f>
        <v>177866</v>
      </c>
      <c r="L85" s="175">
        <f>L81+SUM(L83:L84)</f>
        <v>175846</v>
      </c>
      <c r="M85" s="174"/>
      <c r="N85" s="175">
        <f>N81+SUM(N83:N84)</f>
        <v>17331</v>
      </c>
      <c r="O85" s="175">
        <f>O81+SUM(O83:O84)</f>
        <v>16072</v>
      </c>
      <c r="P85" s="175">
        <f>P81+SUM(P83:P84)</f>
        <v>14910</v>
      </c>
    </row>
    <row r="86" spans="1:16" x14ac:dyDescent="0.25">
      <c r="A86" s="171"/>
      <c r="B86" s="169"/>
      <c r="C86" s="169"/>
      <c r="D86" s="169"/>
      <c r="E86" s="155"/>
      <c r="F86" s="169"/>
      <c r="G86" s="169"/>
      <c r="H86" s="169"/>
      <c r="I86" s="155"/>
      <c r="J86" s="169"/>
      <c r="K86" s="169"/>
      <c r="L86" s="169"/>
      <c r="M86" s="155"/>
      <c r="N86" s="169"/>
      <c r="O86" s="169"/>
      <c r="P86" s="169"/>
    </row>
    <row r="87" spans="1:16" x14ac:dyDescent="0.25">
      <c r="A87" s="168" t="s">
        <v>3</v>
      </c>
      <c r="B87" s="174">
        <v>41315</v>
      </c>
      <c r="C87" s="174">
        <v>48773</v>
      </c>
      <c r="D87" s="174">
        <v>88877</v>
      </c>
      <c r="E87" s="155"/>
      <c r="F87" s="174">
        <v>3581.9560000000001</v>
      </c>
      <c r="G87" s="174">
        <v>5238.7650000000003</v>
      </c>
      <c r="H87" s="174">
        <v>6861.5050000000001</v>
      </c>
      <c r="I87" s="155"/>
      <c r="J87" s="174">
        <v>68616</v>
      </c>
      <c r="K87" s="174">
        <v>71613</v>
      </c>
      <c r="L87" s="174">
        <v>78144</v>
      </c>
      <c r="M87" s="155"/>
      <c r="N87" s="174">
        <v>6035</v>
      </c>
      <c r="O87" s="174">
        <v>7407</v>
      </c>
      <c r="P87" s="174">
        <v>8454</v>
      </c>
    </row>
    <row r="88" spans="1:16" x14ac:dyDescent="0.25">
      <c r="A88" s="171"/>
      <c r="B88" s="169"/>
      <c r="C88" s="169"/>
      <c r="D88" s="169"/>
      <c r="E88" s="155"/>
      <c r="F88" s="169"/>
      <c r="G88" s="169"/>
      <c r="H88" s="169"/>
      <c r="I88" s="155"/>
      <c r="J88" s="169"/>
      <c r="K88" s="169"/>
      <c r="L88" s="169"/>
      <c r="M88" s="155"/>
      <c r="N88" s="169"/>
      <c r="O88" s="169"/>
      <c r="P88" s="169"/>
    </row>
    <row r="89" spans="1:16" x14ac:dyDescent="0.25">
      <c r="A89" s="171" t="s">
        <v>2</v>
      </c>
      <c r="B89" s="162">
        <v>4837</v>
      </c>
      <c r="C89" s="162">
        <v>5182</v>
      </c>
      <c r="D89" s="162">
        <v>13975</v>
      </c>
      <c r="E89" s="155"/>
      <c r="F89" s="173"/>
      <c r="G89" s="173"/>
      <c r="H89" s="173"/>
      <c r="I89" s="155"/>
      <c r="J89" s="162">
        <v>2200</v>
      </c>
      <c r="K89" s="162">
        <v>2205</v>
      </c>
      <c r="L89" s="162">
        <v>2384</v>
      </c>
      <c r="M89" s="155"/>
      <c r="N89" s="162">
        <v>332</v>
      </c>
      <c r="O89" s="162">
        <v>304</v>
      </c>
      <c r="P89" s="162">
        <v>307</v>
      </c>
    </row>
    <row r="90" spans="1:16" x14ac:dyDescent="0.25">
      <c r="A90" s="171"/>
      <c r="B90" s="169"/>
      <c r="C90" s="169"/>
      <c r="D90" s="169"/>
      <c r="E90" s="155"/>
      <c r="F90" s="169"/>
      <c r="G90" s="169"/>
      <c r="H90" s="169"/>
      <c r="I90" s="155"/>
      <c r="J90" s="169"/>
      <c r="K90" s="169"/>
      <c r="L90" s="169"/>
      <c r="M90" s="155"/>
      <c r="N90" s="169"/>
      <c r="O90" s="169"/>
      <c r="P90" s="169"/>
    </row>
    <row r="91" spans="1:16" x14ac:dyDescent="0.25">
      <c r="A91" s="168" t="s">
        <v>1</v>
      </c>
      <c r="B91" s="172">
        <f>SUM(B87,B89)</f>
        <v>46152</v>
      </c>
      <c r="C91" s="172">
        <f>SUM(C87,C89)</f>
        <v>53955</v>
      </c>
      <c r="D91" s="172">
        <f>SUM(D87,D89)</f>
        <v>102852</v>
      </c>
      <c r="E91" s="172"/>
      <c r="F91" s="172">
        <f>SUM(F87,F89)</f>
        <v>3581.9560000000001</v>
      </c>
      <c r="G91" s="172">
        <f>SUM(G87,G89)</f>
        <v>5238.7650000000003</v>
      </c>
      <c r="H91" s="172">
        <f>SUM(H87,H89)</f>
        <v>6861.5050000000001</v>
      </c>
      <c r="I91" s="172"/>
      <c r="J91" s="172">
        <f>SUM(J87,J89)</f>
        <v>70816</v>
      </c>
      <c r="K91" s="172">
        <f>SUM(K87,K89)</f>
        <v>73818</v>
      </c>
      <c r="L91" s="172">
        <f>SUM(L87,L89)</f>
        <v>80528</v>
      </c>
      <c r="M91" s="172"/>
      <c r="N91" s="172">
        <f>SUM(N87,N89)</f>
        <v>6367</v>
      </c>
      <c r="O91" s="172">
        <f>SUM(O87,O89)</f>
        <v>7711</v>
      </c>
      <c r="P91" s="172">
        <f>SUM(P87,P89)</f>
        <v>8761</v>
      </c>
    </row>
    <row r="92" spans="1:16" x14ac:dyDescent="0.25">
      <c r="A92" s="171"/>
      <c r="B92" s="170"/>
      <c r="C92" s="170"/>
      <c r="D92" s="170"/>
      <c r="E92" s="155"/>
      <c r="F92" s="169"/>
      <c r="G92" s="169"/>
      <c r="H92" s="169"/>
      <c r="I92" s="155"/>
      <c r="J92" s="170"/>
      <c r="K92" s="170"/>
      <c r="L92" s="170"/>
      <c r="M92" s="155"/>
      <c r="N92" s="169"/>
      <c r="O92" s="169"/>
      <c r="P92" s="169"/>
    </row>
    <row r="93" spans="1:16" x14ac:dyDescent="0.25">
      <c r="A93" s="168" t="s">
        <v>0</v>
      </c>
      <c r="B93" s="167">
        <f>SUM(B85,B91)</f>
        <v>95789</v>
      </c>
      <c r="C93" s="167">
        <f>SUM(C85,C91)</f>
        <v>98598</v>
      </c>
      <c r="D93" s="167">
        <f>SUM(D85,D91)</f>
        <v>193984</v>
      </c>
      <c r="E93" s="167"/>
      <c r="F93" s="167">
        <f>SUM(F85,F91)</f>
        <v>19012.741999999998</v>
      </c>
      <c r="G93" s="167">
        <f>SUM(G85,G91)</f>
        <v>25974.400000000001</v>
      </c>
      <c r="H93" s="167">
        <f>SUM(H85,H91)</f>
        <v>30941.710999999999</v>
      </c>
      <c r="I93" s="167"/>
      <c r="J93" s="167">
        <f>SUM(J85,J91)</f>
        <v>187462</v>
      </c>
      <c r="K93" s="167">
        <f>SUM(K85,K91)</f>
        <v>251684</v>
      </c>
      <c r="L93" s="167">
        <f>SUM(L85,L91)</f>
        <v>256374</v>
      </c>
      <c r="M93" s="167"/>
      <c r="N93" s="167">
        <f>SUM(N85,N91)</f>
        <v>23698</v>
      </c>
      <c r="O93" s="167">
        <f>SUM(O85,O91)</f>
        <v>23783</v>
      </c>
      <c r="P93" s="167">
        <f>SUM(P85,P91)</f>
        <v>23671</v>
      </c>
    </row>
    <row r="96" spans="1:16" x14ac:dyDescent="0.25">
      <c r="A96" s="153" t="s">
        <v>200</v>
      </c>
    </row>
    <row r="97" spans="1:28" x14ac:dyDescent="0.25">
      <c r="A97" s="155"/>
      <c r="B97" s="159" t="s">
        <v>31</v>
      </c>
      <c r="C97" s="158"/>
      <c r="D97" s="158"/>
      <c r="E97" s="155"/>
      <c r="I97" s="159" t="s">
        <v>30</v>
      </c>
      <c r="K97" s="158"/>
      <c r="M97" s="158"/>
      <c r="N97" s="155"/>
      <c r="P97" s="159" t="s">
        <v>29</v>
      </c>
      <c r="R97" s="158"/>
      <c r="T97" s="158"/>
      <c r="W97" s="159" t="s">
        <v>28</v>
      </c>
      <c r="X97" s="158"/>
      <c r="Y97" s="158"/>
    </row>
    <row r="98" spans="1:28" ht="24" x14ac:dyDescent="0.25">
      <c r="A98" s="157"/>
      <c r="B98" s="154">
        <v>43008</v>
      </c>
      <c r="D98" s="154">
        <v>43372</v>
      </c>
      <c r="F98" s="154" t="s">
        <v>27</v>
      </c>
      <c r="I98" s="154">
        <v>43100</v>
      </c>
      <c r="K98" s="154">
        <v>43465</v>
      </c>
      <c r="M98" s="154">
        <v>43738</v>
      </c>
      <c r="N98" s="155"/>
      <c r="P98" s="156" t="s">
        <v>26</v>
      </c>
      <c r="R98" s="154">
        <v>43465</v>
      </c>
      <c r="T98" s="154">
        <v>43738</v>
      </c>
      <c r="W98" s="154">
        <v>43008</v>
      </c>
      <c r="Y98" s="154">
        <v>43373</v>
      </c>
      <c r="AA98" s="154" t="s">
        <v>50</v>
      </c>
    </row>
    <row r="99" spans="1:28" x14ac:dyDescent="0.25">
      <c r="A99" s="161" t="s">
        <v>198</v>
      </c>
      <c r="B99" s="162">
        <v>55137</v>
      </c>
      <c r="C99" s="145">
        <f>ABS(B99/B$99)</f>
        <v>1</v>
      </c>
      <c r="D99" s="162">
        <v>59434</v>
      </c>
      <c r="E99" s="145">
        <f>ABS(D99/D$99)</f>
        <v>1</v>
      </c>
      <c r="F99" s="162">
        <v>69570</v>
      </c>
      <c r="G99" s="145">
        <f>ABS(F99/F$99)</f>
        <v>1</v>
      </c>
      <c r="I99" s="162">
        <v>11692.713</v>
      </c>
      <c r="J99" s="145">
        <f t="shared" ref="J99:J104" si="0">ABS(I99/I$99)</f>
        <v>1</v>
      </c>
      <c r="K99" s="162">
        <v>15794.341</v>
      </c>
      <c r="L99" s="145">
        <f t="shared" ref="L99:L104" si="1">ABS(K99/K$99)</f>
        <v>1</v>
      </c>
      <c r="M99" s="162">
        <v>18875.853999999999</v>
      </c>
      <c r="N99" s="163">
        <f t="shared" ref="N99:N104" si="2">ABS(M99/M$99)</f>
        <v>1</v>
      </c>
      <c r="P99" s="162">
        <v>85029</v>
      </c>
      <c r="Q99" s="145">
        <f>ABS(P99/P$99)</f>
        <v>1</v>
      </c>
      <c r="R99" s="162">
        <v>94507</v>
      </c>
      <c r="S99" s="145">
        <f>ABS(R99/R$99)</f>
        <v>1</v>
      </c>
      <c r="T99" s="162">
        <v>108390</v>
      </c>
      <c r="U99" s="145">
        <f>ABS(T99/T$99)</f>
        <v>1</v>
      </c>
      <c r="W99" s="162">
        <v>13263</v>
      </c>
      <c r="X99" s="145">
        <f>ABS(W99/W$99)</f>
        <v>1</v>
      </c>
      <c r="Y99" s="162">
        <v>12943</v>
      </c>
      <c r="Z99" s="145">
        <f>ABS(Y99/Y$99)</f>
        <v>1</v>
      </c>
      <c r="AA99" s="162">
        <v>12838</v>
      </c>
      <c r="AB99" s="145">
        <f>ABS(AA99/AA$99)</f>
        <v>1</v>
      </c>
    </row>
    <row r="100" spans="1:28" x14ac:dyDescent="0.25">
      <c r="A100" s="161" t="s">
        <v>53</v>
      </c>
      <c r="B100" s="162">
        <v>30191</v>
      </c>
      <c r="C100" s="145">
        <f>ABS(B100/B$99)</f>
        <v>0.54756334222028769</v>
      </c>
      <c r="D100" s="162">
        <v>32726</v>
      </c>
      <c r="E100" s="145">
        <f>ABS(D100/D$99)</f>
        <v>0.55062758690311941</v>
      </c>
      <c r="F100" s="162">
        <v>42018</v>
      </c>
      <c r="G100" s="145">
        <f>ABS(F100/F$99)</f>
        <v>0.60396722725312635</v>
      </c>
      <c r="I100" s="162">
        <v>8033</v>
      </c>
      <c r="J100" s="145">
        <f t="shared" si="0"/>
        <v>0.68700907992867011</v>
      </c>
      <c r="K100" s="162">
        <v>9967.5380000000005</v>
      </c>
      <c r="L100" s="145">
        <f t="shared" si="1"/>
        <v>0.63108286695848848</v>
      </c>
      <c r="M100" s="162">
        <v>11707.59</v>
      </c>
      <c r="N100" s="163">
        <f t="shared" si="2"/>
        <v>0.62024160602216993</v>
      </c>
      <c r="P100" s="162">
        <v>25355</v>
      </c>
      <c r="Q100" s="145">
        <f>ABS(P100/P$99)</f>
        <v>0.29819238142280868</v>
      </c>
      <c r="R100" s="162">
        <v>29692</v>
      </c>
      <c r="S100" s="145">
        <f>ABS(R100/R$99)</f>
        <v>0.31417778577248245</v>
      </c>
      <c r="T100" s="162">
        <v>34392</v>
      </c>
      <c r="U100" s="145">
        <f>ABS(T100/T$99)</f>
        <v>0.31729864378632716</v>
      </c>
      <c r="W100" s="162">
        <v>7292</v>
      </c>
      <c r="X100" s="145">
        <f>ABS(W100/W$99)</f>
        <v>0.54980019603407981</v>
      </c>
      <c r="Y100" s="162">
        <v>6879</v>
      </c>
      <c r="Z100" s="145">
        <f>ABS(Y100/Y$99)</f>
        <v>0.53148419995364293</v>
      </c>
      <c r="AA100" s="162">
        <v>6761</v>
      </c>
      <c r="AB100" s="145">
        <f>ABS(AA100/AA$99)</f>
        <v>0.52663966349898739</v>
      </c>
    </row>
    <row r="101" spans="1:28" x14ac:dyDescent="0.25">
      <c r="A101" s="161" t="s">
        <v>197</v>
      </c>
      <c r="B101" s="166">
        <f>B99-B100</f>
        <v>24946</v>
      </c>
      <c r="C101" s="145">
        <f>ABS(B101/B$99)</f>
        <v>0.45243665777971237</v>
      </c>
      <c r="D101" s="166">
        <f>D99-D100</f>
        <v>26708</v>
      </c>
      <c r="E101" s="145">
        <f>ABS(D101/D$99)</f>
        <v>0.44937241309688059</v>
      </c>
      <c r="F101" s="166">
        <f>F99-F100</f>
        <v>27552</v>
      </c>
      <c r="G101" s="145">
        <f>ABS(F101/F$99)</f>
        <v>0.39603277274687365</v>
      </c>
      <c r="I101" s="166">
        <f>I99-I100</f>
        <v>3659.7129999999997</v>
      </c>
      <c r="J101" s="145">
        <f t="shared" si="0"/>
        <v>0.31299092007132989</v>
      </c>
      <c r="K101" s="166">
        <f>K99-K100</f>
        <v>5826.8029999999999</v>
      </c>
      <c r="L101" s="145">
        <f t="shared" si="1"/>
        <v>0.36891713304151152</v>
      </c>
      <c r="M101" s="166">
        <f>M99-M100</f>
        <v>7168.2639999999992</v>
      </c>
      <c r="N101" s="163">
        <f t="shared" si="2"/>
        <v>0.37975839397783007</v>
      </c>
      <c r="P101" s="166">
        <f>P99-P100</f>
        <v>59674</v>
      </c>
      <c r="Q101" s="145">
        <f>ABS(P101/P$99)</f>
        <v>0.70180761857719132</v>
      </c>
      <c r="R101" s="166">
        <f>R99-R100</f>
        <v>64815</v>
      </c>
      <c r="S101" s="145">
        <f>ABS(R101/R$99)</f>
        <v>0.68582221422751755</v>
      </c>
      <c r="T101" s="166">
        <f>T99-T100</f>
        <v>73998</v>
      </c>
      <c r="U101" s="145">
        <f>ABS(T101/T$99)</f>
        <v>0.68270135621367289</v>
      </c>
      <c r="W101" s="166">
        <f>W99-W100</f>
        <v>5971</v>
      </c>
      <c r="X101" s="145">
        <f>ABS(W101/W$99)</f>
        <v>0.45019980396592024</v>
      </c>
      <c r="Y101" s="166">
        <f>Y99-Y100</f>
        <v>6064</v>
      </c>
      <c r="Z101" s="145">
        <f>ABS(Y101/Y$99)</f>
        <v>0.46851580004635712</v>
      </c>
      <c r="AA101" s="166">
        <f>AA99-AA100</f>
        <v>6077</v>
      </c>
      <c r="AB101" s="145">
        <f>ABS(AA101/AA$99)</f>
        <v>0.47336033650101261</v>
      </c>
    </row>
    <row r="102" spans="1:28" x14ac:dyDescent="0.25">
      <c r="A102" s="161" t="s">
        <v>196</v>
      </c>
      <c r="B102" s="152">
        <v>0</v>
      </c>
      <c r="C102" s="152">
        <v>0</v>
      </c>
      <c r="D102" s="152">
        <v>0</v>
      </c>
      <c r="E102" s="152">
        <v>0</v>
      </c>
      <c r="F102" s="152">
        <v>0</v>
      </c>
      <c r="G102" s="152">
        <v>0</v>
      </c>
      <c r="I102" s="162">
        <v>953.71</v>
      </c>
      <c r="J102" s="145">
        <f t="shared" si="0"/>
        <v>8.1564475241973355E-2</v>
      </c>
      <c r="K102" s="162">
        <v>1221.8140000000001</v>
      </c>
      <c r="L102" s="145">
        <f t="shared" si="1"/>
        <v>7.7357706788779609E-2</v>
      </c>
      <c r="M102" s="162">
        <v>1467.5619999999999</v>
      </c>
      <c r="N102" s="163">
        <f t="shared" si="2"/>
        <v>7.7748111423197055E-2</v>
      </c>
      <c r="P102" s="152">
        <v>0</v>
      </c>
      <c r="Q102" s="152">
        <v>0</v>
      </c>
      <c r="R102" s="152">
        <v>0</v>
      </c>
      <c r="S102" s="152">
        <v>0</v>
      </c>
      <c r="T102" s="152">
        <v>0</v>
      </c>
      <c r="U102" s="152">
        <v>0</v>
      </c>
      <c r="W102" s="152">
        <v>0</v>
      </c>
      <c r="X102" s="152">
        <v>0</v>
      </c>
      <c r="Y102" s="152">
        <v>0</v>
      </c>
      <c r="Z102" s="152">
        <v>0</v>
      </c>
      <c r="AA102" s="152">
        <v>0</v>
      </c>
      <c r="AB102" s="152">
        <v>0</v>
      </c>
    </row>
    <row r="103" spans="1:28" x14ac:dyDescent="0.25">
      <c r="A103" s="161" t="s">
        <v>195</v>
      </c>
      <c r="B103" s="162">
        <v>8176</v>
      </c>
      <c r="C103" s="145">
        <f t="shared" ref="C103:C110" si="3">ABS(B103/B$99)</f>
        <v>0.14828518055026571</v>
      </c>
      <c r="D103" s="162">
        <v>8860</v>
      </c>
      <c r="E103" s="145">
        <f t="shared" ref="E103:E110" si="4">ABS(D103/D$99)</f>
        <v>0.14907292122354207</v>
      </c>
      <c r="F103" s="162">
        <v>11438.8</v>
      </c>
      <c r="G103" s="145">
        <f t="shared" ref="G103:G110" si="5">ABS(F103/F$99)</f>
        <v>0.16442144602558573</v>
      </c>
      <c r="I103" s="162">
        <v>1867.3240000000001</v>
      </c>
      <c r="J103" s="145">
        <f t="shared" si="0"/>
        <v>0.15969980619553392</v>
      </c>
      <c r="K103" s="162">
        <v>2999.7629999999999</v>
      </c>
      <c r="L103" s="145">
        <f t="shared" si="1"/>
        <v>0.18992644264170311</v>
      </c>
      <c r="M103" s="162">
        <v>3339.1930000000002</v>
      </c>
      <c r="N103" s="163">
        <f t="shared" si="2"/>
        <v>0.17690288344039959</v>
      </c>
      <c r="P103" s="162">
        <v>31968</v>
      </c>
      <c r="Q103" s="145">
        <f t="shared" ref="Q103:Q110" si="6">ABS(P103/P$99)</f>
        <v>0.37596584694633595</v>
      </c>
      <c r="R103" s="162">
        <v>34791</v>
      </c>
      <c r="S103" s="145">
        <f t="shared" ref="S103:S110" si="7">ABS(R103/R$99)</f>
        <v>0.36813146116160705</v>
      </c>
      <c r="T103" s="162">
        <v>40323</v>
      </c>
      <c r="U103" s="145">
        <f t="shared" ref="U103:U110" si="8">ABS(T103/T$99)</f>
        <v>0.37201771381123722</v>
      </c>
      <c r="W103" s="162">
        <v>3005</v>
      </c>
      <c r="X103" s="145">
        <f t="shared" ref="X103:X110" si="9">ABS(W103/W$99)</f>
        <v>0.22657015758124105</v>
      </c>
      <c r="Y103" s="162">
        <v>3056</v>
      </c>
      <c r="Z103" s="145">
        <f t="shared" ref="Z103:Z110" si="10">ABS(Y103/Y$99)</f>
        <v>0.23611218419222746</v>
      </c>
      <c r="AA103" s="162">
        <v>3150</v>
      </c>
      <c r="AB103" s="145">
        <f t="shared" ref="AB103:AB110" si="11">ABS(AA103/AA$99)</f>
        <v>0.24536532170119957</v>
      </c>
    </row>
    <row r="104" spans="1:28" x14ac:dyDescent="0.25">
      <c r="A104" s="161" t="s">
        <v>144</v>
      </c>
      <c r="B104" s="164">
        <f>B101-SUM(B103,B102)</f>
        <v>16770</v>
      </c>
      <c r="C104" s="145">
        <f t="shared" si="3"/>
        <v>0.30415147722944663</v>
      </c>
      <c r="D104" s="165">
        <f>D101-SUM(D103,D102)</f>
        <v>17848</v>
      </c>
      <c r="E104" s="145">
        <f t="shared" si="4"/>
        <v>0.30029949187333849</v>
      </c>
      <c r="F104" s="164">
        <f>F101-SUM(F103,F102)</f>
        <v>16113.2</v>
      </c>
      <c r="G104" s="145">
        <f t="shared" si="5"/>
        <v>0.23161132672128792</v>
      </c>
      <c r="I104" s="164">
        <f>I101-SUM(I103,I102)</f>
        <v>838.67899999999963</v>
      </c>
      <c r="J104" s="145">
        <f t="shared" si="0"/>
        <v>7.1726638633822587E-2</v>
      </c>
      <c r="K104" s="164">
        <f>K101-SUM(K103,K102)</f>
        <v>1605.2259999999997</v>
      </c>
      <c r="L104" s="145">
        <f t="shared" si="1"/>
        <v>0.10163298361102877</v>
      </c>
      <c r="M104" s="164">
        <f>M101-SUM(M103,M102)</f>
        <v>2361.5089999999991</v>
      </c>
      <c r="N104" s="163">
        <f t="shared" si="2"/>
        <v>0.12510739911423341</v>
      </c>
      <c r="P104" s="164">
        <f>P101-SUM(P103,P102)</f>
        <v>27706</v>
      </c>
      <c r="Q104" s="145">
        <f t="shared" si="6"/>
        <v>0.32584177163085537</v>
      </c>
      <c r="R104" s="164">
        <f>R101-SUM(R103,R102)</f>
        <v>30024</v>
      </c>
      <c r="S104" s="145">
        <f t="shared" si="7"/>
        <v>0.31769075306591044</v>
      </c>
      <c r="T104" s="164">
        <f>T101-SUM(T103,T102)</f>
        <v>33675</v>
      </c>
      <c r="U104" s="145">
        <f t="shared" si="8"/>
        <v>0.31068364240243562</v>
      </c>
      <c r="W104" s="164">
        <f>W101-SUM(W103,W102)</f>
        <v>2966</v>
      </c>
      <c r="X104" s="145">
        <f t="shared" si="9"/>
        <v>0.22362964638467919</v>
      </c>
      <c r="Y104" s="164">
        <f>Y101-SUM(Y103,Y102)</f>
        <v>3008</v>
      </c>
      <c r="Z104" s="145">
        <f t="shared" si="10"/>
        <v>0.23240361585412964</v>
      </c>
      <c r="AA104" s="164">
        <f>AA101-SUM(AA103,AA102)</f>
        <v>2927</v>
      </c>
      <c r="AB104" s="145">
        <f t="shared" si="11"/>
        <v>0.22799501479981304</v>
      </c>
    </row>
    <row r="105" spans="1:28" x14ac:dyDescent="0.25">
      <c r="A105" s="161" t="s">
        <v>194</v>
      </c>
      <c r="B105" s="162">
        <v>2782</v>
      </c>
      <c r="C105" s="145">
        <f t="shared" si="3"/>
        <v>5.0456136532636885E-2</v>
      </c>
      <c r="D105" s="162">
        <v>3011</v>
      </c>
      <c r="E105" s="145">
        <f t="shared" si="4"/>
        <v>5.0661237675404654E-2</v>
      </c>
      <c r="F105" s="162">
        <v>4160</v>
      </c>
      <c r="G105" s="145">
        <f t="shared" si="5"/>
        <v>5.9795889032629009E-2</v>
      </c>
      <c r="I105" s="152">
        <v>0</v>
      </c>
      <c r="J105" s="152">
        <v>0</v>
      </c>
      <c r="K105" s="152">
        <v>0</v>
      </c>
      <c r="L105" s="152">
        <v>0</v>
      </c>
      <c r="M105" s="152">
        <v>0</v>
      </c>
      <c r="N105" s="152">
        <v>0</v>
      </c>
      <c r="P105" s="162">
        <v>7914</v>
      </c>
      <c r="Q105" s="145">
        <f t="shared" si="6"/>
        <v>9.3074127650566274E-2</v>
      </c>
      <c r="R105" s="162">
        <v>8281</v>
      </c>
      <c r="S105" s="145">
        <f t="shared" si="7"/>
        <v>8.7623139026738767E-2</v>
      </c>
      <c r="T105" s="162">
        <v>8772</v>
      </c>
      <c r="U105" s="145">
        <f t="shared" si="8"/>
        <v>8.0929975089952949E-2</v>
      </c>
      <c r="W105" s="162">
        <v>223</v>
      </c>
      <c r="X105" s="145">
        <f t="shared" si="9"/>
        <v>1.6813692226494759E-2</v>
      </c>
      <c r="Y105" s="162">
        <v>213</v>
      </c>
      <c r="Z105" s="145">
        <f t="shared" si="10"/>
        <v>1.6456772000309046E-2</v>
      </c>
      <c r="AA105" s="162">
        <v>215</v>
      </c>
      <c r="AB105" s="145">
        <f t="shared" si="11"/>
        <v>1.6747156878018383E-2</v>
      </c>
    </row>
    <row r="106" spans="1:28" x14ac:dyDescent="0.25">
      <c r="A106" s="161" t="s">
        <v>143</v>
      </c>
      <c r="B106" s="164">
        <f>B104-B105</f>
        <v>13988</v>
      </c>
      <c r="C106" s="145">
        <f t="shared" si="3"/>
        <v>0.25369534069680977</v>
      </c>
      <c r="D106" s="164">
        <f>D104-D105</f>
        <v>14837</v>
      </c>
      <c r="E106" s="145">
        <f t="shared" si="4"/>
        <v>0.24963825419793384</v>
      </c>
      <c r="F106" s="164">
        <f>F104-F105</f>
        <v>11953.2</v>
      </c>
      <c r="G106" s="145">
        <f t="shared" si="5"/>
        <v>0.17181543768865892</v>
      </c>
      <c r="I106" s="164">
        <f>I104-I105</f>
        <v>838.67899999999963</v>
      </c>
      <c r="J106" s="145">
        <f>ABS(I106/I$99)</f>
        <v>7.1726638633822587E-2</v>
      </c>
      <c r="K106" s="164">
        <f>K104-K105</f>
        <v>1605.2259999999997</v>
      </c>
      <c r="L106" s="145">
        <f>ABS(K106/K$99)</f>
        <v>0.10163298361102877</v>
      </c>
      <c r="M106" s="164">
        <f>M104-M105</f>
        <v>2361.5089999999991</v>
      </c>
      <c r="N106" s="163">
        <f>ABS(M106/M$99)</f>
        <v>0.12510739911423341</v>
      </c>
      <c r="P106" s="164">
        <f>P104-P105</f>
        <v>19792</v>
      </c>
      <c r="Q106" s="145">
        <f t="shared" si="6"/>
        <v>0.23276764398028907</v>
      </c>
      <c r="R106" s="164">
        <f>R104-R105</f>
        <v>21743</v>
      </c>
      <c r="S106" s="145">
        <f t="shared" si="7"/>
        <v>0.2300676140391717</v>
      </c>
      <c r="T106" s="164">
        <f>T104-T105</f>
        <v>24903</v>
      </c>
      <c r="U106" s="145">
        <f t="shared" si="8"/>
        <v>0.2297536673124827</v>
      </c>
      <c r="W106" s="164">
        <f>W104-W105</f>
        <v>2743</v>
      </c>
      <c r="X106" s="145">
        <f t="shared" si="9"/>
        <v>0.20681595415818443</v>
      </c>
      <c r="Y106" s="164">
        <f>Y104-Y105</f>
        <v>2795</v>
      </c>
      <c r="Z106" s="145">
        <f t="shared" si="10"/>
        <v>0.2159468438538206</v>
      </c>
      <c r="AA106" s="164">
        <f>AA104-AA105</f>
        <v>2712</v>
      </c>
      <c r="AB106" s="145">
        <f t="shared" si="11"/>
        <v>0.21124785792179468</v>
      </c>
    </row>
    <row r="107" spans="1:28" x14ac:dyDescent="0.25">
      <c r="A107" s="161" t="s">
        <v>193</v>
      </c>
      <c r="B107" s="162">
        <v>-412</v>
      </c>
      <c r="C107" s="145">
        <f t="shared" si="3"/>
        <v>7.4722962801748371E-3</v>
      </c>
      <c r="D107" s="162">
        <v>-574</v>
      </c>
      <c r="E107" s="145">
        <f t="shared" si="4"/>
        <v>9.6577716458592731E-3</v>
      </c>
      <c r="F107" s="162">
        <v>-980</v>
      </c>
      <c r="G107" s="145">
        <f t="shared" si="5"/>
        <v>1.4086531550955872E-2</v>
      </c>
      <c r="I107" s="162">
        <v>-225.4</v>
      </c>
      <c r="J107" s="145">
        <f>ABS(I107/I$99)</f>
        <v>1.9276963353158504E-2</v>
      </c>
      <c r="K107" s="162">
        <v>-377.8</v>
      </c>
      <c r="L107" s="145">
        <f>ABS(K107/K$99)</f>
        <v>2.3919959686827072E-2</v>
      </c>
      <c r="M107" s="162">
        <v>-509.2</v>
      </c>
      <c r="N107" s="163">
        <f>ABS(M107/M$99)</f>
        <v>2.6976262901800364E-2</v>
      </c>
      <c r="P107" s="162">
        <v>-2755</v>
      </c>
      <c r="Q107" s="145">
        <f t="shared" si="6"/>
        <v>3.2400710345881996E-2</v>
      </c>
      <c r="R107" s="162">
        <v>-3216</v>
      </c>
      <c r="S107" s="145">
        <f t="shared" si="7"/>
        <v>3.4029225348386892E-2</v>
      </c>
      <c r="T107" s="162">
        <v>-4326</v>
      </c>
      <c r="U107" s="145">
        <f t="shared" si="8"/>
        <v>3.9911430943814004E-2</v>
      </c>
      <c r="W107" s="162">
        <v>-618</v>
      </c>
      <c r="X107" s="145">
        <f t="shared" si="9"/>
        <v>4.6595792807057224E-2</v>
      </c>
      <c r="Y107" s="162">
        <v>-560</v>
      </c>
      <c r="Z107" s="145">
        <f t="shared" si="10"/>
        <v>4.3266630611141159E-2</v>
      </c>
      <c r="AA107" s="162">
        <v>-489</v>
      </c>
      <c r="AB107" s="145">
        <f t="shared" si="11"/>
        <v>3.8090045178376691E-2</v>
      </c>
    </row>
    <row r="108" spans="1:28" x14ac:dyDescent="0.25">
      <c r="A108" s="161" t="s">
        <v>192</v>
      </c>
      <c r="B108" s="160">
        <f>B18+ ABS(B16)</f>
        <v>13788</v>
      </c>
      <c r="C108" s="145">
        <f t="shared" si="3"/>
        <v>0.25006801240546278</v>
      </c>
      <c r="D108" s="160">
        <f>C18+ ABS(C16)</f>
        <v>14729</v>
      </c>
      <c r="E108" s="145">
        <f t="shared" si="4"/>
        <v>0.24782111249453176</v>
      </c>
      <c r="F108" s="160">
        <f>D18+ ABS(D16)</f>
        <v>14557</v>
      </c>
      <c r="G108" s="145">
        <f t="shared" si="5"/>
        <v>0.20924248957884145</v>
      </c>
      <c r="I108" s="160">
        <f>F18+ ABS(F16)</f>
        <v>485.27899999999966</v>
      </c>
      <c r="J108" s="145">
        <f>ABS(I108/I$99)</f>
        <v>4.1502686331221818E-2</v>
      </c>
      <c r="K108" s="160">
        <f>G18+ ABS(G16)</f>
        <v>1226.4259999999995</v>
      </c>
      <c r="L108" s="145">
        <f>ABS(K108/K$99)</f>
        <v>7.764971010819631E-2</v>
      </c>
      <c r="M108" s="160">
        <f>H18+ ABS(H16)</f>
        <v>2032.3089999999991</v>
      </c>
      <c r="N108" s="163">
        <f>ABS(M108/M$99)</f>
        <v>0.10766712859720144</v>
      </c>
      <c r="P108" s="160">
        <f>J18+ ABS(J16)</f>
        <v>15353</v>
      </c>
      <c r="Q108" s="145">
        <f t="shared" si="6"/>
        <v>0.18056192593115289</v>
      </c>
      <c r="R108" s="160">
        <f>K18+ ABS(K16)</f>
        <v>15242</v>
      </c>
      <c r="S108" s="145">
        <f t="shared" si="7"/>
        <v>0.161279058694065</v>
      </c>
      <c r="T108" s="160">
        <f>L18+ ABS(L16)</f>
        <v>16003</v>
      </c>
      <c r="U108" s="145">
        <f t="shared" si="8"/>
        <v>0.14764277147338314</v>
      </c>
      <c r="W108" s="160">
        <f>N18+ ABS(N16)</f>
        <v>2215</v>
      </c>
      <c r="X108" s="145">
        <f t="shared" si="9"/>
        <v>0.16700595642011612</v>
      </c>
      <c r="Y108" s="160">
        <f>O18+ ABS(O16)</f>
        <v>2028</v>
      </c>
      <c r="Z108" s="145">
        <f t="shared" si="10"/>
        <v>0.15668701228463261</v>
      </c>
      <c r="AA108" s="160">
        <f>P18+ ABS(P16)</f>
        <v>2033</v>
      </c>
      <c r="AB108" s="145">
        <f t="shared" si="11"/>
        <v>0.15835799968842498</v>
      </c>
    </row>
    <row r="109" spans="1:28" x14ac:dyDescent="0.25">
      <c r="A109" s="161" t="s">
        <v>191</v>
      </c>
      <c r="B109" s="162">
        <f>B16</f>
        <v>-4422</v>
      </c>
      <c r="C109" s="145">
        <f t="shared" si="3"/>
        <v>8.0200228521682349E-2</v>
      </c>
      <c r="D109" s="162">
        <f>C16</f>
        <v>-1663</v>
      </c>
      <c r="E109" s="145">
        <f t="shared" si="4"/>
        <v>2.7980617155163711E-2</v>
      </c>
      <c r="F109" s="162">
        <f>D16</f>
        <v>-3031</v>
      </c>
      <c r="G109" s="145">
        <f t="shared" si="5"/>
        <v>4.3567629725456372E-2</v>
      </c>
      <c r="I109" s="162">
        <f>F16</f>
        <v>-73.599999999999994</v>
      </c>
      <c r="J109" s="145">
        <f>ABS(I109/I$99)</f>
        <v>6.2945186459293064E-3</v>
      </c>
      <c r="K109" s="162">
        <f>G16</f>
        <v>-15.215999999999999</v>
      </c>
      <c r="L109" s="145">
        <f>ABS(K109/K$99)</f>
        <v>9.633830243376409E-4</v>
      </c>
      <c r="M109" s="162">
        <f>H16</f>
        <v>-618.41399999999999</v>
      </c>
      <c r="N109" s="163">
        <f>ABS(M109/M$99)</f>
        <v>3.2762173303523115E-2</v>
      </c>
      <c r="P109" s="162">
        <f>J16</f>
        <v>-7569</v>
      </c>
      <c r="Q109" s="145">
        <f t="shared" si="6"/>
        <v>8.9016688423949469E-2</v>
      </c>
      <c r="R109" s="162">
        <f>K16</f>
        <v>-3380</v>
      </c>
      <c r="S109" s="145">
        <f t="shared" si="7"/>
        <v>3.5764546541526027E-2</v>
      </c>
      <c r="T109" s="162">
        <f>L16</f>
        <v>-3298</v>
      </c>
      <c r="U109" s="145">
        <f t="shared" si="8"/>
        <v>3.042716117723037E-2</v>
      </c>
      <c r="W109" s="162">
        <f>N16</f>
        <v>-293</v>
      </c>
      <c r="X109" s="145">
        <f t="shared" si="9"/>
        <v>2.2091532835708361E-2</v>
      </c>
      <c r="Y109" s="162">
        <f>O16</f>
        <v>-269</v>
      </c>
      <c r="Z109" s="145">
        <f t="shared" si="10"/>
        <v>2.0783435061423165E-2</v>
      </c>
      <c r="AA109" s="162">
        <f>P16</f>
        <v>-445</v>
      </c>
      <c r="AB109" s="145">
        <f t="shared" si="11"/>
        <v>3.4662720049851999E-2</v>
      </c>
    </row>
    <row r="110" spans="1:28" x14ac:dyDescent="0.25">
      <c r="A110" s="161" t="s">
        <v>35</v>
      </c>
      <c r="B110" s="162">
        <v>-386</v>
      </c>
      <c r="C110" s="145">
        <f t="shared" si="3"/>
        <v>7.000743602299726E-3</v>
      </c>
      <c r="D110" s="162">
        <v>-468</v>
      </c>
      <c r="E110" s="145">
        <f t="shared" si="4"/>
        <v>7.8742807147424033E-3</v>
      </c>
      <c r="F110" s="162">
        <v>-472</v>
      </c>
      <c r="G110" s="145">
        <f t="shared" si="5"/>
        <v>6.7845335633175217E-3</v>
      </c>
      <c r="I110" s="152">
        <v>0</v>
      </c>
      <c r="J110" s="152">
        <v>0</v>
      </c>
      <c r="K110" s="152">
        <v>0</v>
      </c>
      <c r="L110" s="152">
        <v>0</v>
      </c>
      <c r="M110" s="152">
        <v>0</v>
      </c>
      <c r="N110" s="152">
        <v>0</v>
      </c>
      <c r="P110" s="162">
        <v>-187</v>
      </c>
      <c r="Q110" s="145">
        <f t="shared" si="6"/>
        <v>2.1992496677604111E-3</v>
      </c>
      <c r="R110" s="162">
        <v>-131</v>
      </c>
      <c r="S110" s="145">
        <f t="shared" si="7"/>
        <v>1.3861407091538193E-3</v>
      </c>
      <c r="T110" s="162">
        <v>-299</v>
      </c>
      <c r="U110" s="145">
        <f t="shared" si="8"/>
        <v>2.7585570624596364E-3</v>
      </c>
      <c r="W110" s="162">
        <v>-48</v>
      </c>
      <c r="X110" s="145">
        <f t="shared" si="9"/>
        <v>3.6190907034607555E-3</v>
      </c>
      <c r="Y110" s="162">
        <v>-40</v>
      </c>
      <c r="Z110" s="145">
        <f t="shared" si="10"/>
        <v>3.0904736150815112E-3</v>
      </c>
      <c r="AA110" s="162">
        <v>-40</v>
      </c>
      <c r="AB110" s="145">
        <f t="shared" si="11"/>
        <v>3.1157501168406292E-3</v>
      </c>
    </row>
    <row r="111" spans="1:28" x14ac:dyDescent="0.25">
      <c r="A111" s="161" t="s">
        <v>190</v>
      </c>
      <c r="B111" s="160">
        <f t="shared" ref="B111:G111" si="12">B108+SUM(B109,B110)</f>
        <v>8980</v>
      </c>
      <c r="C111" s="145">
        <f t="shared" si="12"/>
        <v>0.33726898452944487</v>
      </c>
      <c r="D111" s="160">
        <f t="shared" si="12"/>
        <v>12598</v>
      </c>
      <c r="E111" s="145">
        <f t="shared" si="12"/>
        <v>0.2836760103644379</v>
      </c>
      <c r="F111" s="160">
        <f t="shared" si="12"/>
        <v>11054</v>
      </c>
      <c r="G111" s="145">
        <f t="shared" si="12"/>
        <v>0.25959465286761535</v>
      </c>
      <c r="H111" s="160"/>
      <c r="I111" s="160">
        <f t="shared" ref="I111:N111" si="13">I108+SUM(I109,I110)</f>
        <v>411.67899999999963</v>
      </c>
      <c r="J111" s="145">
        <f t="shared" si="13"/>
        <v>4.7797204977151127E-2</v>
      </c>
      <c r="K111" s="160">
        <f t="shared" si="13"/>
        <v>1211.2099999999996</v>
      </c>
      <c r="L111" s="145">
        <f t="shared" si="13"/>
        <v>7.8613093132533951E-2</v>
      </c>
      <c r="M111" s="160">
        <f t="shared" si="13"/>
        <v>1413.8949999999991</v>
      </c>
      <c r="N111" s="145">
        <f t="shared" si="13"/>
        <v>0.14042930190072456</v>
      </c>
      <c r="O111" s="160"/>
      <c r="P111" s="160">
        <f t="shared" ref="P111:U111" si="14">P108+SUM(P109,P110)</f>
        <v>7597</v>
      </c>
      <c r="Q111" s="145">
        <f t="shared" si="14"/>
        <v>0.27177786402286275</v>
      </c>
      <c r="R111" s="160">
        <f t="shared" si="14"/>
        <v>11731</v>
      </c>
      <c r="S111" s="145">
        <f t="shared" si="14"/>
        <v>0.19842974594474486</v>
      </c>
      <c r="T111" s="160">
        <f t="shared" si="14"/>
        <v>12406</v>
      </c>
      <c r="U111" s="145">
        <f t="shared" si="14"/>
        <v>0.18082848971307314</v>
      </c>
      <c r="V111" s="160"/>
      <c r="W111" s="160">
        <f t="shared" ref="W111:AB111" si="15">W108+SUM(W109,W110)</f>
        <v>1874</v>
      </c>
      <c r="X111" s="145">
        <f t="shared" si="15"/>
        <v>0.19271657995928523</v>
      </c>
      <c r="Y111" s="160">
        <f t="shared" si="15"/>
        <v>1719</v>
      </c>
      <c r="Z111" s="145">
        <f t="shared" si="15"/>
        <v>0.18056092096113729</v>
      </c>
      <c r="AA111" s="160">
        <f t="shared" si="15"/>
        <v>1548</v>
      </c>
      <c r="AB111" s="145">
        <f t="shared" si="15"/>
        <v>0.19613646985511762</v>
      </c>
    </row>
    <row r="113" spans="1:16" x14ac:dyDescent="0.25">
      <c r="A113" s="216" t="s">
        <v>199</v>
      </c>
    </row>
    <row r="115" spans="1:16" x14ac:dyDescent="0.25">
      <c r="A115" s="155"/>
      <c r="B115" s="159" t="s">
        <v>31</v>
      </c>
      <c r="C115" s="158"/>
      <c r="D115" s="158"/>
      <c r="E115" s="155"/>
      <c r="F115" s="159" t="s">
        <v>30</v>
      </c>
      <c r="G115" s="158"/>
      <c r="H115" s="158"/>
      <c r="I115" s="155"/>
      <c r="J115" s="159" t="s">
        <v>29</v>
      </c>
      <c r="K115" s="158"/>
      <c r="L115" s="158"/>
      <c r="M115" s="155"/>
      <c r="N115" s="159" t="s">
        <v>28</v>
      </c>
      <c r="O115" s="158"/>
      <c r="P115" s="158"/>
    </row>
    <row r="116" spans="1:16" ht="24" x14ac:dyDescent="0.25">
      <c r="A116" s="157"/>
      <c r="B116" s="154">
        <v>43008</v>
      </c>
      <c r="C116" s="154">
        <v>43372</v>
      </c>
      <c r="D116" s="154" t="s">
        <v>27</v>
      </c>
      <c r="E116" s="155"/>
      <c r="F116" s="154">
        <v>43100</v>
      </c>
      <c r="G116" s="154">
        <v>43465</v>
      </c>
      <c r="H116" s="154">
        <v>43738</v>
      </c>
      <c r="I116" s="155"/>
      <c r="J116" s="156" t="s">
        <v>26</v>
      </c>
      <c r="K116" s="154">
        <v>43465</v>
      </c>
      <c r="L116" s="154">
        <v>43738</v>
      </c>
      <c r="M116" s="155"/>
      <c r="N116" s="154">
        <v>43008</v>
      </c>
      <c r="O116" s="154">
        <v>43373</v>
      </c>
      <c r="P116" s="154" t="s">
        <v>50</v>
      </c>
    </row>
    <row r="117" spans="1:16" x14ac:dyDescent="0.25">
      <c r="A117" s="153" t="s">
        <v>189</v>
      </c>
    </row>
    <row r="118" spans="1:16" x14ac:dyDescent="0.25">
      <c r="A118" s="146" t="s">
        <v>188</v>
      </c>
      <c r="B118" s="145">
        <f>B20/B99</f>
        <v>0.16286704028148066</v>
      </c>
      <c r="C118" s="145">
        <f>C20/D99</f>
        <v>0.21196621462462564</v>
      </c>
      <c r="D118" s="145">
        <f>D20/F99</f>
        <v>0.15889032629006755</v>
      </c>
      <c r="E118" s="145"/>
      <c r="F118" s="145">
        <f>F20/I99</f>
        <v>3.5208167685292509E-2</v>
      </c>
      <c r="G118" s="145">
        <f>G20/K99</f>
        <v>7.6686327083858682E-2</v>
      </c>
      <c r="H118" s="145">
        <f>H20/M99</f>
        <v>7.4904955293678327E-2</v>
      </c>
      <c r="I118" s="145"/>
      <c r="J118" s="145">
        <f>J20/P99</f>
        <v>8.9345987839443017E-2</v>
      </c>
      <c r="K118" s="145">
        <f>K20/R99</f>
        <v>0.12412837144338515</v>
      </c>
      <c r="L118" s="145">
        <f>L20/T99</f>
        <v>0.11445705323369315</v>
      </c>
      <c r="M118" s="145"/>
      <c r="N118" s="145">
        <f>N20/W99</f>
        <v>0.14129533288094701</v>
      </c>
      <c r="O118" s="145">
        <f>O20/Y99</f>
        <v>0.13281310360812795</v>
      </c>
      <c r="P118" s="145">
        <f>P20/AA99</f>
        <v>0.12057952952173236</v>
      </c>
    </row>
    <row r="119" spans="1:16" x14ac:dyDescent="0.25">
      <c r="A119" s="146" t="s">
        <v>187</v>
      </c>
      <c r="B119" s="145">
        <f>B20/B75</f>
        <v>9.3747716334860995E-2</v>
      </c>
      <c r="C119" s="145">
        <f>C20/C75</f>
        <v>0.12777135438852716</v>
      </c>
      <c r="D119" s="145">
        <f>D20/D75</f>
        <v>5.698408116133289E-2</v>
      </c>
      <c r="E119" s="145"/>
      <c r="F119" s="145">
        <f>F20/F75</f>
        <v>2.1652778797560942E-2</v>
      </c>
      <c r="G119" s="145">
        <f>G20/G75</f>
        <v>4.6630879404848266E-2</v>
      </c>
      <c r="H119" s="145">
        <f>H20/H75</f>
        <v>4.5695430909372635E-2</v>
      </c>
      <c r="I119" s="145"/>
      <c r="J119" s="145">
        <f>J20/J75</f>
        <v>4.0525546510759514E-2</v>
      </c>
      <c r="K119" s="145">
        <f>K20/K75</f>
        <v>4.6610034805549816E-2</v>
      </c>
      <c r="L119" s="145">
        <f>L20/L75</f>
        <v>4.839024238027257E-2</v>
      </c>
      <c r="M119" s="145"/>
      <c r="N119" s="145">
        <f>N20/N75</f>
        <v>7.9078403240779818E-2</v>
      </c>
      <c r="O119" s="145">
        <f>O20/O75</f>
        <v>7.2278518269352054E-2</v>
      </c>
      <c r="P119" s="145">
        <f>P20/P75</f>
        <v>6.5396476701449033E-2</v>
      </c>
    </row>
    <row r="120" spans="1:16" x14ac:dyDescent="0.25">
      <c r="A120" s="146" t="s">
        <v>186</v>
      </c>
      <c r="B120" s="145">
        <f>B20/B91</f>
        <v>0.19457444964465245</v>
      </c>
      <c r="C120" s="145">
        <f>C20/C91</f>
        <v>0.2334908720229821</v>
      </c>
      <c r="D120" s="145">
        <f>D20/D91</f>
        <v>0.10747481818535372</v>
      </c>
      <c r="E120" s="145"/>
      <c r="F120" s="145">
        <f>F20/F91</f>
        <v>0.11493133919009603</v>
      </c>
      <c r="G120" s="145">
        <f>G20/G91</f>
        <v>0.23120143774343752</v>
      </c>
      <c r="H120" s="145">
        <f>H20/H91</f>
        <v>0.20606193539172515</v>
      </c>
      <c r="I120" s="145"/>
      <c r="J120" s="145">
        <f>J20/J91</f>
        <v>0.10727801626751017</v>
      </c>
      <c r="K120" s="145">
        <f>K20/K91</f>
        <v>0.15891787910807662</v>
      </c>
      <c r="L120" s="145">
        <f>L20/L91</f>
        <v>0.15405821577587919</v>
      </c>
      <c r="M120" s="145"/>
      <c r="N120" s="145">
        <f>N20/N91</f>
        <v>0.29433013978325739</v>
      </c>
      <c r="O120" s="145">
        <f>O20/O91</f>
        <v>0.22292828426922578</v>
      </c>
      <c r="P120" s="145">
        <f>P20/P91</f>
        <v>0.17669215842940303</v>
      </c>
    </row>
    <row r="122" spans="1:16" x14ac:dyDescent="0.25">
      <c r="A122" s="153" t="s">
        <v>185</v>
      </c>
    </row>
    <row r="123" spans="1:16" x14ac:dyDescent="0.25">
      <c r="A123" s="146" t="s">
        <v>81</v>
      </c>
      <c r="B123" s="149">
        <f>B99/B75</f>
        <v>0.57560889037363372</v>
      </c>
      <c r="C123" s="149">
        <f>D99/C75</f>
        <v>0.60279113166595666</v>
      </c>
      <c r="D123" s="149">
        <f>F99/D75</f>
        <v>0.35863782580006598</v>
      </c>
      <c r="E123" s="149"/>
      <c r="F123" s="149">
        <f>I99/F75</f>
        <v>0.61499306044846935</v>
      </c>
      <c r="G123" s="149">
        <f>K99/G75</f>
        <v>0.60807292744449837</v>
      </c>
      <c r="H123" s="149">
        <f>M99/H75</f>
        <v>0.61004550006358715</v>
      </c>
      <c r="I123" s="149"/>
      <c r="J123" s="149">
        <f>P99/J75</f>
        <v>0.45357992553157439</v>
      </c>
      <c r="K123" s="149">
        <f>R99/K75</f>
        <v>0.37549864115319209</v>
      </c>
      <c r="L123" s="149">
        <f>T99/L75</f>
        <v>0.42278078120246204</v>
      </c>
      <c r="M123" s="149"/>
      <c r="N123" s="149">
        <f>W99/N75</f>
        <v>0.55966748248797371</v>
      </c>
      <c r="O123" s="149">
        <f>Y99/O75</f>
        <v>0.54421225244922844</v>
      </c>
      <c r="P123" s="149">
        <f>AA99/P75</f>
        <v>0.54235140044780528</v>
      </c>
    </row>
    <row r="124" spans="1:16" x14ac:dyDescent="0.25">
      <c r="A124" s="146" t="s">
        <v>184</v>
      </c>
      <c r="B124" s="149">
        <f>(B65/B100)/365</f>
        <v>2.4056883503792973E-4</v>
      </c>
      <c r="C124" s="149">
        <f>(C65/D100)/365</f>
        <v>2.2653849019547108E-4</v>
      </c>
      <c r="D124" s="149">
        <f>(D65/F100)/365</f>
        <v>4.0726185842075512E-4</v>
      </c>
      <c r="F124">
        <f>(F65/I100)/365</f>
        <v>0</v>
      </c>
      <c r="G124">
        <f>(G65/K100)/365</f>
        <v>0</v>
      </c>
      <c r="H124">
        <f>(H65/M100)/365</f>
        <v>0</v>
      </c>
      <c r="J124" s="152">
        <v>0</v>
      </c>
      <c r="K124" s="152">
        <v>0</v>
      </c>
      <c r="L124" s="152">
        <v>0</v>
      </c>
      <c r="N124" s="149">
        <f>(N65/W100)/365</f>
        <v>3.4528362852140457E-4</v>
      </c>
      <c r="O124" s="149">
        <f>(O65/Y100)/365</f>
        <v>3.5685339737577342E-4</v>
      </c>
      <c r="P124" s="149">
        <f>(P65/AA100)/365</f>
        <v>3.1404935234919046E-4</v>
      </c>
    </row>
    <row r="125" spans="1:16" x14ac:dyDescent="0.25">
      <c r="A125" s="146" t="s">
        <v>183</v>
      </c>
      <c r="B125" s="149">
        <f>B100/B65</f>
        <v>11.388532629196529</v>
      </c>
      <c r="C125" s="149">
        <f>D100/C65</f>
        <v>12.093865484109386</v>
      </c>
      <c r="D125" s="149">
        <f>F100/D65</f>
        <v>6.7271853986551395</v>
      </c>
      <c r="E125" s="149"/>
      <c r="F125" s="152">
        <v>0</v>
      </c>
      <c r="G125" s="152">
        <v>0</v>
      </c>
      <c r="H125" s="152">
        <v>0</v>
      </c>
      <c r="I125" s="152"/>
      <c r="J125" s="152">
        <v>0</v>
      </c>
      <c r="K125" s="152">
        <v>0</v>
      </c>
      <c r="L125" s="152">
        <v>0</v>
      </c>
      <c r="M125" s="149"/>
      <c r="N125" s="149">
        <f>W100/N65</f>
        <v>7.9347116430903153</v>
      </c>
      <c r="O125" s="149">
        <f>Y100/O65</f>
        <v>7.6774553571428568</v>
      </c>
      <c r="P125" s="149">
        <f>AA100/P65</f>
        <v>8.7238709677419362</v>
      </c>
    </row>
    <row r="126" spans="1:16" x14ac:dyDescent="0.25">
      <c r="A126" s="146" t="s">
        <v>182</v>
      </c>
      <c r="B126" s="149">
        <f>(B64/B99)*365</f>
        <v>57.149373379037669</v>
      </c>
      <c r="C126" s="149">
        <f>(C64/D99)*365</f>
        <v>57.322576303126155</v>
      </c>
      <c r="D126" s="149">
        <f>(D64/F99)*365</f>
        <v>81.221287911456088</v>
      </c>
      <c r="E126" s="149"/>
      <c r="F126" s="149">
        <f>(F64/I99)*365</f>
        <v>0</v>
      </c>
      <c r="G126" s="149">
        <f>(G64/K99)*365</f>
        <v>0</v>
      </c>
      <c r="H126" s="149">
        <f>(H64/M99)*365</f>
        <v>9.0142316209905005</v>
      </c>
      <c r="I126" s="149"/>
      <c r="J126" s="149">
        <f>(J64/P99)*365</f>
        <v>37.921297439697042</v>
      </c>
      <c r="K126" s="149">
        <f>(K64/R99)*365</f>
        <v>42.885288920397436</v>
      </c>
      <c r="L126" s="149">
        <f>(L64/T99)*365</f>
        <v>35.978042254820558</v>
      </c>
      <c r="M126" s="149"/>
      <c r="N126" s="149">
        <f>(N64/W99)*365</f>
        <v>95.109703686948663</v>
      </c>
      <c r="O126" s="149">
        <f>(O64/Y99)*365</f>
        <v>88.662597543073474</v>
      </c>
      <c r="P126" s="149">
        <f>(P64/AA99)*365</f>
        <v>105.67884405670665</v>
      </c>
    </row>
    <row r="127" spans="1:16" x14ac:dyDescent="0.25">
      <c r="A127" s="146" t="s">
        <v>181</v>
      </c>
      <c r="B127" s="149">
        <f>(B78/B100)*365</f>
        <v>76.225530787320722</v>
      </c>
      <c r="C127" s="149">
        <f>(C78/D100)*365</f>
        <v>72.529334474118428</v>
      </c>
      <c r="D127" s="149">
        <f>(D78/F100)*365</f>
        <v>155.85772764053502</v>
      </c>
      <c r="E127" s="149"/>
      <c r="F127" s="149">
        <f>(F78/I100)*365</f>
        <v>16.337305489854351</v>
      </c>
      <c r="G127" s="149">
        <f>(G78/K100)*365</f>
        <v>20.615875755878733</v>
      </c>
      <c r="H127" s="149">
        <f>(H78/M100)*365</f>
        <v>13.846324051320556</v>
      </c>
      <c r="I127" s="149"/>
      <c r="J127" s="149">
        <f>(J78/P100)*365</f>
        <v>99.44468546637745</v>
      </c>
      <c r="K127" s="149">
        <f>(K78/R100)*365</f>
        <v>104.41566751987067</v>
      </c>
      <c r="L127" s="149">
        <f>(L78/T100)*365</f>
        <v>108.2306931844615</v>
      </c>
      <c r="M127" s="149"/>
      <c r="N127" s="149">
        <f>(N78/W100)*365</f>
        <v>21.573642347778389</v>
      </c>
      <c r="O127" s="149">
        <f>(O78/Y100)*365</f>
        <v>22.974996365750833</v>
      </c>
      <c r="P127" s="149">
        <f>(P78/AA100)*365</f>
        <v>26.021298624463835</v>
      </c>
    </row>
    <row r="129" spans="1:16" x14ac:dyDescent="0.25">
      <c r="A129" s="150" t="s">
        <v>180</v>
      </c>
    </row>
    <row r="130" spans="1:16" x14ac:dyDescent="0.25">
      <c r="A130" s="146" t="s">
        <v>115</v>
      </c>
      <c r="B130" s="149">
        <f>B67/B81</f>
        <v>0.94448077037389289</v>
      </c>
      <c r="C130" s="149">
        <f>C67/C81</f>
        <v>0.99822011272619404</v>
      </c>
      <c r="D130" s="149">
        <f>D67/D81</f>
        <v>1.0742961916039573</v>
      </c>
      <c r="E130" s="149"/>
      <c r="F130" s="149">
        <f>F67/F81</f>
        <v>1.4031350570549213</v>
      </c>
      <c r="G130" s="149">
        <f>G67/G81</f>
        <v>1.4943204589876866</v>
      </c>
      <c r="H130" s="149">
        <f>H67/H81</f>
        <v>0.7340632965458328</v>
      </c>
      <c r="I130" s="149"/>
      <c r="J130" s="149">
        <f>J67/J81</f>
        <v>0.74310007729732186</v>
      </c>
      <c r="K130" s="149">
        <f>K67/K81</f>
        <v>0.79150816940187663</v>
      </c>
      <c r="L130" s="149">
        <f>L67/L81</f>
        <v>0.85894032090499828</v>
      </c>
      <c r="M130" s="149"/>
      <c r="N130" s="149">
        <f>N67/N81</f>
        <v>1.6751931787903012</v>
      </c>
      <c r="O130" s="149">
        <f>O67/O81</f>
        <v>1.4995066600888012</v>
      </c>
      <c r="P130" s="149">
        <f>P67/P81</f>
        <v>1.493723849372385</v>
      </c>
    </row>
    <row r="131" spans="1:16" x14ac:dyDescent="0.25">
      <c r="A131" s="146" t="s">
        <v>179</v>
      </c>
      <c r="B131" s="149">
        <f>(B63+B64+B66)/B81</f>
        <v>0.78689888842655886</v>
      </c>
      <c r="C131" s="149">
        <f>(C63+C64+C66)/C81</f>
        <v>0.83767428062889349</v>
      </c>
      <c r="D131" s="149">
        <f>(D63+D64+D66)/D81</f>
        <v>0.83570801023721308</v>
      </c>
      <c r="E131" s="149"/>
      <c r="F131" s="149">
        <f>(F63+F64+F66)/F81</f>
        <v>1.4031350570549213</v>
      </c>
      <c r="G131" s="149">
        <f>(G63+G64+G66)/G81</f>
        <v>1.4943204589876866</v>
      </c>
      <c r="H131" s="149">
        <f>(H63+H64+H66)/H81</f>
        <v>0.7340632965458328</v>
      </c>
      <c r="I131" s="149"/>
      <c r="J131" s="149">
        <f>(J63+J64+J66)/J81</f>
        <v>0.74310007729732186</v>
      </c>
      <c r="K131" s="149">
        <f>(K63+K64+K66)/K81</f>
        <v>0.79150816940187663</v>
      </c>
      <c r="L131" s="149">
        <f>(L63+L64+L66)/L81</f>
        <v>0.85894032090499828</v>
      </c>
      <c r="M131" s="149"/>
      <c r="N131" s="149">
        <f>(N63+N64+N66)/N81</f>
        <v>1.4303224087396749</v>
      </c>
      <c r="O131" s="149">
        <f>(O63+O64+O66)/O81</f>
        <v>1.2784903798717315</v>
      </c>
      <c r="P131" s="149">
        <f>(P63+P64+P66)/P81</f>
        <v>1.2910564853556485</v>
      </c>
    </row>
    <row r="132" spans="1:16" x14ac:dyDescent="0.25">
      <c r="A132" s="146" t="s">
        <v>178</v>
      </c>
      <c r="B132" s="149">
        <f>(B63 + B64)/B81</f>
        <v>0.75194673958271419</v>
      </c>
      <c r="C132" s="149">
        <f>(C63 + C64)/C81</f>
        <v>0.8</v>
      </c>
      <c r="D132" s="149">
        <f>(D63 + D64)/D81</f>
        <v>0.7983116238206196</v>
      </c>
      <c r="E132" s="149"/>
      <c r="F132" s="149">
        <f>(F63 + F64)/F81</f>
        <v>0.51639844194769713</v>
      </c>
      <c r="G132" s="149">
        <f>(G63 + G64)/G81</f>
        <v>0.58490763520220979</v>
      </c>
      <c r="H132" s="149">
        <f>(H63 + H64)/H81</f>
        <v>0.675289822124857</v>
      </c>
      <c r="I132" s="149"/>
      <c r="J132" s="149">
        <f>(J63 + J64)/J81</f>
        <v>0.55754103578411318</v>
      </c>
      <c r="K132" s="149">
        <f>(K63 + K64)/K81</f>
        <v>0.54044850197442307</v>
      </c>
      <c r="L132" s="149">
        <f>(L63 + L64)/L81</f>
        <v>0.54603870868444337</v>
      </c>
      <c r="M132" s="149"/>
      <c r="N132" s="149">
        <f>(N63 + N64)/N81</f>
        <v>1.2909672262190248</v>
      </c>
      <c r="O132" s="149">
        <f>(O63 + O64)/O81</f>
        <v>1.159595461272817</v>
      </c>
      <c r="P132" s="149">
        <f>(P63 + P64)/P81</f>
        <v>1.1707635983263598</v>
      </c>
    </row>
    <row r="133" spans="1:16" x14ac:dyDescent="0.25">
      <c r="A133" s="146" t="s">
        <v>177</v>
      </c>
      <c r="B133" s="151">
        <f>B67-B81</f>
        <v>-934</v>
      </c>
      <c r="C133" s="151">
        <f>C67-C81</f>
        <v>-30</v>
      </c>
      <c r="D133" s="151">
        <f>D67-D81</f>
        <v>1945</v>
      </c>
      <c r="E133" s="151"/>
      <c r="F133" s="151">
        <f>F67-F81</f>
        <v>2203.6620000000003</v>
      </c>
      <c r="G133" s="151">
        <f>G67-G81</f>
        <v>3206.8149999999996</v>
      </c>
      <c r="H133" s="151">
        <f>H67-H81</f>
        <v>-1930.1419999999998</v>
      </c>
      <c r="I133" s="151"/>
      <c r="J133" s="151">
        <f>J67-J81</f>
        <v>-5650</v>
      </c>
      <c r="K133" s="151">
        <f>K67-K81</f>
        <v>-5755</v>
      </c>
      <c r="L133" s="151">
        <f>L67-L81</f>
        <v>-3666</v>
      </c>
      <c r="M133" s="151"/>
      <c r="N133" s="151">
        <f>N67-N81</f>
        <v>2534</v>
      </c>
      <c r="O133" s="151">
        <f>O67-O81</f>
        <v>2025</v>
      </c>
      <c r="P133" s="151">
        <f>P67-P81</f>
        <v>1888</v>
      </c>
    </row>
    <row r="135" spans="1:16" x14ac:dyDescent="0.25">
      <c r="A135" s="150" t="s">
        <v>176</v>
      </c>
    </row>
    <row r="136" spans="1:16" x14ac:dyDescent="0.25">
      <c r="A136" s="146" t="s">
        <v>175</v>
      </c>
      <c r="B136" s="149">
        <f>B91/B75</f>
        <v>0.48180897597845262</v>
      </c>
      <c r="C136" s="149">
        <f>C91/C75</f>
        <v>0.54722205318566297</v>
      </c>
      <c r="D136" s="149">
        <f>D91/D75</f>
        <v>0.53020867700428898</v>
      </c>
      <c r="E136" s="149"/>
      <c r="F136" s="149">
        <f>F91/F75</f>
        <v>0.18839751585724868</v>
      </c>
      <c r="G136" s="149">
        <f>G91/G75</f>
        <v>0.20168940063683427</v>
      </c>
      <c r="H136" s="149">
        <f>H91/H75</f>
        <v>0.22175580765319566</v>
      </c>
      <c r="I136" s="149"/>
      <c r="J136" s="149">
        <f>J91/J75</f>
        <v>0.37776189307699692</v>
      </c>
      <c r="K136" s="149">
        <f>K91/K75</f>
        <v>0.29329635574768359</v>
      </c>
      <c r="L136" s="149">
        <f>L91/L75</f>
        <v>0.3141036142510551</v>
      </c>
      <c r="M136" s="149"/>
      <c r="N136" s="149">
        <f>N91/N75</f>
        <v>0.26867246181112331</v>
      </c>
      <c r="O136" s="149">
        <f>O91/O75</f>
        <v>0.32422318462767524</v>
      </c>
      <c r="P136" s="149">
        <f>P91/P75</f>
        <v>0.37011533099573318</v>
      </c>
    </row>
    <row r="137" spans="1:16" x14ac:dyDescent="0.25">
      <c r="A137" s="146" t="s">
        <v>174</v>
      </c>
      <c r="B137" s="149">
        <f>B85/B91</f>
        <v>1.0755113537874847</v>
      </c>
      <c r="C137" s="149">
        <f>C85/C91</f>
        <v>0.82741173199888796</v>
      </c>
      <c r="D137" s="149">
        <f>D85/D91</f>
        <v>0.88604985804845793</v>
      </c>
      <c r="E137" s="149"/>
      <c r="F137" s="149">
        <f>F85/F91</f>
        <v>4.3079217053475807</v>
      </c>
      <c r="G137" s="149">
        <f>G85/G91</f>
        <v>3.9581151282792799</v>
      </c>
      <c r="H137" s="149">
        <f>H85/H91</f>
        <v>3.5094641773196984</v>
      </c>
      <c r="I137" s="149"/>
      <c r="J137" s="149">
        <f>J85/J91</f>
        <v>1.6471701310438318</v>
      </c>
      <c r="K137" s="149">
        <f>K85/K91</f>
        <v>2.4095207131052048</v>
      </c>
      <c r="L137" s="149">
        <f>L85/L91</f>
        <v>2.1836628253526724</v>
      </c>
      <c r="M137" s="149"/>
      <c r="N137" s="149">
        <f>N85/N91</f>
        <v>2.7220040835558348</v>
      </c>
      <c r="O137" s="149">
        <f>O85/O91</f>
        <v>2.0842951627545068</v>
      </c>
      <c r="P137" s="149">
        <f>P85/P91</f>
        <v>1.7018605182056843</v>
      </c>
    </row>
    <row r="138" spans="1:16" x14ac:dyDescent="0.25">
      <c r="A138" s="146" t="s">
        <v>173</v>
      </c>
      <c r="B138" s="149">
        <f>(B83+B91+B84)/(B71+B72+B73+B74)</f>
        <v>0.98831038798498128</v>
      </c>
      <c r="C138" s="149">
        <f>(C83+C91+C84)/(C71+C72+C73+C74)</f>
        <v>0.99963313073997528</v>
      </c>
      <c r="D138" s="149">
        <f>(D83+D91+D84)/(D71+D72+D73+D74)</f>
        <v>1.0117267575063307</v>
      </c>
      <c r="E138" s="149"/>
      <c r="F138" s="149">
        <f>(F83+F91+F84)/(F71+F72+F73+F74)</f>
        <v>1.1942775590679606</v>
      </c>
      <c r="G138" s="149">
        <f>(G83+G91+G84)/(G71+G72+G73+G74)</f>
        <v>1.1969742051182892</v>
      </c>
      <c r="H138" s="149">
        <f>(H83+H91+H84)/(H71+H72+H73+H74)</f>
        <v>0.92464475520123657</v>
      </c>
      <c r="I138" s="149"/>
      <c r="J138" s="149">
        <f>(J83+J91+J84)/(J71+J72+J73+J74)</f>
        <v>0.96698204173703683</v>
      </c>
      <c r="K138" s="149">
        <f>(K83+K91+K84)/(K71+K72+K73+K74)</f>
        <v>0.97496040655075789</v>
      </c>
      <c r="L138" s="149">
        <f>(L83+L91+L84)/(L71+L72+L73+L74)</f>
        <v>0.98433674711921759</v>
      </c>
      <c r="M138" s="149"/>
      <c r="N138" s="149">
        <f>(N83+N91+N84)/(N71+N72+N73+N74)</f>
        <v>1.145540175750962</v>
      </c>
      <c r="O138" s="149">
        <f>(O83+O91+O84)/(O71+O72+O73+O74)</f>
        <v>1.1143809308630819</v>
      </c>
      <c r="P138" s="149">
        <f>(P83+P91+P84)/(P71+P72+P73+P74)</f>
        <v>1.1051283479035581</v>
      </c>
    </row>
    <row r="139" spans="1:16" x14ac:dyDescent="0.25">
      <c r="A139" s="146" t="s">
        <v>172</v>
      </c>
      <c r="B139" s="149">
        <f>B106/ABS(B107)</f>
        <v>33.95145631067961</v>
      </c>
      <c r="C139" s="149">
        <f>D106/ABS(D107)</f>
        <v>25.848432055749129</v>
      </c>
      <c r="D139" s="149">
        <f>F106/ABS(F107)</f>
        <v>12.197142857142858</v>
      </c>
      <c r="E139" s="149"/>
      <c r="F139" s="149">
        <f>I106/ABS(I107)</f>
        <v>3.7208473824312316</v>
      </c>
      <c r="G139" s="149">
        <f>K106/ABS(K107)</f>
        <v>4.2488777130757001</v>
      </c>
      <c r="H139" s="149">
        <f>M106/ABS(M107)</f>
        <v>4.6376846032992916</v>
      </c>
      <c r="I139" s="149"/>
      <c r="J139" s="149">
        <f>P106/ABS(P107)</f>
        <v>7.1840290381125227</v>
      </c>
      <c r="K139" s="149">
        <f>R106/ABS(R107)</f>
        <v>6.7608830845771148</v>
      </c>
      <c r="L139" s="149">
        <f>T106/ABS(T107)</f>
        <v>5.756588072122053</v>
      </c>
      <c r="M139" s="149"/>
      <c r="N139" s="149">
        <f>W106/ABS(W107)</f>
        <v>4.4385113268608416</v>
      </c>
      <c r="O139" s="149">
        <f>Y106/ABS(Y107)</f>
        <v>4.9910714285714288</v>
      </c>
      <c r="P139" s="149">
        <f>AA106/ABS(AA107)</f>
        <v>5.5460122699386503</v>
      </c>
    </row>
    <row r="142" spans="1:16" x14ac:dyDescent="0.25">
      <c r="B142" t="s">
        <v>171</v>
      </c>
      <c r="C142" t="s">
        <v>170</v>
      </c>
      <c r="F142" t="s">
        <v>171</v>
      </c>
      <c r="G142" t="s">
        <v>170</v>
      </c>
      <c r="J142" t="s">
        <v>171</v>
      </c>
      <c r="K142" t="s">
        <v>170</v>
      </c>
      <c r="N142" t="s">
        <v>171</v>
      </c>
      <c r="O142" t="s">
        <v>170</v>
      </c>
    </row>
    <row r="143" spans="1:16" x14ac:dyDescent="0.25">
      <c r="A143" s="148" t="s">
        <v>169</v>
      </c>
    </row>
    <row r="144" spans="1:16" x14ac:dyDescent="0.25">
      <c r="A144" s="146" t="s">
        <v>168</v>
      </c>
      <c r="B144" s="145">
        <f>(D99-B99)/B99</f>
        <v>7.7933148339590474E-2</v>
      </c>
      <c r="C144" s="145">
        <f>(F99-D99)/D99</f>
        <v>0.17054211394151494</v>
      </c>
      <c r="F144" s="145">
        <f>(K99-I99)/I99</f>
        <v>0.35078497180252355</v>
      </c>
      <c r="G144" s="145">
        <f>(M99-K99)/K99</f>
        <v>0.19510234710014168</v>
      </c>
      <c r="J144" s="145">
        <f>(R99-P99)/P99</f>
        <v>0.11146785214456244</v>
      </c>
      <c r="K144" s="145">
        <f>(T99-R99)/R99</f>
        <v>0.14689917148994255</v>
      </c>
      <c r="N144" s="145">
        <f>(Y99-W99)/W99</f>
        <v>-2.4127271356405036E-2</v>
      </c>
      <c r="O144" s="145">
        <f>(AA99-Y99)/Y99</f>
        <v>-8.1124932395889669E-3</v>
      </c>
    </row>
    <row r="145" spans="1:15" x14ac:dyDescent="0.25">
      <c r="A145" s="146" t="s">
        <v>167</v>
      </c>
      <c r="B145" s="145">
        <f>(C20-B20)/B20</f>
        <v>0.40289532293986635</v>
      </c>
      <c r="C145" s="145">
        <f>(D20-C20)/C20</f>
        <v>-0.12255913637085251</v>
      </c>
      <c r="F145" s="147">
        <f>(G20-F20)/F20</f>
        <v>1.9421223817586049</v>
      </c>
      <c r="G145" s="147">
        <f>(H20-G20)/G20</f>
        <v>0.1673409235392703</v>
      </c>
      <c r="J145" s="145">
        <f>(K20-J20)/J20</f>
        <v>0.54416216927734629</v>
      </c>
      <c r="K145" s="145">
        <f>(L20-K20)/K20</f>
        <v>5.7539851675049013E-2</v>
      </c>
      <c r="N145" s="145">
        <f>(O20-N20)/N20</f>
        <v>-8.2710779082177166E-2</v>
      </c>
      <c r="O145" s="145">
        <f>(P20-O20)/O20</f>
        <v>-9.947643979057591E-2</v>
      </c>
    </row>
    <row r="146" spans="1:15" x14ac:dyDescent="0.25">
      <c r="A146" s="146" t="s">
        <v>166</v>
      </c>
      <c r="B146" s="145">
        <f>(C75-B75)/B75</f>
        <v>2.9324870287820104E-2</v>
      </c>
      <c r="C146" s="145">
        <f>(D75-C75)/C75</f>
        <v>0.9674232743057668</v>
      </c>
      <c r="F146" s="145">
        <f>(G75-F75)/F75</f>
        <v>0.36615748921408342</v>
      </c>
      <c r="G146" s="145">
        <f>(H75-G75)/G75</f>
        <v>0.19123800228216853</v>
      </c>
      <c r="J146" s="145">
        <f>(K75-J75)/J75</f>
        <v>0.34258676425088819</v>
      </c>
      <c r="K146" s="145">
        <f>(L75-K75)/K75</f>
        <v>1.8634478155146929E-2</v>
      </c>
      <c r="N146" s="145">
        <f>(O75-N75)/N75</f>
        <v>3.5868005738880918E-3</v>
      </c>
      <c r="O146" s="145">
        <f>(P75-O75)/O75</f>
        <v>-4.7092461001555733E-3</v>
      </c>
    </row>
  </sheetData>
  <mergeCells count="8">
    <mergeCell ref="B1:D1"/>
    <mergeCell ref="F1:H1"/>
    <mergeCell ref="J1:L1"/>
    <mergeCell ref="N1:P1"/>
    <mergeCell ref="B30:D30"/>
    <mergeCell ref="F30:H30"/>
    <mergeCell ref="J30:L30"/>
    <mergeCell ref="N30:P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801C0-213D-4149-846C-CB769230B02D}">
  <dimension ref="A1:Q987"/>
  <sheetViews>
    <sheetView showGridLines="0" zoomScaleNormal="100" workbookViewId="0">
      <pane xSplit="1" topLeftCell="B1" activePane="topRight" state="frozen"/>
      <selection pane="topRight" sqref="A1:P34"/>
    </sheetView>
  </sheetViews>
  <sheetFormatPr defaultColWidth="12.42578125" defaultRowHeight="15" customHeight="1" x14ac:dyDescent="0.2"/>
  <cols>
    <col min="1" max="1" width="32.28515625" style="3" customWidth="1"/>
    <col min="2" max="2" width="11.5703125" style="2" customWidth="1"/>
    <col min="3" max="3" width="11" style="2" customWidth="1"/>
    <col min="4" max="4" width="11.42578125" style="2" customWidth="1"/>
    <col min="5" max="5" width="8.28515625" style="2" customWidth="1"/>
    <col min="6" max="6" width="11.85546875" style="2" customWidth="1"/>
    <col min="7" max="7" width="11" style="2" customWidth="1"/>
    <col min="8" max="8" width="11.7109375" style="2" customWidth="1"/>
    <col min="9" max="9" width="8.28515625" style="2" customWidth="1"/>
    <col min="10" max="10" width="11" style="2" customWidth="1"/>
    <col min="11" max="11" width="11.85546875" style="2" customWidth="1"/>
    <col min="12" max="12" width="11.42578125" style="2" customWidth="1"/>
    <col min="13" max="13" width="8.28515625" style="2" customWidth="1"/>
    <col min="14" max="14" width="11.140625" style="2" customWidth="1"/>
    <col min="15" max="15" width="11.28515625" style="2" customWidth="1"/>
    <col min="16" max="16" width="11.5703125" style="2" customWidth="1"/>
    <col min="17" max="25" width="8.42578125" style="1" customWidth="1"/>
    <col min="26" max="16384" width="12.42578125" style="1"/>
  </cols>
  <sheetData>
    <row r="1" spans="1:16" ht="13.5" customHeight="1" x14ac:dyDescent="0.2">
      <c r="B1" s="220" t="s">
        <v>31</v>
      </c>
      <c r="C1" s="221"/>
      <c r="D1" s="221"/>
      <c r="F1" s="220" t="s">
        <v>30</v>
      </c>
      <c r="G1" s="221"/>
      <c r="H1" s="221"/>
      <c r="J1" s="220" t="s">
        <v>29</v>
      </c>
      <c r="K1" s="221"/>
      <c r="L1" s="221"/>
      <c r="N1" s="220" t="s">
        <v>28</v>
      </c>
      <c r="O1" s="221"/>
      <c r="P1" s="221"/>
    </row>
    <row r="2" spans="1:16" ht="13.5" customHeight="1" x14ac:dyDescent="0.2">
      <c r="A2" s="31"/>
      <c r="B2" s="29">
        <v>43008</v>
      </c>
      <c r="C2" s="29">
        <v>43372</v>
      </c>
      <c r="D2" s="29" t="s">
        <v>27</v>
      </c>
      <c r="F2" s="29">
        <v>43100</v>
      </c>
      <c r="G2" s="29">
        <v>43465</v>
      </c>
      <c r="H2" s="29">
        <v>43738</v>
      </c>
      <c r="J2" s="30" t="s">
        <v>26</v>
      </c>
      <c r="K2" s="29">
        <v>43465</v>
      </c>
      <c r="L2" s="29">
        <v>43738</v>
      </c>
      <c r="N2" s="29">
        <v>43008</v>
      </c>
      <c r="O2" s="29">
        <v>43373</v>
      </c>
      <c r="P2" s="29">
        <v>43738</v>
      </c>
    </row>
    <row r="3" spans="1:16" ht="13.5" customHeight="1" x14ac:dyDescent="0.2">
      <c r="A3" s="5" t="s">
        <v>25</v>
      </c>
      <c r="B3" s="6"/>
      <c r="C3" s="6"/>
      <c r="D3" s="6"/>
      <c r="F3" s="6"/>
      <c r="G3" s="6"/>
      <c r="H3" s="6"/>
      <c r="J3" s="6"/>
      <c r="K3" s="6"/>
      <c r="L3" s="6"/>
      <c r="N3" s="6"/>
      <c r="O3" s="6"/>
      <c r="P3" s="6"/>
    </row>
    <row r="4" spans="1:16" ht="13.5" customHeight="1" x14ac:dyDescent="0.2">
      <c r="A4" s="8" t="s">
        <v>24</v>
      </c>
      <c r="B4" s="11">
        <v>4017</v>
      </c>
      <c r="C4" s="11">
        <v>4150</v>
      </c>
      <c r="D4" s="11">
        <v>5418</v>
      </c>
      <c r="F4" s="10">
        <v>2822.7950000000001</v>
      </c>
      <c r="G4" s="10">
        <v>3794.4830000000002</v>
      </c>
      <c r="H4" s="10">
        <v>4435.018</v>
      </c>
      <c r="J4" s="10">
        <v>3428</v>
      </c>
      <c r="K4" s="10">
        <v>3814</v>
      </c>
      <c r="L4" s="10">
        <v>3507</v>
      </c>
      <c r="N4" s="10">
        <v>1389</v>
      </c>
      <c r="O4" s="10">
        <v>1557</v>
      </c>
      <c r="P4" s="10">
        <v>760</v>
      </c>
    </row>
    <row r="5" spans="1:16" ht="13.5" customHeight="1" x14ac:dyDescent="0.2">
      <c r="A5" s="8" t="s">
        <v>23</v>
      </c>
      <c r="B5" s="11">
        <v>8633</v>
      </c>
      <c r="C5" s="11">
        <v>9334</v>
      </c>
      <c r="D5" s="11">
        <v>15481</v>
      </c>
      <c r="F5" s="28">
        <v>0</v>
      </c>
      <c r="G5" s="28">
        <v>0</v>
      </c>
      <c r="H5" s="10">
        <v>466.16800000000001</v>
      </c>
      <c r="J5" s="10">
        <v>8834</v>
      </c>
      <c r="K5" s="10">
        <v>11104</v>
      </c>
      <c r="L5" s="10">
        <v>10684</v>
      </c>
      <c r="N5" s="10">
        <v>3456</v>
      </c>
      <c r="O5" s="10">
        <v>3144</v>
      </c>
      <c r="P5" s="10">
        <v>3717</v>
      </c>
    </row>
    <row r="6" spans="1:16" ht="13.5" customHeight="1" x14ac:dyDescent="0.2">
      <c r="A6" s="8" t="s">
        <v>22</v>
      </c>
      <c r="B6" s="11">
        <v>2651</v>
      </c>
      <c r="C6" s="11">
        <v>2706</v>
      </c>
      <c r="D6" s="10">
        <v>6246</v>
      </c>
      <c r="F6" s="27">
        <v>0</v>
      </c>
      <c r="G6" s="27">
        <v>0</v>
      </c>
      <c r="H6" s="27">
        <v>0</v>
      </c>
      <c r="J6" s="11" t="s">
        <v>9</v>
      </c>
      <c r="K6" s="11" t="s">
        <v>9</v>
      </c>
      <c r="L6" s="11" t="s">
        <v>9</v>
      </c>
      <c r="N6" s="10">
        <v>919</v>
      </c>
      <c r="O6" s="10">
        <v>896</v>
      </c>
      <c r="P6" s="10">
        <v>775</v>
      </c>
    </row>
    <row r="7" spans="1:16" s="20" customFormat="1" ht="13.5" customHeight="1" x14ac:dyDescent="0.2">
      <c r="A7" s="26" t="s">
        <v>21</v>
      </c>
      <c r="B7" s="25">
        <v>588</v>
      </c>
      <c r="C7" s="25">
        <v>635</v>
      </c>
      <c r="D7" s="25">
        <v>979</v>
      </c>
      <c r="E7" s="22"/>
      <c r="F7" s="25">
        <v>4847.1790000000001</v>
      </c>
      <c r="G7" s="25">
        <v>5899.652</v>
      </c>
      <c r="H7" s="25">
        <v>426.572</v>
      </c>
      <c r="I7" s="22"/>
      <c r="J7" s="25">
        <v>4081</v>
      </c>
      <c r="K7" s="25">
        <v>6930</v>
      </c>
      <c r="L7" s="25">
        <v>8132</v>
      </c>
      <c r="M7" s="22"/>
      <c r="N7" s="25">
        <v>523</v>
      </c>
      <c r="O7" s="25">
        <v>482</v>
      </c>
      <c r="P7" s="25">
        <v>460</v>
      </c>
    </row>
    <row r="8" spans="1:16" s="20" customFormat="1" ht="13.5" customHeight="1" x14ac:dyDescent="0.2">
      <c r="A8" s="24" t="s">
        <v>20</v>
      </c>
      <c r="B8" s="23">
        <f>SUM(B4:B7)</f>
        <v>15889</v>
      </c>
      <c r="C8" s="23">
        <f>SUM(C4:C7)</f>
        <v>16825</v>
      </c>
      <c r="D8" s="23">
        <f>SUM(D4:D7)</f>
        <v>28124</v>
      </c>
      <c r="E8" s="22"/>
      <c r="F8" s="23">
        <v>7669.9740000000002</v>
      </c>
      <c r="G8" s="23">
        <v>9694.1350000000002</v>
      </c>
      <c r="H8" s="23">
        <v>5327.7579999999998</v>
      </c>
      <c r="I8" s="22"/>
      <c r="J8" s="23">
        <f>SUM(J4:J7)</f>
        <v>16343</v>
      </c>
      <c r="K8" s="23">
        <f>SUM(K4:K7)</f>
        <v>21848</v>
      </c>
      <c r="L8" s="23">
        <f>SUM(L4:L7)</f>
        <v>22323</v>
      </c>
      <c r="M8" s="22"/>
      <c r="N8" s="21">
        <f>SUM(N4:N7)</f>
        <v>6287</v>
      </c>
      <c r="O8" s="21">
        <f>SUM(O4:O7)</f>
        <v>6079</v>
      </c>
      <c r="P8" s="21">
        <f>SUM(P4:P7)</f>
        <v>5712</v>
      </c>
    </row>
    <row r="9" spans="1:16" ht="6" customHeight="1" x14ac:dyDescent="0.2">
      <c r="A9" s="8"/>
      <c r="B9" s="6"/>
      <c r="C9" s="6"/>
      <c r="D9" s="6"/>
      <c r="F9" s="6"/>
      <c r="G9" s="6"/>
      <c r="H9" s="6"/>
      <c r="J9" s="6"/>
      <c r="K9" s="6"/>
      <c r="L9" s="6"/>
      <c r="N9" s="6"/>
      <c r="O9" s="6"/>
      <c r="P9" s="6"/>
    </row>
    <row r="10" spans="1:16" ht="13.5" customHeight="1" x14ac:dyDescent="0.2">
      <c r="A10" s="8" t="s">
        <v>19</v>
      </c>
      <c r="B10" s="10">
        <v>57443</v>
      </c>
      <c r="C10" s="10">
        <v>60304</v>
      </c>
      <c r="D10" s="10">
        <v>64018</v>
      </c>
      <c r="F10" s="10">
        <v>641.21799999999996</v>
      </c>
      <c r="G10" s="10">
        <v>786.8</v>
      </c>
      <c r="H10" s="10">
        <v>1915.596</v>
      </c>
      <c r="J10" s="10">
        <v>88386</v>
      </c>
      <c r="K10" s="10">
        <v>95743</v>
      </c>
      <c r="L10" s="10">
        <v>103784</v>
      </c>
      <c r="N10" s="10">
        <v>2973</v>
      </c>
      <c r="O10" s="10">
        <v>3013</v>
      </c>
      <c r="P10" s="10">
        <v>3071</v>
      </c>
    </row>
    <row r="11" spans="1:16" ht="13.5" customHeight="1" x14ac:dyDescent="0.2">
      <c r="A11" s="8" t="s">
        <v>18</v>
      </c>
      <c r="B11" s="10">
        <v>-29037</v>
      </c>
      <c r="C11" s="10">
        <v>-30764</v>
      </c>
      <c r="D11" s="10">
        <v>-32415</v>
      </c>
      <c r="F11" s="10">
        <v>-321.8</v>
      </c>
      <c r="G11" s="10">
        <v>-368.5</v>
      </c>
      <c r="H11" s="10">
        <v>-402.6</v>
      </c>
      <c r="J11" s="10">
        <v>-49916</v>
      </c>
      <c r="K11" s="10">
        <v>-51306</v>
      </c>
      <c r="L11" s="10">
        <v>-52983</v>
      </c>
      <c r="N11" s="10">
        <v>-1995</v>
      </c>
      <c r="O11" s="10">
        <v>-2094</v>
      </c>
      <c r="P11" s="10">
        <v>-2149</v>
      </c>
    </row>
    <row r="12" spans="1:16" ht="13.5" customHeight="1" x14ac:dyDescent="0.2">
      <c r="A12" s="5" t="s">
        <v>17</v>
      </c>
      <c r="B12" s="14">
        <f>SUM(B10:B11)</f>
        <v>28406</v>
      </c>
      <c r="C12" s="14">
        <f>SUM(C10:C11)</f>
        <v>29540</v>
      </c>
      <c r="D12" s="14">
        <f>SUM(D10:D11)</f>
        <v>31603</v>
      </c>
      <c r="E12" s="12"/>
      <c r="F12" s="14">
        <f>SUM(F10:F11)</f>
        <v>319.41799999999995</v>
      </c>
      <c r="G12" s="14">
        <f>SUM(G10:G11)</f>
        <v>418.29999999999995</v>
      </c>
      <c r="H12" s="14">
        <f>SUM(H10:H11)</f>
        <v>1512.9960000000001</v>
      </c>
      <c r="I12" s="12"/>
      <c r="J12" s="14">
        <f>SUM(J10:J11)</f>
        <v>38470</v>
      </c>
      <c r="K12" s="14">
        <f>SUM(K10:K11)</f>
        <v>44437</v>
      </c>
      <c r="L12" s="14">
        <f>SUM(L10:L11)</f>
        <v>50801</v>
      </c>
      <c r="M12" s="12"/>
      <c r="N12" s="14">
        <f>SUM(N10:N11)</f>
        <v>978</v>
      </c>
      <c r="O12" s="14">
        <f>SUM(O10:O11)</f>
        <v>919</v>
      </c>
      <c r="P12" s="14">
        <f>SUM(P10:P11)</f>
        <v>922</v>
      </c>
    </row>
    <row r="13" spans="1:16" ht="13.5" customHeight="1" x14ac:dyDescent="0.2">
      <c r="A13" s="8" t="s">
        <v>16</v>
      </c>
      <c r="B13" s="10">
        <v>3202</v>
      </c>
      <c r="C13" s="10">
        <v>2899</v>
      </c>
      <c r="D13" s="10">
        <v>3224</v>
      </c>
      <c r="F13" s="11" t="s">
        <v>9</v>
      </c>
      <c r="G13" s="11" t="s">
        <v>9</v>
      </c>
      <c r="H13" s="11" t="s">
        <v>9</v>
      </c>
      <c r="J13" s="10">
        <v>6931</v>
      </c>
      <c r="K13" s="10">
        <v>7883</v>
      </c>
      <c r="L13" s="10">
        <v>7473</v>
      </c>
      <c r="N13" s="10" t="s">
        <v>9</v>
      </c>
      <c r="O13" s="10">
        <v>410</v>
      </c>
      <c r="P13" s="10">
        <v>496</v>
      </c>
    </row>
    <row r="14" spans="1:16" ht="13.5" customHeight="1" x14ac:dyDescent="0.2">
      <c r="A14" s="8" t="s">
        <v>15</v>
      </c>
      <c r="B14" s="10">
        <v>38421</v>
      </c>
      <c r="C14" s="10">
        <v>38081</v>
      </c>
      <c r="D14" s="10">
        <v>103508</v>
      </c>
      <c r="E14" s="10"/>
      <c r="F14" s="10">
        <v>10371.055</v>
      </c>
      <c r="G14" s="10">
        <v>14960.954</v>
      </c>
      <c r="H14" s="10">
        <v>14588.629000000001</v>
      </c>
      <c r="I14" s="10"/>
      <c r="J14" s="10">
        <v>114277</v>
      </c>
      <c r="K14" s="10">
        <v>163877</v>
      </c>
      <c r="L14" s="10">
        <v>161442</v>
      </c>
      <c r="M14" s="10"/>
      <c r="N14" s="10">
        <v>11978</v>
      </c>
      <c r="O14" s="10">
        <v>11922</v>
      </c>
      <c r="P14" s="10">
        <v>12211</v>
      </c>
    </row>
    <row r="15" spans="1:16" ht="13.5" customHeight="1" x14ac:dyDescent="0.2">
      <c r="A15" s="5" t="s">
        <v>14</v>
      </c>
      <c r="B15" s="10">
        <v>9871</v>
      </c>
      <c r="C15" s="10">
        <v>11253</v>
      </c>
      <c r="D15" s="10">
        <v>27525</v>
      </c>
      <c r="F15" s="11">
        <v>652.30899999999997</v>
      </c>
      <c r="G15" s="11">
        <v>901.03</v>
      </c>
      <c r="H15" s="11">
        <v>9512.3320000000003</v>
      </c>
      <c r="J15" s="10">
        <v>11441</v>
      </c>
      <c r="K15" s="10">
        <v>13639</v>
      </c>
      <c r="L15" s="10">
        <v>14335</v>
      </c>
      <c r="N15" s="11">
        <v>4455</v>
      </c>
      <c r="O15" s="11">
        <v>4453</v>
      </c>
      <c r="P15" s="10">
        <v>4330</v>
      </c>
    </row>
    <row r="16" spans="1:16" ht="13.5" customHeight="1" x14ac:dyDescent="0.2">
      <c r="A16" s="5" t="s">
        <v>13</v>
      </c>
      <c r="B16" s="19">
        <f>SUM(B12:B15,B8)</f>
        <v>95789</v>
      </c>
      <c r="C16" s="19">
        <f>SUM(C12:C15,C8)</f>
        <v>98598</v>
      </c>
      <c r="D16" s="19">
        <f>SUM(D12:D15,D8)</f>
        <v>193984</v>
      </c>
      <c r="E16" s="4"/>
      <c r="F16" s="19">
        <f>SUM(F12:F15,F8)</f>
        <v>19012.756000000001</v>
      </c>
      <c r="G16" s="19">
        <f>SUM(G12:G15,G8)</f>
        <v>25974.419000000002</v>
      </c>
      <c r="H16" s="19">
        <f>SUM(H12:H15,H8)</f>
        <v>30941.715000000004</v>
      </c>
      <c r="I16" s="4"/>
      <c r="J16" s="19">
        <f>SUM(J8:J8,J12:J15)</f>
        <v>187462</v>
      </c>
      <c r="K16" s="19">
        <f>SUM(K8:K8,K12:K15)</f>
        <v>251684</v>
      </c>
      <c r="L16" s="19">
        <f>SUM(L8:L8,L12:L15)</f>
        <v>256374</v>
      </c>
      <c r="M16" s="4"/>
      <c r="N16" s="19">
        <f>SUM(N12:N15,N8)</f>
        <v>23698</v>
      </c>
      <c r="O16" s="19">
        <f>SUM(O12:O15,O8)</f>
        <v>23783</v>
      </c>
      <c r="P16" s="19">
        <f>SUM(P12:P15,P8)</f>
        <v>23671</v>
      </c>
    </row>
    <row r="17" spans="1:17" ht="7.5" customHeight="1" x14ac:dyDescent="0.2">
      <c r="A17" s="8"/>
      <c r="B17" s="6"/>
      <c r="C17" s="6"/>
      <c r="D17" s="6"/>
      <c r="F17" s="6"/>
      <c r="G17" s="6"/>
      <c r="H17" s="6"/>
      <c r="J17" s="6"/>
      <c r="K17" s="6"/>
      <c r="L17" s="6"/>
      <c r="N17" s="6"/>
      <c r="O17" s="6"/>
      <c r="P17" s="6"/>
    </row>
    <row r="18" spans="1:17" ht="13.5" customHeight="1" x14ac:dyDescent="0.2">
      <c r="A18" s="5" t="s">
        <v>12</v>
      </c>
      <c r="B18" s="6"/>
      <c r="C18" s="6"/>
      <c r="D18" s="6"/>
      <c r="F18" s="6"/>
      <c r="G18" s="6"/>
      <c r="H18" s="6"/>
      <c r="J18" s="6"/>
      <c r="K18" s="6"/>
      <c r="L18" s="6"/>
      <c r="N18" s="6"/>
      <c r="O18" s="6"/>
      <c r="P18" s="6"/>
    </row>
    <row r="19" spans="1:17" ht="13.5" customHeight="1" x14ac:dyDescent="0.2">
      <c r="A19" s="8" t="s">
        <v>11</v>
      </c>
      <c r="B19" s="11">
        <v>6305</v>
      </c>
      <c r="C19" s="11">
        <v>6503</v>
      </c>
      <c r="D19" s="10">
        <v>17942</v>
      </c>
      <c r="F19" s="10">
        <v>359.55500000000001</v>
      </c>
      <c r="G19" s="10">
        <v>562.98500000000001</v>
      </c>
      <c r="H19" s="10">
        <v>444.12900000000002</v>
      </c>
      <c r="J19" s="10">
        <v>6908</v>
      </c>
      <c r="K19" s="10">
        <v>8494</v>
      </c>
      <c r="L19" s="10">
        <v>10198</v>
      </c>
      <c r="N19" s="10">
        <v>431</v>
      </c>
      <c r="O19" s="10">
        <v>433</v>
      </c>
      <c r="P19" s="10">
        <v>482</v>
      </c>
    </row>
    <row r="20" spans="1:17" ht="13.5" customHeight="1" x14ac:dyDescent="0.2">
      <c r="A20" s="8" t="s">
        <v>10</v>
      </c>
      <c r="B20" s="11">
        <v>1819</v>
      </c>
      <c r="C20" s="11">
        <v>2189</v>
      </c>
      <c r="D20" s="11" t="s">
        <v>9</v>
      </c>
      <c r="F20" s="10">
        <v>315.09399999999999</v>
      </c>
      <c r="G20" s="10">
        <v>477.41699999999997</v>
      </c>
      <c r="H20" s="10">
        <v>876.78200000000004</v>
      </c>
      <c r="J20" s="10">
        <v>6620</v>
      </c>
      <c r="K20" s="10">
        <v>10721</v>
      </c>
      <c r="L20" s="10">
        <v>9497</v>
      </c>
      <c r="N20" s="10">
        <v>869</v>
      </c>
      <c r="O20" s="10">
        <v>848</v>
      </c>
      <c r="P20" s="10">
        <v>927</v>
      </c>
    </row>
    <row r="21" spans="1:17" ht="13.5" customHeight="1" x14ac:dyDescent="0.2">
      <c r="A21" s="8" t="s">
        <v>8</v>
      </c>
      <c r="B21" s="11">
        <v>8699</v>
      </c>
      <c r="C21" s="11">
        <v>8163</v>
      </c>
      <c r="D21" s="11">
        <v>8237</v>
      </c>
      <c r="E21" s="11"/>
      <c r="F21" s="11">
        <v>4791.6629999999996</v>
      </c>
      <c r="G21" s="11">
        <v>5446.9180000000006</v>
      </c>
      <c r="H21" s="11">
        <v>5936.9889999999996</v>
      </c>
      <c r="I21" s="11"/>
      <c r="J21" s="11">
        <v>8465</v>
      </c>
      <c r="K21" s="11">
        <v>8388</v>
      </c>
      <c r="L21" s="11">
        <v>6294</v>
      </c>
      <c r="M21" s="11"/>
      <c r="N21" s="11">
        <v>2453</v>
      </c>
      <c r="O21" s="11">
        <v>2773</v>
      </c>
      <c r="P21" s="11">
        <v>2415</v>
      </c>
    </row>
    <row r="22" spans="1:17" ht="13.5" customHeight="1" x14ac:dyDescent="0.2">
      <c r="A22" s="5" t="s">
        <v>7</v>
      </c>
      <c r="B22" s="18">
        <f>SUM(B19:B21)</f>
        <v>16823</v>
      </c>
      <c r="C22" s="18">
        <f>SUM(C19:C21)</f>
        <v>16855</v>
      </c>
      <c r="D22" s="18">
        <f>SUM(D19:D21)</f>
        <v>26179</v>
      </c>
      <c r="E22" s="18"/>
      <c r="F22" s="18">
        <f>SUM(F19:F21)</f>
        <v>5466.3119999999999</v>
      </c>
      <c r="G22" s="18">
        <f>SUM(G19:G21)</f>
        <v>6487.3200000000006</v>
      </c>
      <c r="H22" s="18">
        <f>SUM(H19:H21)</f>
        <v>7257.9</v>
      </c>
      <c r="I22" s="18"/>
      <c r="J22" s="18">
        <f>SUM(J19:J21)</f>
        <v>21993</v>
      </c>
      <c r="K22" s="18">
        <f>SUM(K19:K21)</f>
        <v>27603</v>
      </c>
      <c r="L22" s="18">
        <f>SUM(L19:L21)</f>
        <v>25989</v>
      </c>
      <c r="M22" s="18"/>
      <c r="N22" s="18">
        <f>SUM(N19:N21)</f>
        <v>3753</v>
      </c>
      <c r="O22" s="18">
        <f>SUM(O19:O21)</f>
        <v>4054</v>
      </c>
      <c r="P22" s="18">
        <f>SUM(P19:P21)</f>
        <v>3824</v>
      </c>
      <c r="Q22" s="13"/>
    </row>
    <row r="23" spans="1:17" ht="7.5" customHeight="1" x14ac:dyDescent="0.2">
      <c r="A23" s="5"/>
      <c r="Q23" s="13"/>
    </row>
    <row r="24" spans="1:17" ht="13.5" customHeight="1" x14ac:dyDescent="0.2">
      <c r="A24" s="5" t="s">
        <v>6</v>
      </c>
      <c r="B24" s="17">
        <v>21891</v>
      </c>
      <c r="C24" s="17">
        <v>18089</v>
      </c>
      <c r="D24" s="17">
        <v>43471</v>
      </c>
      <c r="E24" s="17"/>
      <c r="F24" s="17">
        <v>6499.4319999999998</v>
      </c>
      <c r="G24" s="17">
        <v>10360.058000000001</v>
      </c>
      <c r="H24" s="17">
        <v>12425.745999999999</v>
      </c>
      <c r="I24" s="17"/>
      <c r="J24" s="17">
        <v>59422</v>
      </c>
      <c r="K24" s="17">
        <v>106899</v>
      </c>
      <c r="L24" s="17">
        <v>99847</v>
      </c>
      <c r="M24" s="17"/>
      <c r="N24" s="17">
        <v>11100</v>
      </c>
      <c r="O24" s="17">
        <v>9515</v>
      </c>
      <c r="P24" s="17">
        <v>8640</v>
      </c>
    </row>
    <row r="25" spans="1:17" ht="13.5" customHeight="1" x14ac:dyDescent="0.2">
      <c r="A25" s="5" t="s">
        <v>5</v>
      </c>
      <c r="B25" s="11">
        <v>10923</v>
      </c>
      <c r="C25" s="11">
        <v>9699</v>
      </c>
      <c r="D25" s="16">
        <v>21482</v>
      </c>
      <c r="E25" s="15"/>
      <c r="F25" s="10">
        <v>3465.0419999999999</v>
      </c>
      <c r="G25" s="10">
        <v>3888.2570000000001</v>
      </c>
      <c r="H25" s="10">
        <v>4396.5600000000004</v>
      </c>
      <c r="J25" s="10">
        <v>35231</v>
      </c>
      <c r="K25" s="10">
        <v>43364</v>
      </c>
      <c r="L25" s="10">
        <v>50010</v>
      </c>
      <c r="N25" s="10">
        <v>2478</v>
      </c>
      <c r="O25" s="10">
        <v>2503</v>
      </c>
      <c r="P25" s="10">
        <v>2446</v>
      </c>
    </row>
    <row r="26" spans="1:17" ht="13.5" customHeight="1" x14ac:dyDescent="0.2">
      <c r="A26" s="5" t="s">
        <v>4</v>
      </c>
      <c r="B26" s="14">
        <f>B22+SUM(B24:B25)</f>
        <v>49637</v>
      </c>
      <c r="C26" s="14">
        <f>C22+SUM(C24:C25)</f>
        <v>44643</v>
      </c>
      <c r="D26" s="14">
        <f>D22+SUM(D24:D25)</f>
        <v>91132</v>
      </c>
      <c r="E26" s="12"/>
      <c r="F26" s="14">
        <f>F22+SUM(F24:F25)</f>
        <v>15430.786</v>
      </c>
      <c r="G26" s="14">
        <f>G22+SUM(G24:G25)</f>
        <v>20735.635000000002</v>
      </c>
      <c r="H26" s="14">
        <f>H22+SUM(H24:H25)</f>
        <v>24080.205999999998</v>
      </c>
      <c r="I26" s="12"/>
      <c r="J26" s="14">
        <f>J22+SUM(J24:J25)</f>
        <v>116646</v>
      </c>
      <c r="K26" s="14">
        <f>K22+SUM(K24:K25)</f>
        <v>177866</v>
      </c>
      <c r="L26" s="14">
        <f>L22+SUM(L24:L25)</f>
        <v>175846</v>
      </c>
      <c r="M26" s="12"/>
      <c r="N26" s="14">
        <f>N22+SUM(N24:N25)</f>
        <v>17331</v>
      </c>
      <c r="O26" s="14">
        <f>O22+SUM(O24:O25)</f>
        <v>16072</v>
      </c>
      <c r="P26" s="14">
        <f>P22+SUM(P24:P25)</f>
        <v>14910</v>
      </c>
      <c r="Q26" s="13"/>
    </row>
    <row r="27" spans="1:17" ht="6.75" customHeight="1" x14ac:dyDescent="0.2">
      <c r="A27" s="8"/>
      <c r="B27" s="6"/>
      <c r="C27" s="6"/>
      <c r="D27" s="6"/>
      <c r="F27" s="6"/>
      <c r="G27" s="6"/>
      <c r="H27" s="6"/>
      <c r="J27" s="6"/>
      <c r="K27" s="6"/>
      <c r="L27" s="6"/>
      <c r="N27" s="6"/>
      <c r="O27" s="6"/>
      <c r="P27" s="6"/>
    </row>
    <row r="28" spans="1:17" ht="13.5" customHeight="1" x14ac:dyDescent="0.2">
      <c r="A28" s="5" t="s">
        <v>3</v>
      </c>
      <c r="B28" s="12">
        <v>41315</v>
      </c>
      <c r="C28" s="12">
        <v>48773</v>
      </c>
      <c r="D28" s="12">
        <v>88877</v>
      </c>
      <c r="F28" s="12">
        <v>3581.9560000000001</v>
      </c>
      <c r="G28" s="12">
        <v>5238.7650000000003</v>
      </c>
      <c r="H28" s="12">
        <v>6861.5050000000001</v>
      </c>
      <c r="J28" s="12">
        <v>68616</v>
      </c>
      <c r="K28" s="12">
        <v>71613</v>
      </c>
      <c r="L28" s="12">
        <v>78144</v>
      </c>
      <c r="N28" s="12">
        <v>6035</v>
      </c>
      <c r="O28" s="12">
        <v>7407</v>
      </c>
      <c r="P28" s="12">
        <v>8454</v>
      </c>
    </row>
    <row r="29" spans="1:17" ht="7.5" customHeight="1" x14ac:dyDescent="0.2">
      <c r="A29" s="8"/>
      <c r="B29" s="6"/>
      <c r="C29" s="6"/>
      <c r="D29" s="6"/>
      <c r="F29" s="6"/>
      <c r="G29" s="6"/>
      <c r="H29" s="6"/>
      <c r="J29" s="6"/>
      <c r="K29" s="6"/>
      <c r="L29" s="6"/>
      <c r="N29" s="6"/>
      <c r="O29" s="6"/>
      <c r="P29" s="6"/>
    </row>
    <row r="30" spans="1:17" ht="13.5" customHeight="1" x14ac:dyDescent="0.2">
      <c r="A30" s="8" t="s">
        <v>2</v>
      </c>
      <c r="B30" s="10">
        <v>4837</v>
      </c>
      <c r="C30" s="10">
        <v>5182</v>
      </c>
      <c r="D30" s="10">
        <v>13975</v>
      </c>
      <c r="F30" s="11"/>
      <c r="G30" s="11"/>
      <c r="H30" s="11"/>
      <c r="J30" s="10">
        <v>2200</v>
      </c>
      <c r="K30" s="10">
        <v>2205</v>
      </c>
      <c r="L30" s="10">
        <v>2384</v>
      </c>
      <c r="N30" s="10">
        <v>332</v>
      </c>
      <c r="O30" s="10">
        <v>304</v>
      </c>
      <c r="P30" s="10">
        <v>307</v>
      </c>
    </row>
    <row r="31" spans="1:17" ht="9" customHeight="1" x14ac:dyDescent="0.2">
      <c r="A31" s="8"/>
      <c r="B31" s="6"/>
      <c r="C31" s="6"/>
      <c r="D31" s="6"/>
      <c r="F31" s="6"/>
      <c r="G31" s="6"/>
      <c r="H31" s="6"/>
      <c r="J31" s="6"/>
      <c r="K31" s="6"/>
      <c r="L31" s="6"/>
      <c r="N31" s="6"/>
      <c r="O31" s="6"/>
      <c r="P31" s="6"/>
    </row>
    <row r="32" spans="1:17" ht="13.5" customHeight="1" x14ac:dyDescent="0.2">
      <c r="A32" s="5" t="s">
        <v>1</v>
      </c>
      <c r="B32" s="9">
        <f>SUM(B28,B30)</f>
        <v>46152</v>
      </c>
      <c r="C32" s="9">
        <f>SUM(C28,C30)</f>
        <v>53955</v>
      </c>
      <c r="D32" s="9">
        <f>SUM(D28,D30)</f>
        <v>102852</v>
      </c>
      <c r="E32" s="9"/>
      <c r="F32" s="9">
        <f>SUM(F28,F30)</f>
        <v>3581.9560000000001</v>
      </c>
      <c r="G32" s="9">
        <f>SUM(G28,G30)</f>
        <v>5238.7650000000003</v>
      </c>
      <c r="H32" s="9">
        <f>SUM(H28,H30)</f>
        <v>6861.5050000000001</v>
      </c>
      <c r="I32" s="9"/>
      <c r="J32" s="9">
        <f>SUM(J28,J30)</f>
        <v>70816</v>
      </c>
      <c r="K32" s="9">
        <f>SUM(K28,K30)</f>
        <v>73818</v>
      </c>
      <c r="L32" s="9">
        <f>SUM(L28,L30)</f>
        <v>80528</v>
      </c>
      <c r="M32" s="9"/>
      <c r="N32" s="9">
        <f>SUM(N28,N30)</f>
        <v>6367</v>
      </c>
      <c r="O32" s="9">
        <f>SUM(O28,O30)</f>
        <v>7711</v>
      </c>
      <c r="P32" s="9">
        <f>SUM(P28,P30)</f>
        <v>8761</v>
      </c>
    </row>
    <row r="33" spans="1:16" ht="6" customHeight="1" x14ac:dyDescent="0.2">
      <c r="A33" s="8"/>
      <c r="B33" s="7"/>
      <c r="C33" s="7"/>
      <c r="D33" s="7"/>
      <c r="F33" s="6"/>
      <c r="G33" s="6"/>
      <c r="H33" s="6"/>
      <c r="J33" s="7"/>
      <c r="K33" s="7"/>
      <c r="L33" s="7"/>
      <c r="N33" s="6"/>
      <c r="O33" s="6"/>
      <c r="P33" s="6"/>
    </row>
    <row r="34" spans="1:16" ht="13.5" customHeight="1" x14ac:dyDescent="0.2">
      <c r="A34" s="5" t="s">
        <v>0</v>
      </c>
      <c r="B34" s="4">
        <f>SUM(B26,B32)</f>
        <v>95789</v>
      </c>
      <c r="C34" s="4">
        <f>SUM(C26,C32)</f>
        <v>98598</v>
      </c>
      <c r="D34" s="4">
        <f>SUM(D26,D32)</f>
        <v>193984</v>
      </c>
      <c r="E34" s="4"/>
      <c r="F34" s="4">
        <f>SUM(F26,F32)</f>
        <v>19012.741999999998</v>
      </c>
      <c r="G34" s="4">
        <f>SUM(G26,G32)</f>
        <v>25974.400000000001</v>
      </c>
      <c r="H34" s="4">
        <f>SUM(H26,H32)</f>
        <v>30941.710999999999</v>
      </c>
      <c r="I34" s="4"/>
      <c r="J34" s="4">
        <f>SUM(J26,J32)</f>
        <v>187462</v>
      </c>
      <c r="K34" s="4">
        <f>SUM(K26,K32)</f>
        <v>251684</v>
      </c>
      <c r="L34" s="4">
        <f>SUM(L26,L32)</f>
        <v>256374</v>
      </c>
      <c r="M34" s="4"/>
      <c r="N34" s="4">
        <f>SUM(N26,N32)</f>
        <v>23698</v>
      </c>
      <c r="O34" s="4">
        <f>SUM(O26,O32)</f>
        <v>23783</v>
      </c>
      <c r="P34" s="4">
        <f>SUM(P26,P32)</f>
        <v>23671</v>
      </c>
    </row>
    <row r="35" spans="1:16" ht="13.5" customHeight="1" x14ac:dyDescent="0.2"/>
    <row r="36" spans="1:16" ht="13.5" customHeight="1" x14ac:dyDescent="0.2"/>
    <row r="37" spans="1:16" ht="13.5" customHeight="1" x14ac:dyDescent="0.2"/>
    <row r="38" spans="1:16" ht="13.5" customHeight="1" x14ac:dyDescent="0.2"/>
    <row r="39" spans="1:16" ht="13.5" customHeight="1" x14ac:dyDescent="0.2"/>
    <row r="40" spans="1:16" ht="13.5" customHeight="1" x14ac:dyDescent="0.2"/>
    <row r="41" spans="1:16" ht="13.5" customHeight="1" x14ac:dyDescent="0.2"/>
    <row r="42" spans="1:16" ht="13.5" customHeight="1" x14ac:dyDescent="0.2"/>
    <row r="43" spans="1:16" ht="13.5" customHeight="1" x14ac:dyDescent="0.2"/>
    <row r="44" spans="1:16" ht="13.5" customHeight="1" x14ac:dyDescent="0.2"/>
    <row r="45" spans="1:16" ht="13.5" customHeight="1" x14ac:dyDescent="0.2"/>
    <row r="46" spans="1:16" ht="13.5" customHeight="1" x14ac:dyDescent="0.2"/>
    <row r="47" spans="1:16" ht="13.5" customHeight="1" x14ac:dyDescent="0.2"/>
    <row r="48" spans="1:16"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sheetData>
  <mergeCells count="4">
    <mergeCell ref="B1:D1"/>
    <mergeCell ref="F1:H1"/>
    <mergeCell ref="J1:L1"/>
    <mergeCell ref="N1:P1"/>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04686-FCDD-490E-8554-9D7FF62E73DA}">
  <dimension ref="A1:P990"/>
  <sheetViews>
    <sheetView showGridLines="0" zoomScaleNormal="100" workbookViewId="0">
      <pane xSplit="1" topLeftCell="B1" activePane="topRight" state="frozen"/>
      <selection sqref="A1:P34"/>
      <selection pane="topRight" sqref="A1:P34"/>
    </sheetView>
  </sheetViews>
  <sheetFormatPr defaultColWidth="12.42578125" defaultRowHeight="15" customHeight="1" x14ac:dyDescent="0.2"/>
  <cols>
    <col min="1" max="1" width="31.42578125" style="1" customWidth="1"/>
    <col min="2" max="2" width="11.7109375" style="2" customWidth="1"/>
    <col min="3" max="3" width="12.140625" style="2" customWidth="1"/>
    <col min="4" max="4" width="11.42578125" style="2" customWidth="1"/>
    <col min="5" max="5" width="8.28515625" style="2" customWidth="1"/>
    <col min="6" max="6" width="11.5703125" style="2" customWidth="1"/>
    <col min="7" max="7" width="11.85546875" style="2" customWidth="1"/>
    <col min="8" max="8" width="11" style="2" customWidth="1"/>
    <col min="9" max="9" width="8.140625" style="2" customWidth="1"/>
    <col min="10" max="10" width="11.42578125" style="2" customWidth="1"/>
    <col min="11" max="11" width="12.140625" style="2" customWidth="1"/>
    <col min="12" max="12" width="12" style="2" customWidth="1"/>
    <col min="13" max="13" width="8.140625" style="2" customWidth="1"/>
    <col min="14" max="14" width="11.5703125" style="2" customWidth="1"/>
    <col min="15" max="15" width="11.7109375" style="2" customWidth="1"/>
    <col min="16" max="16" width="12.140625" style="2" customWidth="1"/>
    <col min="17" max="24" width="8.42578125" style="1" customWidth="1"/>
    <col min="25" max="16384" width="12.42578125" style="1"/>
  </cols>
  <sheetData>
    <row r="1" spans="1:16" s="2" customFormat="1" ht="13.5" customHeight="1" x14ac:dyDescent="0.25">
      <c r="B1" s="220" t="s">
        <v>31</v>
      </c>
      <c r="C1" s="221"/>
      <c r="D1" s="221"/>
      <c r="F1" s="220" t="s">
        <v>30</v>
      </c>
      <c r="G1" s="221"/>
      <c r="H1" s="221"/>
      <c r="J1" s="220" t="s">
        <v>29</v>
      </c>
      <c r="K1" s="221"/>
      <c r="L1" s="221"/>
      <c r="N1" s="220" t="s">
        <v>28</v>
      </c>
      <c r="O1" s="221"/>
      <c r="P1" s="221"/>
    </row>
    <row r="2" spans="1:16" ht="13.5" customHeight="1" x14ac:dyDescent="0.2">
      <c r="B2" s="29">
        <v>43008</v>
      </c>
      <c r="C2" s="29">
        <v>43372</v>
      </c>
      <c r="D2" s="29" t="s">
        <v>27</v>
      </c>
      <c r="F2" s="29">
        <v>43100</v>
      </c>
      <c r="G2" s="29">
        <v>43465</v>
      </c>
      <c r="H2" s="29">
        <v>43738</v>
      </c>
      <c r="J2" s="30" t="s">
        <v>26</v>
      </c>
      <c r="K2" s="29">
        <v>43465</v>
      </c>
      <c r="L2" s="29">
        <v>43738</v>
      </c>
      <c r="N2" s="29">
        <v>43008</v>
      </c>
      <c r="O2" s="29">
        <v>43373</v>
      </c>
      <c r="P2" s="29" t="s">
        <v>50</v>
      </c>
    </row>
    <row r="3" spans="1:16" ht="13.5" customHeight="1" x14ac:dyDescent="0.2">
      <c r="A3" s="5" t="s">
        <v>25</v>
      </c>
      <c r="B3" s="6"/>
      <c r="C3" s="6"/>
      <c r="D3" s="6"/>
      <c r="F3" s="6"/>
      <c r="G3" s="6"/>
      <c r="H3" s="6"/>
      <c r="J3" s="6"/>
      <c r="K3" s="6"/>
      <c r="L3" s="6"/>
      <c r="N3" s="6"/>
      <c r="O3" s="6"/>
      <c r="P3" s="6"/>
    </row>
    <row r="4" spans="1:16" ht="13.5" customHeight="1" x14ac:dyDescent="0.2">
      <c r="A4" s="8" t="s">
        <v>24</v>
      </c>
      <c r="B4" s="56">
        <f>'Balance Sheet_ Standard Form'!B4/'Balance Sheet_ Standard Form'!B$16</f>
        <v>4.1935921661151072E-2</v>
      </c>
      <c r="C4" s="56">
        <f>'Balance Sheet_ Standard Form'!C4/'Balance Sheet_ Standard Form'!C$16</f>
        <v>4.2090103247530375E-2</v>
      </c>
      <c r="D4" s="56">
        <f>'Balance Sheet_ Standard Form'!D4/'Balance Sheet_ Standard Form'!D$16</f>
        <v>2.7930138568129332E-2</v>
      </c>
      <c r="E4" s="56"/>
      <c r="F4" s="56">
        <f>'Balance Sheet_ Standard Form'!F4/'Balance Sheet_ Standard Form'!F$16</f>
        <v>0.14846848084517572</v>
      </c>
      <c r="G4" s="56">
        <f>'Balance Sheet_ Standard Form'!G4/'Balance Sheet_ Standard Form'!G$16</f>
        <v>0.14608538500899673</v>
      </c>
      <c r="H4" s="56">
        <f>'Balance Sheet_ Standard Form'!H4/'Balance Sheet_ Standard Form'!H$16</f>
        <v>0.14333458891984494</v>
      </c>
      <c r="I4" s="56"/>
      <c r="J4" s="56">
        <f>'Balance Sheet_ Standard Form'!J4/'Balance Sheet_ Standard Form'!J$16</f>
        <v>1.8286372704868187E-2</v>
      </c>
      <c r="K4" s="56">
        <f>'Balance Sheet_ Standard Form'!K4/'Balance Sheet_ Standard Form'!K$16</f>
        <v>1.5153923173503283E-2</v>
      </c>
      <c r="L4" s="56">
        <f>'Balance Sheet_ Standard Form'!L4/'Balance Sheet_ Standard Form'!L$16</f>
        <v>1.3679234243722062E-2</v>
      </c>
      <c r="M4" s="56"/>
      <c r="N4" s="56">
        <f>'Balance Sheet_ Standard Form'!N4/'Balance Sheet_ Standard Form'!N$16</f>
        <v>5.8612541142712464E-2</v>
      </c>
      <c r="O4" s="56">
        <f>'Balance Sheet_ Standard Form'!O4/'Balance Sheet_ Standard Form'!O$16</f>
        <v>6.5466930160198458E-2</v>
      </c>
      <c r="P4" s="56">
        <f>'Balance Sheet_ Standard Form'!P4/'Balance Sheet_ Standard Form'!P$16</f>
        <v>3.2106797346964637E-2</v>
      </c>
    </row>
    <row r="5" spans="1:16" ht="13.5" customHeight="1" x14ac:dyDescent="0.2">
      <c r="A5" s="8" t="s">
        <v>23</v>
      </c>
      <c r="B5" s="56">
        <f>'Balance Sheet_ Standard Form'!B5/'Balance Sheet_ Standard Form'!B$16</f>
        <v>9.0125170948647554E-2</v>
      </c>
      <c r="C5" s="56">
        <f>'Balance Sheet_ Standard Form'!C5/'Balance Sheet_ Standard Form'!C$16</f>
        <v>9.4667234629505673E-2</v>
      </c>
      <c r="D5" s="56">
        <f>'Balance Sheet_ Standard Form'!D5/'Balance Sheet_ Standard Form'!D$16</f>
        <v>7.9805550973276143E-2</v>
      </c>
      <c r="E5" s="56"/>
      <c r="F5" s="50" t="s">
        <v>9</v>
      </c>
      <c r="G5" s="50" t="s">
        <v>9</v>
      </c>
      <c r="H5" s="56">
        <f>'Balance Sheet_ Standard Form'!H5/'Balance Sheet_ Standard Form'!H$16</f>
        <v>1.5066003936756575E-2</v>
      </c>
      <c r="I5" s="56"/>
      <c r="J5" s="56">
        <f>'Balance Sheet_ Standard Form'!J5/'Balance Sheet_ Standard Form'!J$16</f>
        <v>4.7124217174680738E-2</v>
      </c>
      <c r="K5" s="56">
        <f>'Balance Sheet_ Standard Form'!K5/'Balance Sheet_ Standard Form'!K$16</f>
        <v>4.4118815657729536E-2</v>
      </c>
      <c r="L5" s="56">
        <f>'Balance Sheet_ Standard Form'!L5/'Balance Sheet_ Standard Form'!L$16</f>
        <v>4.1673492631858142E-2</v>
      </c>
      <c r="M5" s="56"/>
      <c r="N5" s="56">
        <f>'Balance Sheet_ Standard Form'!N5/'Balance Sheet_ Standard Form'!N$16</f>
        <v>0.14583509156890878</v>
      </c>
      <c r="O5" s="56">
        <f>'Balance Sheet_ Standard Form'!O5/'Balance Sheet_ Standard Form'!O$16</f>
        <v>0.13219526552579575</v>
      </c>
      <c r="P5" s="56">
        <f>'Balance Sheet_ Standard Form'!P5/'Balance Sheet_ Standard Form'!P$16</f>
        <v>0.1570275864982468</v>
      </c>
    </row>
    <row r="6" spans="1:16" ht="13.5" customHeight="1" x14ac:dyDescent="0.2">
      <c r="A6" s="8" t="s">
        <v>22</v>
      </c>
      <c r="B6" s="56">
        <f>'Balance Sheet_ Standard Form'!B6/'Balance Sheet_ Standard Form'!B$16</f>
        <v>2.7675411581705625E-2</v>
      </c>
      <c r="C6" s="56">
        <f>'Balance Sheet_ Standard Form'!C6/'Balance Sheet_ Standard Form'!C$16</f>
        <v>2.7444775756100531E-2</v>
      </c>
      <c r="D6" s="56">
        <f>'Balance Sheet_ Standard Form'!D6/'Balance Sheet_ Standard Form'!D$16</f>
        <v>3.2198531837677333E-2</v>
      </c>
      <c r="E6" s="56"/>
      <c r="F6" s="50" t="s">
        <v>9</v>
      </c>
      <c r="G6" s="50" t="s">
        <v>9</v>
      </c>
      <c r="H6" s="50" t="s">
        <v>9</v>
      </c>
      <c r="I6" s="56"/>
      <c r="J6" s="50" t="s">
        <v>9</v>
      </c>
      <c r="K6" s="50" t="s">
        <v>9</v>
      </c>
      <c r="L6" s="50" t="s">
        <v>9</v>
      </c>
      <c r="M6" s="56"/>
      <c r="N6" s="56">
        <f>'Balance Sheet_ Standard Form'!N6/'Balance Sheet_ Standard Form'!N$16</f>
        <v>3.877964385180184E-2</v>
      </c>
      <c r="O6" s="56">
        <f>'Balance Sheet_ Standard Form'!O6/'Balance Sheet_ Standard Form'!O$16</f>
        <v>3.7673968801244587E-2</v>
      </c>
      <c r="P6" s="56">
        <f>'Balance Sheet_ Standard Form'!P6/'Balance Sheet_ Standard Form'!P$16</f>
        <v>3.2740484136707361E-2</v>
      </c>
    </row>
    <row r="7" spans="1:16" ht="13.5" customHeight="1" x14ac:dyDescent="0.2">
      <c r="A7" s="26" t="s">
        <v>21</v>
      </c>
      <c r="B7" s="56">
        <f>'Balance Sheet_ Standard Form'!B7/'Balance Sheet_ Standard Form'!B$16</f>
        <v>6.1384918936412325E-3</v>
      </c>
      <c r="C7" s="56">
        <f>'Balance Sheet_ Standard Form'!C7/'Balance Sheet_ Standard Form'!C$16</f>
        <v>6.4402929065498285E-3</v>
      </c>
      <c r="D7" s="56">
        <f>'Balance Sheet_ Standard Form'!D7/'Balance Sheet_ Standard Form'!D$16</f>
        <v>5.0468079841636425E-3</v>
      </c>
      <c r="E7" s="56"/>
      <c r="F7" s="56">
        <f>'Balance Sheet_ Standard Form'!F7/'Balance Sheet_ Standard Form'!F$16</f>
        <v>0.25494352317991142</v>
      </c>
      <c r="G7" s="56">
        <f>'Balance Sheet_ Standard Form'!G7/'Balance Sheet_ Standard Form'!G$16</f>
        <v>0.22713316513451176</v>
      </c>
      <c r="H7" s="56">
        <f>'Balance Sheet_ Standard Form'!H7/'Balance Sheet_ Standard Form'!H$16</f>
        <v>1.3786307578619993E-2</v>
      </c>
      <c r="I7" s="56"/>
      <c r="J7" s="56">
        <f>'Balance Sheet_ Standard Form'!J7/'Balance Sheet_ Standard Form'!J$16</f>
        <v>2.1769745335054571E-2</v>
      </c>
      <c r="K7" s="56">
        <f>'Balance Sheet_ Standard Form'!K7/'Balance Sheet_ Standard Form'!K$16</f>
        <v>2.7534527423276809E-2</v>
      </c>
      <c r="L7" s="56">
        <f>'Balance Sheet_ Standard Form'!L7/'Balance Sheet_ Standard Form'!L$16</f>
        <v>3.1719285106914116E-2</v>
      </c>
      <c r="M7" s="56"/>
      <c r="N7" s="56">
        <f>'Balance Sheet_ Standard Form'!N7/'Balance Sheet_ Standard Form'!N$16</f>
        <v>2.2069372942864377E-2</v>
      </c>
      <c r="O7" s="56">
        <f>'Balance Sheet_ Standard Form'!O7/'Balance Sheet_ Standard Form'!O$16</f>
        <v>2.0266576966740949E-2</v>
      </c>
      <c r="P7" s="56">
        <f>'Balance Sheet_ Standard Form'!P7/'Balance Sheet_ Standard Form'!P$16</f>
        <v>1.9433061552110178E-2</v>
      </c>
    </row>
    <row r="8" spans="1:16" ht="13.5" customHeight="1" x14ac:dyDescent="0.2">
      <c r="A8" s="24" t="s">
        <v>20</v>
      </c>
      <c r="B8" s="62">
        <f>'Balance Sheet_ Standard Form'!B8/'Balance Sheet_ Standard Form'!B$16</f>
        <v>0.16587499608514547</v>
      </c>
      <c r="C8" s="62">
        <f>'Balance Sheet_ Standard Form'!C8/'Balance Sheet_ Standard Form'!C$16</f>
        <v>0.1706424065396864</v>
      </c>
      <c r="D8" s="62">
        <f>'Balance Sheet_ Standard Form'!D8/'Balance Sheet_ Standard Form'!D$16</f>
        <v>0.14498102936324644</v>
      </c>
      <c r="E8" s="57"/>
      <c r="F8" s="62">
        <f>'Balance Sheet_ Standard Form'!F8/'Balance Sheet_ Standard Form'!F$16</f>
        <v>0.40341200402508715</v>
      </c>
      <c r="G8" s="62">
        <f>'Balance Sheet_ Standard Form'!G8/'Balance Sheet_ Standard Form'!G$16</f>
        <v>0.37321855014350847</v>
      </c>
      <c r="H8" s="62">
        <f>'Balance Sheet_ Standard Form'!H8/'Balance Sheet_ Standard Form'!H$16</f>
        <v>0.17218690043522147</v>
      </c>
      <c r="I8" s="57"/>
      <c r="J8" s="61">
        <f>SUM(J4:J7)</f>
        <v>8.7180335214603499E-2</v>
      </c>
      <c r="K8" s="61">
        <f>SUM(K4:K7)</f>
        <v>8.680726625450963E-2</v>
      </c>
      <c r="L8" s="61">
        <f>SUM(L4:L7)</f>
        <v>8.7072011982494313E-2</v>
      </c>
      <c r="M8" s="57"/>
      <c r="N8" s="61">
        <f>SUM(N4:N7)</f>
        <v>0.26529664950628745</v>
      </c>
      <c r="O8" s="61">
        <f>SUM(O4:O7)</f>
        <v>0.25560274145397971</v>
      </c>
      <c r="P8" s="61">
        <f>SUM(P4:P7)</f>
        <v>0.24130792953402896</v>
      </c>
    </row>
    <row r="9" spans="1:16" ht="6.75" customHeight="1" x14ac:dyDescent="0.2">
      <c r="A9" s="8"/>
      <c r="B9" s="56"/>
      <c r="C9" s="56"/>
      <c r="D9" s="56"/>
      <c r="F9" s="56"/>
      <c r="G9" s="56"/>
      <c r="H9" s="56"/>
      <c r="J9" s="6"/>
      <c r="K9" s="6"/>
      <c r="L9" s="6"/>
      <c r="N9" s="6"/>
      <c r="O9" s="6"/>
      <c r="P9" s="6"/>
    </row>
    <row r="10" spans="1:16" ht="13.5" customHeight="1" x14ac:dyDescent="0.2">
      <c r="A10" s="8" t="s">
        <v>19</v>
      </c>
      <c r="B10" s="56">
        <f>'Balance Sheet_ Standard Form'!B10/'Balance Sheet_ Standard Form'!B$16</f>
        <v>0.59968263579325387</v>
      </c>
      <c r="C10" s="56">
        <f>'Balance Sheet_ Standard Form'!C10/'Balance Sheet_ Standard Form'!C$16</f>
        <v>0.61161484005760769</v>
      </c>
      <c r="D10" s="56">
        <f>'Balance Sheet_ Standard Form'!D10/'Balance Sheet_ Standard Form'!D$16</f>
        <v>0.33001690861101945</v>
      </c>
      <c r="E10" s="56"/>
      <c r="F10" s="56">
        <f>'Balance Sheet_ Standard Form'!F10/'Balance Sheet_ Standard Form'!F$16</f>
        <v>3.3725673437349113E-2</v>
      </c>
      <c r="G10" s="56">
        <f>'Balance Sheet_ Standard Form'!G10/'Balance Sheet_ Standard Form'!G$16</f>
        <v>3.0291341646563871E-2</v>
      </c>
      <c r="H10" s="56">
        <f>'Balance Sheet_ Standard Form'!H10/'Balance Sheet_ Standard Form'!H$16</f>
        <v>6.1909819801520369E-2</v>
      </c>
      <c r="I10" s="56"/>
      <c r="J10" s="56">
        <f>'Balance Sheet_ Standard Form'!J10/'Balance Sheet_ Standard Form'!J$16</f>
        <v>0.47148755481110838</v>
      </c>
      <c r="K10" s="56">
        <f>'Balance Sheet_ Standard Form'!K10/'Balance Sheet_ Standard Form'!K$16</f>
        <v>0.38040956119578517</v>
      </c>
      <c r="L10" s="56">
        <f>'Balance Sheet_ Standard Form'!L10/'Balance Sheet_ Standard Form'!L$16</f>
        <v>0.40481484081849173</v>
      </c>
      <c r="M10" s="56"/>
      <c r="N10" s="56">
        <f>'Balance Sheet_ Standard Form'!N10/'Balance Sheet_ Standard Form'!N$16</f>
        <v>0.12545362477846231</v>
      </c>
      <c r="O10" s="56">
        <f>'Balance Sheet_ Standard Form'!O10/'Balance Sheet_ Standard Form'!O$16</f>
        <v>0.12668712946222091</v>
      </c>
      <c r="P10" s="56">
        <f>'Balance Sheet_ Standard Form'!P10/'Balance Sheet_ Standard Form'!P$16</f>
        <v>0.12973680875332685</v>
      </c>
    </row>
    <row r="11" spans="1:16" ht="13.5" customHeight="1" x14ac:dyDescent="0.2">
      <c r="A11" s="8" t="s">
        <v>18</v>
      </c>
      <c r="B11" s="56">
        <f>'Balance Sheet_ Standard Form'!B11/'Balance Sheet_ Standard Form'!B$16</f>
        <v>-0.3031350155028239</v>
      </c>
      <c r="C11" s="56">
        <f>'Balance Sheet_ Standard Form'!C11/'Balance Sheet_ Standard Form'!C$16</f>
        <v>-0.31201444248362037</v>
      </c>
      <c r="D11" s="56">
        <f>'Balance Sheet_ Standard Form'!D11/'Balance Sheet_ Standard Form'!D$16</f>
        <v>-0.16710141042560211</v>
      </c>
      <c r="E11" s="56"/>
      <c r="F11" s="56">
        <f>'Balance Sheet_ Standard Form'!F11/'Balance Sheet_ Standard Form'!F$16</f>
        <v>-1.6925478873236473E-2</v>
      </c>
      <c r="G11" s="56">
        <f>'Balance Sheet_ Standard Form'!G11/'Balance Sheet_ Standard Form'!G$16</f>
        <v>-1.4187035328874921E-2</v>
      </c>
      <c r="H11" s="56">
        <f>'Balance Sheet_ Standard Form'!H11/'Balance Sheet_ Standard Form'!H$16</f>
        <v>-1.3011560606773089E-2</v>
      </c>
      <c r="I11" s="56"/>
      <c r="J11" s="56">
        <f>'Balance Sheet_ Standard Form'!J11/'Balance Sheet_ Standard Form'!J$16</f>
        <v>-0.26627263125326733</v>
      </c>
      <c r="K11" s="56">
        <f>'Balance Sheet_ Standard Form'!K11/'Balance Sheet_ Standard Form'!K$16</f>
        <v>-0.20385086060297833</v>
      </c>
      <c r="L11" s="56">
        <f>'Balance Sheet_ Standard Form'!L11/'Balance Sheet_ Standard Form'!L$16</f>
        <v>-0.2066629221371902</v>
      </c>
      <c r="M11" s="56"/>
      <c r="N11" s="56">
        <f>'Balance Sheet_ Standard Form'!N11/'Balance Sheet_ Standard Form'!N$16</f>
        <v>-8.4184319351844034E-2</v>
      </c>
      <c r="O11" s="56">
        <f>'Balance Sheet_ Standard Form'!O11/'Balance Sheet_ Standard Form'!O$16</f>
        <v>-8.8046083336837236E-2</v>
      </c>
      <c r="P11" s="56">
        <f>'Balance Sheet_ Standard Form'!P11/'Balance Sheet_ Standard Form'!P$16</f>
        <v>-9.0786194077140808E-2</v>
      </c>
    </row>
    <row r="12" spans="1:16" ht="13.5" customHeight="1" x14ac:dyDescent="0.2">
      <c r="A12" s="5" t="s">
        <v>17</v>
      </c>
      <c r="B12" s="56">
        <f>'Balance Sheet_ Standard Form'!B12/'Balance Sheet_ Standard Form'!B$16</f>
        <v>0.29654762029043003</v>
      </c>
      <c r="C12" s="56">
        <f>'Balance Sheet_ Standard Form'!C12/'Balance Sheet_ Standard Form'!C$16</f>
        <v>0.29960039757398732</v>
      </c>
      <c r="D12" s="56">
        <f>'Balance Sheet_ Standard Form'!D12/'Balance Sheet_ Standard Form'!D$16</f>
        <v>0.16291549818541737</v>
      </c>
      <c r="E12" s="56"/>
      <c r="F12" s="56">
        <f>'Balance Sheet_ Standard Form'!F12/'Balance Sheet_ Standard Form'!F$16</f>
        <v>1.6800194564112636E-2</v>
      </c>
      <c r="G12" s="56">
        <f>'Balance Sheet_ Standard Form'!G12/'Balance Sheet_ Standard Form'!G$16</f>
        <v>1.610430631768895E-2</v>
      </c>
      <c r="H12" s="56">
        <f>'Balance Sheet_ Standard Form'!H12/'Balance Sheet_ Standard Form'!H$16</f>
        <v>4.889825919474728E-2</v>
      </c>
      <c r="I12" s="56"/>
      <c r="J12" s="56">
        <f>'Balance Sheet_ Standard Form'!J12/'Balance Sheet_ Standard Form'!J$16</f>
        <v>0.20521492355784104</v>
      </c>
      <c r="K12" s="56">
        <f>'Balance Sheet_ Standard Form'!K12/'Balance Sheet_ Standard Form'!K$16</f>
        <v>0.17655870059280684</v>
      </c>
      <c r="L12" s="56">
        <f>'Balance Sheet_ Standard Form'!L12/'Balance Sheet_ Standard Form'!L$16</f>
        <v>0.19815191868130153</v>
      </c>
      <c r="M12" s="56"/>
      <c r="N12" s="56">
        <f>'Balance Sheet_ Standard Form'!N12/'Balance Sheet_ Standard Form'!N$16</f>
        <v>4.1269305426618282E-2</v>
      </c>
      <c r="O12" s="56">
        <f>'Balance Sheet_ Standard Form'!O12/'Balance Sheet_ Standard Form'!O$16</f>
        <v>3.8641046125383674E-2</v>
      </c>
      <c r="P12" s="56">
        <f>'Balance Sheet_ Standard Form'!P12/'Balance Sheet_ Standard Form'!P$16</f>
        <v>3.8950614676186053E-2</v>
      </c>
    </row>
    <row r="13" spans="1:16" ht="13.5" customHeight="1" x14ac:dyDescent="0.2">
      <c r="A13" s="8" t="s">
        <v>16</v>
      </c>
      <c r="B13" s="56">
        <f>'Balance Sheet_ Standard Form'!B13/'Balance Sheet_ Standard Form'!B$16</f>
        <v>3.3427637828978278E-2</v>
      </c>
      <c r="C13" s="56">
        <f>'Balance Sheet_ Standard Form'!C13/'Balance Sheet_ Standard Form'!C$16</f>
        <v>2.9402219111949533E-2</v>
      </c>
      <c r="D13" s="56">
        <f>'Balance Sheet_ Standard Form'!D13/'Balance Sheet_ Standard Form'!D$16</f>
        <v>1.6619927416694161E-2</v>
      </c>
      <c r="E13" s="56"/>
      <c r="F13" s="50" t="s">
        <v>9</v>
      </c>
      <c r="G13" s="50" t="s">
        <v>9</v>
      </c>
      <c r="H13" s="50" t="s">
        <v>9</v>
      </c>
      <c r="I13" s="56"/>
      <c r="J13" s="56">
        <f>'Balance Sheet_ Standard Form'!J13/'Balance Sheet_ Standard Form'!J$16</f>
        <v>3.6972826492835884E-2</v>
      </c>
      <c r="K13" s="56">
        <f>'Balance Sheet_ Standard Form'!K13/'Balance Sheet_ Standard Form'!K$16</f>
        <v>3.1321021598512418E-2</v>
      </c>
      <c r="L13" s="56">
        <f>'Balance Sheet_ Standard Form'!L13/'Balance Sheet_ Standard Form'!L$16</f>
        <v>2.9148821643380375E-2</v>
      </c>
      <c r="M13" s="56"/>
      <c r="N13" s="50" t="s">
        <v>9</v>
      </c>
      <c r="O13" s="56">
        <f>'Balance Sheet_ Standard Form'!O13/'Balance Sheet_ Standard Form'!O$16</f>
        <v>1.7239204473783794E-2</v>
      </c>
      <c r="P13" s="56">
        <f>'Balance Sheet_ Standard Form'!P13/'Balance Sheet_ Standard Form'!P$16</f>
        <v>2.0953909847492711E-2</v>
      </c>
    </row>
    <row r="14" spans="1:16" ht="13.5" customHeight="1" x14ac:dyDescent="0.2">
      <c r="A14" s="8" t="s">
        <v>15</v>
      </c>
      <c r="B14" s="56">
        <f>'Balance Sheet_ Standard Form'!B14/'Balance Sheet_ Standard Form'!B$16</f>
        <v>0.40110033511154725</v>
      </c>
      <c r="C14" s="56">
        <f>'Balance Sheet_ Standard Form'!C14/'Balance Sheet_ Standard Form'!C$16</f>
        <v>0.3862248727154709</v>
      </c>
      <c r="D14" s="56">
        <f>'Balance Sheet_ Standard Form'!D14/'Balance Sheet_ Standard Form'!D$16</f>
        <v>0.53359039920818208</v>
      </c>
      <c r="E14" s="56"/>
      <c r="F14" s="56">
        <f>'Balance Sheet_ Standard Form'!F14/'Balance Sheet_ Standard Form'!F$16</f>
        <v>0.54547878277089334</v>
      </c>
      <c r="G14" s="56">
        <f>'Balance Sheet_ Standard Form'!G14/'Balance Sheet_ Standard Form'!G$16</f>
        <v>0.5759880134373746</v>
      </c>
      <c r="H14" s="56">
        <f>'Balance Sheet_ Standard Form'!H14/'Balance Sheet_ Standard Form'!H$16</f>
        <v>0.47148740785699822</v>
      </c>
      <c r="I14" s="56"/>
      <c r="J14" s="56">
        <f>'Balance Sheet_ Standard Form'!J14/'Balance Sheet_ Standard Form'!J$16</f>
        <v>0.60960087911149996</v>
      </c>
      <c r="K14" s="56">
        <f>'Balance Sheet_ Standard Form'!K14/'Balance Sheet_ Standard Form'!K$16</f>
        <v>0.6511220419255892</v>
      </c>
      <c r="L14" s="56">
        <f>'Balance Sheet_ Standard Form'!L14/'Balance Sheet_ Standard Form'!L$16</f>
        <v>0.62971284139577333</v>
      </c>
      <c r="M14" s="56"/>
      <c r="N14" s="56">
        <f>'Balance Sheet_ Standard Form'!N14/'Balance Sheet_ Standard Form'!N$16</f>
        <v>0.50544349734154781</v>
      </c>
      <c r="O14" s="56">
        <f>'Balance Sheet_ Standard Form'!O14/'Balance Sheet_ Standard Form'!O$16</f>
        <v>0.50128242862548877</v>
      </c>
      <c r="P14" s="56">
        <f>'Balance Sheet_ Standard Form'!P14/'Balance Sheet_ Standard Form'!P$16</f>
        <v>0.5158632926365595</v>
      </c>
    </row>
    <row r="15" spans="1:16" ht="13.5" customHeight="1" x14ac:dyDescent="0.2">
      <c r="A15" s="5" t="s">
        <v>14</v>
      </c>
      <c r="B15" s="56">
        <f>'Balance Sheet_ Standard Form'!B15/'Balance Sheet_ Standard Form'!B$16</f>
        <v>0.10304941068389899</v>
      </c>
      <c r="C15" s="56">
        <f>'Balance Sheet_ Standard Form'!C15/'Balance Sheet_ Standard Form'!C$16</f>
        <v>0.11413010405890586</v>
      </c>
      <c r="D15" s="56">
        <f>'Balance Sheet_ Standard Form'!D15/'Balance Sheet_ Standard Form'!D$16</f>
        <v>0.14189314582645993</v>
      </c>
      <c r="E15" s="56"/>
      <c r="F15" s="56">
        <f>'Balance Sheet_ Standard Form'!F15/'Balance Sheet_ Standard Form'!F$16</f>
        <v>3.4309018639906805E-2</v>
      </c>
      <c r="G15" s="56">
        <f>'Balance Sheet_ Standard Form'!G15/'Balance Sheet_ Standard Form'!G$16</f>
        <v>3.4689130101427865E-2</v>
      </c>
      <c r="H15" s="56">
        <f>'Balance Sheet_ Standard Form'!H15/'Balance Sheet_ Standard Form'!H$16</f>
        <v>0.30742743251303295</v>
      </c>
      <c r="I15" s="56"/>
      <c r="J15" s="56">
        <f>'Balance Sheet_ Standard Form'!J15/'Balance Sheet_ Standard Form'!J$16</f>
        <v>6.103103562321964E-2</v>
      </c>
      <c r="K15" s="56">
        <f>'Balance Sheet_ Standard Form'!K15/'Balance Sheet_ Standard Form'!K$16</f>
        <v>5.4190969628581873E-2</v>
      </c>
      <c r="L15" s="56">
        <f>'Balance Sheet_ Standard Form'!L15/'Balance Sheet_ Standard Form'!L$16</f>
        <v>5.5914406297050405E-2</v>
      </c>
      <c r="M15" s="56"/>
      <c r="N15" s="56">
        <f>'Balance Sheet_ Standard Form'!N15/'Balance Sheet_ Standard Form'!N$16</f>
        <v>0.18799054772554646</v>
      </c>
      <c r="O15" s="56">
        <f>'Balance Sheet_ Standard Form'!O15/'Balance Sheet_ Standard Form'!O$16</f>
        <v>0.187234579321364</v>
      </c>
      <c r="P15" s="56">
        <f>'Balance Sheet_ Standard Form'!P15/'Balance Sheet_ Standard Form'!P$16</f>
        <v>0.18292425330573275</v>
      </c>
    </row>
    <row r="16" spans="1:16" ht="13.5" customHeight="1" x14ac:dyDescent="0.2">
      <c r="A16" s="5" t="s">
        <v>13</v>
      </c>
      <c r="B16" s="60">
        <f>SUM(B12:B15,B8)</f>
        <v>1</v>
      </c>
      <c r="C16" s="60">
        <f>SUM(C12:C15,C8)</f>
        <v>1</v>
      </c>
      <c r="D16" s="60">
        <f>SUM(D12:D15,D8)</f>
        <v>1</v>
      </c>
      <c r="E16" s="55"/>
      <c r="F16" s="60">
        <f>SUM(F12:F15,F8)</f>
        <v>0.99999999999999989</v>
      </c>
      <c r="G16" s="60">
        <f>SUM(G12:G15,G8)</f>
        <v>0.99999999999999989</v>
      </c>
      <c r="H16" s="60">
        <f>SUM(H12:H15,H8)</f>
        <v>0.99999999999999989</v>
      </c>
      <c r="I16" s="55"/>
      <c r="J16" s="60">
        <f>SUM(J8,J12:J15)</f>
        <v>1</v>
      </c>
      <c r="K16" s="60">
        <f>SUM(K8,K12:K15)</f>
        <v>1</v>
      </c>
      <c r="L16" s="60">
        <f>SUM(L8,L12:L15)</f>
        <v>0.99999999999999989</v>
      </c>
      <c r="M16" s="55"/>
      <c r="N16" s="60">
        <f>SUM(N12:N15,N8)</f>
        <v>1</v>
      </c>
      <c r="O16" s="60">
        <f>SUM(O12:O15,O8)</f>
        <v>1</v>
      </c>
      <c r="P16" s="60">
        <f>SUM(P12:P15,P8)</f>
        <v>1</v>
      </c>
    </row>
    <row r="17" spans="1:16" ht="7.5" customHeight="1" x14ac:dyDescent="0.2">
      <c r="A17" s="8"/>
      <c r="B17" s="6"/>
      <c r="C17" s="6"/>
      <c r="D17" s="6"/>
      <c r="F17" s="6"/>
      <c r="G17" s="6"/>
      <c r="H17" s="6"/>
      <c r="J17" s="6"/>
      <c r="K17" s="6"/>
      <c r="L17" s="6"/>
      <c r="N17" s="6"/>
      <c r="O17" s="6"/>
      <c r="P17" s="6"/>
    </row>
    <row r="18" spans="1:16" ht="13.5" customHeight="1" x14ac:dyDescent="0.2">
      <c r="A18" s="5" t="s">
        <v>12</v>
      </c>
      <c r="B18" s="6"/>
      <c r="C18" s="6"/>
      <c r="D18" s="6"/>
      <c r="F18" s="6"/>
      <c r="G18" s="6"/>
      <c r="H18" s="6"/>
      <c r="J18" s="6"/>
      <c r="K18" s="6"/>
      <c r="L18" s="6"/>
      <c r="N18" s="6"/>
      <c r="O18" s="6"/>
      <c r="P18" s="6"/>
    </row>
    <row r="19" spans="1:16" ht="13.5" customHeight="1" x14ac:dyDescent="0.2">
      <c r="A19" s="8" t="s">
        <v>11</v>
      </c>
      <c r="B19" s="56">
        <f>'Balance Sheet_ Standard Form'!B19/'Balance Sheet_ Standard Form'!B$34</f>
        <v>6.5821754063618995E-2</v>
      </c>
      <c r="C19" s="56">
        <f>'Balance Sheet_ Standard Form'!C19/'Balance Sheet_ Standard Form'!C$34</f>
        <v>6.5954684679202416E-2</v>
      </c>
      <c r="D19" s="56">
        <f>'Balance Sheet_ Standard Form'!D19/'Balance Sheet_ Standard Form'!D$34</f>
        <v>9.2492164302210494E-2</v>
      </c>
      <c r="E19" s="56"/>
      <c r="F19" s="56">
        <f>'Balance Sheet_ Standard Form'!F19/'Balance Sheet_ Standard Form'!F$34</f>
        <v>1.8911264876996702E-2</v>
      </c>
      <c r="G19" s="56">
        <f>'Balance Sheet_ Standard Form'!G19/'Balance Sheet_ Standard Form'!G$34</f>
        <v>2.1674610385610447E-2</v>
      </c>
      <c r="H19" s="56">
        <f>'Balance Sheet_ Standard Form'!H19/'Balance Sheet_ Standard Form'!H$34</f>
        <v>1.4353731117196461E-2</v>
      </c>
      <c r="I19" s="56"/>
      <c r="J19" s="56">
        <f>'Balance Sheet_ Standard Form'!J19/'Balance Sheet_ Standard Form'!J$34</f>
        <v>3.6850134960685364E-2</v>
      </c>
      <c r="K19" s="56">
        <f>'Balance Sheet_ Standard Form'!K19/'Balance Sheet_ Standard Form'!K$34</f>
        <v>3.3748668965846058E-2</v>
      </c>
      <c r="L19" s="56">
        <f>'Balance Sheet_ Standard Form'!L19/'Balance Sheet_ Standard Form'!L$34</f>
        <v>3.9777824584396236E-2</v>
      </c>
      <c r="M19" s="56"/>
      <c r="N19" s="56">
        <f>'Balance Sheet_ Standard Form'!N19/'Balance Sheet_ Standard Form'!N$34</f>
        <v>1.8187188792303147E-2</v>
      </c>
      <c r="O19" s="56">
        <f>'Balance Sheet_ Standard Form'!O19/'Balance Sheet_ Standard Form'!O$34</f>
        <v>1.8206281797922885E-2</v>
      </c>
      <c r="P19" s="56">
        <f>'Balance Sheet_ Standard Form'!P19/'Balance Sheet_ Standard Form'!P$34</f>
        <v>2.0362468843732839E-2</v>
      </c>
    </row>
    <row r="20" spans="1:16" ht="13.5" customHeight="1" x14ac:dyDescent="0.2">
      <c r="A20" s="8" t="s">
        <v>10</v>
      </c>
      <c r="B20" s="56">
        <f>'Balance Sheet_ Standard Form'!B20/'Balance Sheet_ Standard Form'!B$34</f>
        <v>1.8989654344444561E-2</v>
      </c>
      <c r="C20" s="56">
        <f>'Balance Sheet_ Standard Form'!C20/'Balance Sheet_ Standard Form'!C$34</f>
        <v>2.2201261688878069E-2</v>
      </c>
      <c r="D20" s="50" t="s">
        <v>9</v>
      </c>
      <c r="E20" s="56"/>
      <c r="F20" s="56">
        <f>'Balance Sheet_ Standard Form'!F20/'Balance Sheet_ Standard Form'!F$34</f>
        <v>1.6572780506883229E-2</v>
      </c>
      <c r="G20" s="56">
        <f>'Balance Sheet_ Standard Form'!G20/'Balance Sheet_ Standard Form'!G$34</f>
        <v>1.8380289823826536E-2</v>
      </c>
      <c r="H20" s="56">
        <f>'Balance Sheet_ Standard Form'!H20/'Balance Sheet_ Standard Form'!H$34</f>
        <v>2.8336571303377505E-2</v>
      </c>
      <c r="I20" s="56"/>
      <c r="J20" s="56">
        <f>'Balance Sheet_ Standard Form'!J20/'Balance Sheet_ Standard Form'!J$34</f>
        <v>3.5313823601583257E-2</v>
      </c>
      <c r="K20" s="56">
        <f>'Balance Sheet_ Standard Form'!K20/'Balance Sheet_ Standard Form'!K$34</f>
        <v>4.2597066162330541E-2</v>
      </c>
      <c r="L20" s="56">
        <f>'Balance Sheet_ Standard Form'!L20/'Balance Sheet_ Standard Form'!L$34</f>
        <v>3.7043537956267018E-2</v>
      </c>
      <c r="M20" s="56"/>
      <c r="N20" s="56">
        <f>'Balance Sheet_ Standard Form'!N20/'Balance Sheet_ Standard Form'!N$34</f>
        <v>3.6669761161279429E-2</v>
      </c>
      <c r="O20" s="56">
        <f>'Balance Sheet_ Standard Form'!O20/'Balance Sheet_ Standard Form'!O$34</f>
        <v>3.5655720472606484E-2</v>
      </c>
      <c r="P20" s="56">
        <f>'Balance Sheet_ Standard Form'!P20/'Balance Sheet_ Standard Form'!P$34</f>
        <v>3.916184360610029E-2</v>
      </c>
    </row>
    <row r="21" spans="1:16" ht="13.5" customHeight="1" x14ac:dyDescent="0.2">
      <c r="A21" s="8" t="s">
        <v>8</v>
      </c>
      <c r="B21" s="56">
        <f>'Balance Sheet_ Standard Form'!B21/'Balance Sheet_ Standard Form'!B$34</f>
        <v>9.0814185344872581E-2</v>
      </c>
      <c r="C21" s="56">
        <f>'Balance Sheet_ Standard Form'!C21/'Balance Sheet_ Standard Form'!C$34</f>
        <v>8.2790725978214574E-2</v>
      </c>
      <c r="D21" s="56">
        <f>'Balance Sheet_ Standard Form'!D21/'Balance Sheet_ Standard Form'!D$34</f>
        <v>4.2462264929066316E-2</v>
      </c>
      <c r="E21" s="56"/>
      <c r="F21" s="56">
        <f>'Balance Sheet_ Standard Form'!F21/'Balance Sheet_ Standard Form'!F$34</f>
        <v>0.2520237743719449</v>
      </c>
      <c r="G21" s="56">
        <f>'Balance Sheet_ Standard Form'!G21/'Balance Sheet_ Standard Form'!G$34</f>
        <v>0.20970332327214489</v>
      </c>
      <c r="H21" s="56">
        <f>'Balance Sheet_ Standard Form'!H21/'Balance Sheet_ Standard Form'!H$34</f>
        <v>0.19187655782836313</v>
      </c>
      <c r="I21" s="56"/>
      <c r="J21" s="56">
        <f>'Balance Sheet_ Standard Form'!J21/'Balance Sheet_ Standard Form'!J$34</f>
        <v>4.5155818245831154E-2</v>
      </c>
      <c r="K21" s="56">
        <f>'Balance Sheet_ Standard Form'!K21/'Balance Sheet_ Standard Form'!K$34</f>
        <v>3.3327505920122055E-2</v>
      </c>
      <c r="L21" s="56">
        <f>'Balance Sheet_ Standard Form'!L21/'Balance Sheet_ Standard Form'!L$34</f>
        <v>2.4550071380093144E-2</v>
      </c>
      <c r="M21" s="56"/>
      <c r="N21" s="56">
        <f>'Balance Sheet_ Standard Form'!N21/'Balance Sheet_ Standard Form'!N$34</f>
        <v>0.10351084479702928</v>
      </c>
      <c r="O21" s="56">
        <f>'Balance Sheet_ Standard Form'!O21/'Balance Sheet_ Standard Form'!O$34</f>
        <v>0.11659588781903039</v>
      </c>
      <c r="P21" s="56">
        <f>'Balance Sheet_ Standard Form'!P21/'Balance Sheet_ Standard Form'!P$34</f>
        <v>0.10202357314857843</v>
      </c>
    </row>
    <row r="22" spans="1:16" ht="13.5" customHeight="1" x14ac:dyDescent="0.2">
      <c r="A22" s="5" t="s">
        <v>7</v>
      </c>
      <c r="B22" s="58">
        <f>SUM(B19:B21)</f>
        <v>0.17562559375293613</v>
      </c>
      <c r="C22" s="58">
        <f>SUM(C19:C21)</f>
        <v>0.17094667234629507</v>
      </c>
      <c r="D22" s="58">
        <f>SUM(D19:D21)</f>
        <v>0.13495442923127682</v>
      </c>
      <c r="E22" s="57"/>
      <c r="F22" s="58">
        <f>SUM(F19:F21)</f>
        <v>0.28750781975582484</v>
      </c>
      <c r="G22" s="58">
        <f>SUM(G19:G21)</f>
        <v>0.24975822348158189</v>
      </c>
      <c r="H22" s="58">
        <f>SUM(H19:H21)</f>
        <v>0.23456686024893708</v>
      </c>
      <c r="I22" s="57"/>
      <c r="J22" s="58">
        <f>SUM(J19:J21)</f>
        <v>0.11731977680809977</v>
      </c>
      <c r="K22" s="58">
        <f>SUM(K19:K21)</f>
        <v>0.10967324104829866</v>
      </c>
      <c r="L22" s="58">
        <f>SUM(L19:L21)</f>
        <v>0.1013714339207564</v>
      </c>
      <c r="M22" s="57"/>
      <c r="N22" s="58">
        <f>SUM(N19:N21)</f>
        <v>0.15836779475061186</v>
      </c>
      <c r="O22" s="58">
        <f>SUM(O19:O21)</f>
        <v>0.17045789008955975</v>
      </c>
      <c r="P22" s="58">
        <f>SUM(P19:P21)</f>
        <v>0.16154788559841154</v>
      </c>
    </row>
    <row r="23" spans="1:16" ht="7.5" customHeight="1" x14ac:dyDescent="0.2">
      <c r="A23" s="5"/>
      <c r="B23" s="6"/>
      <c r="C23" s="6"/>
      <c r="D23" s="6"/>
      <c r="F23" s="6"/>
      <c r="G23" s="6"/>
      <c r="H23" s="6"/>
      <c r="J23" s="6"/>
      <c r="K23" s="6"/>
      <c r="L23" s="6"/>
      <c r="N23" s="6"/>
      <c r="O23" s="6"/>
      <c r="P23" s="6"/>
    </row>
    <row r="24" spans="1:16" ht="13.5" customHeight="1" x14ac:dyDescent="0.2">
      <c r="A24" s="5" t="s">
        <v>6</v>
      </c>
      <c r="B24" s="59">
        <f>'Balance Sheet_ Standard Form'!B24/'Balance Sheet_ Standard Form'!B$34</f>
        <v>0.22853354769336773</v>
      </c>
      <c r="C24" s="59">
        <f>'Balance Sheet_ Standard Form'!C24/'Balance Sheet_ Standard Form'!C$34</f>
        <v>0.18346213919146434</v>
      </c>
      <c r="D24" s="59">
        <f>'Balance Sheet_ Standard Form'!D24/'Balance Sheet_ Standard Form'!D$34</f>
        <v>0.22409580171560542</v>
      </c>
      <c r="E24" s="59"/>
      <c r="F24" s="59">
        <f>'Balance Sheet_ Standard Form'!F24/'Balance Sheet_ Standard Form'!F$34</f>
        <v>0.34184611562077688</v>
      </c>
      <c r="G24" s="59">
        <f>'Balance Sheet_ Standard Form'!G24/'Balance Sheet_ Standard Form'!G$34</f>
        <v>0.39885648946655167</v>
      </c>
      <c r="H24" s="59">
        <f>'Balance Sheet_ Standard Form'!H24/'Balance Sheet_ Standard Form'!H$34</f>
        <v>0.40158561367210749</v>
      </c>
      <c r="I24" s="59"/>
      <c r="J24" s="59">
        <f>'Balance Sheet_ Standard Form'!J24/'Balance Sheet_ Standard Form'!J$34</f>
        <v>0.31698157493251966</v>
      </c>
      <c r="K24" s="59">
        <f>'Balance Sheet_ Standard Form'!K24/'Balance Sheet_ Standard Form'!K$34</f>
        <v>0.42473498514009633</v>
      </c>
      <c r="L24" s="59">
        <f>'Balance Sheet_ Standard Form'!L24/'Balance Sheet_ Standard Form'!L$34</f>
        <v>0.38945836941343503</v>
      </c>
      <c r="M24" s="59"/>
      <c r="N24" s="59">
        <f>'Balance Sheet_ Standard Form'!N24/'Balance Sheet_ Standard Form'!N$34</f>
        <v>0.46839395729597433</v>
      </c>
      <c r="O24" s="59">
        <f>'Balance Sheet_ Standard Form'!O24/'Balance Sheet_ Standard Form'!O$34</f>
        <v>0.40007568431232393</v>
      </c>
      <c r="P24" s="59">
        <f>'Balance Sheet_ Standard Form'!P24/'Balance Sheet_ Standard Form'!P$34</f>
        <v>0.36500359089180856</v>
      </c>
    </row>
    <row r="25" spans="1:16" ht="13.5" customHeight="1" x14ac:dyDescent="0.2">
      <c r="A25" s="5" t="s">
        <v>5</v>
      </c>
      <c r="B25" s="59">
        <f>'Balance Sheet_ Standard Form'!B25/'Balance Sheet_ Standard Form'!B$34</f>
        <v>0.11403188257524351</v>
      </c>
      <c r="C25" s="59">
        <f>'Balance Sheet_ Standard Form'!C25/'Balance Sheet_ Standard Form'!C$34</f>
        <v>9.8369135276577618E-2</v>
      </c>
      <c r="D25" s="59">
        <f>'Balance Sheet_ Standard Form'!D25/'Balance Sheet_ Standard Form'!D$34</f>
        <v>0.11074109204882877</v>
      </c>
      <c r="E25" s="59"/>
      <c r="F25" s="59">
        <f>'Balance Sheet_ Standard Form'!F25/'Balance Sheet_ Standard Form'!F$34</f>
        <v>0.18224841003996164</v>
      </c>
      <c r="G25" s="59">
        <f>'Balance Sheet_ Standard Form'!G25/'Balance Sheet_ Standard Form'!G$34</f>
        <v>0.14969573888136009</v>
      </c>
      <c r="H25" s="59">
        <f>'Balance Sheet_ Standard Form'!H25/'Balance Sheet_ Standard Form'!H$34</f>
        <v>0.14209168975820374</v>
      </c>
      <c r="I25" s="59"/>
      <c r="J25" s="59">
        <f>'Balance Sheet_ Standard Form'!J25/'Balance Sheet_ Standard Form'!J$34</f>
        <v>0.18793675518238362</v>
      </c>
      <c r="K25" s="59">
        <f>'Balance Sheet_ Standard Form'!K25/'Balance Sheet_ Standard Form'!K$34</f>
        <v>0.17229541806392143</v>
      </c>
      <c r="L25" s="59">
        <f>'Balance Sheet_ Standard Form'!L25/'Balance Sheet_ Standard Form'!L$34</f>
        <v>0.19506658241475344</v>
      </c>
      <c r="M25" s="59"/>
      <c r="N25" s="59">
        <f>'Balance Sheet_ Standard Form'!N25/'Balance Sheet_ Standard Form'!N$34</f>
        <v>0.10456578614229049</v>
      </c>
      <c r="O25" s="59">
        <f>'Balance Sheet_ Standard Form'!O25/'Balance Sheet_ Standard Form'!O$34</f>
        <v>0.10524324097044108</v>
      </c>
      <c r="P25" s="59">
        <f>'Balance Sheet_ Standard Form'!P25/'Balance Sheet_ Standard Form'!P$34</f>
        <v>0.10333319251404673</v>
      </c>
    </row>
    <row r="26" spans="1:16" ht="13.5" customHeight="1" x14ac:dyDescent="0.2">
      <c r="A26" s="5" t="s">
        <v>4</v>
      </c>
      <c r="B26" s="58">
        <f>SUM(B22,B24:B25)</f>
        <v>0.51819102402154738</v>
      </c>
      <c r="C26" s="58">
        <f>SUM(C22,C24:C25)</f>
        <v>0.45277794681433703</v>
      </c>
      <c r="D26" s="58">
        <f>SUM(D22,D24:D25)</f>
        <v>0.46979132299571102</v>
      </c>
      <c r="E26" s="57"/>
      <c r="F26" s="58">
        <f>SUM(F22,F24:F25)</f>
        <v>0.8116023454165634</v>
      </c>
      <c r="G26" s="58">
        <f>SUM(G22,G24:G25)</f>
        <v>0.79831045182949367</v>
      </c>
      <c r="H26" s="58">
        <f>SUM(H22,H24:H25)</f>
        <v>0.77824416367924831</v>
      </c>
      <c r="I26" s="57"/>
      <c r="J26" s="58">
        <f>SUM(J22,J24:J25)</f>
        <v>0.62223810692300308</v>
      </c>
      <c r="K26" s="58">
        <f>SUM(K22,K24:K25)</f>
        <v>0.70670364425231647</v>
      </c>
      <c r="L26" s="58">
        <f>SUM(L22,L24:L25)</f>
        <v>0.68589638574894485</v>
      </c>
      <c r="M26" s="57"/>
      <c r="N26" s="58">
        <f>SUM(N22,N24:N25)</f>
        <v>0.73132753818887675</v>
      </c>
      <c r="O26" s="58">
        <f>SUM(O22,O24:O25)</f>
        <v>0.6757768153723247</v>
      </c>
      <c r="P26" s="58">
        <f>SUM(P22,P24:P25)</f>
        <v>0.62988466900426687</v>
      </c>
    </row>
    <row r="27" spans="1:16" ht="7.5" customHeight="1" x14ac:dyDescent="0.2">
      <c r="A27" s="8"/>
      <c r="B27" s="6"/>
      <c r="C27" s="6"/>
      <c r="D27" s="6"/>
      <c r="F27" s="6"/>
      <c r="G27" s="6"/>
      <c r="H27" s="6"/>
      <c r="J27" s="6"/>
      <c r="K27" s="6"/>
      <c r="L27" s="6"/>
      <c r="N27" s="6"/>
      <c r="O27" s="6"/>
      <c r="P27" s="6"/>
    </row>
    <row r="28" spans="1:16" ht="13.5" customHeight="1" x14ac:dyDescent="0.2">
      <c r="A28" s="5" t="s">
        <v>3</v>
      </c>
      <c r="B28" s="57">
        <f>'Balance Sheet_ Standard Form'!B28/'Balance Sheet_ Standard Form'!B34</f>
        <v>0.43131257242480869</v>
      </c>
      <c r="C28" s="57">
        <f>'Balance Sheet_ Standard Form'!C28/'Balance Sheet_ Standard Form'!C34</f>
        <v>0.49466520619079496</v>
      </c>
      <c r="D28" s="57">
        <f>'Balance Sheet_ Standard Form'!D28/'Balance Sheet_ Standard Form'!D34</f>
        <v>0.45816665291982844</v>
      </c>
      <c r="E28" s="57"/>
      <c r="F28" s="57">
        <f>'Balance Sheet_ Standard Form'!F28/'Balance Sheet_ Standard Form'!F34</f>
        <v>0.18839765458343674</v>
      </c>
      <c r="G28" s="57">
        <f>'Balance Sheet_ Standard Form'!G28/'Balance Sheet_ Standard Form'!G34</f>
        <v>0.20168954817050636</v>
      </c>
      <c r="H28" s="57">
        <f>'Balance Sheet_ Standard Form'!H28/'Balance Sheet_ Standard Form'!H34</f>
        <v>0.22175583632075163</v>
      </c>
      <c r="I28" s="57"/>
      <c r="J28" s="57">
        <f>'Balance Sheet_ Standard Form'!J28/'Balance Sheet_ Standard Form'!J34</f>
        <v>0.36602618130607806</v>
      </c>
      <c r="K28" s="57">
        <f>'Balance Sheet_ Standard Form'!K28/'Balance Sheet_ Standard Form'!K34</f>
        <v>0.28453536974936827</v>
      </c>
      <c r="L28" s="57">
        <f>'Balance Sheet_ Standard Form'!L28/'Balance Sheet_ Standard Form'!L34</f>
        <v>0.30480469938449295</v>
      </c>
      <c r="M28" s="57"/>
      <c r="N28" s="57">
        <f>'Balance Sheet_ Standard Form'!N28/'Balance Sheet_ Standard Form'!N34</f>
        <v>0.2546628407460545</v>
      </c>
      <c r="O28" s="57">
        <f>'Balance Sheet_ Standard Form'!O28/'Balance Sheet_ Standard Form'!O34</f>
        <v>0.31144094521296722</v>
      </c>
      <c r="P28" s="57">
        <f>'Balance Sheet_ Standard Form'!P28/'Balance Sheet_ Standard Form'!P34</f>
        <v>0.35714587469899878</v>
      </c>
    </row>
    <row r="29" spans="1:16" ht="7.5" customHeight="1" x14ac:dyDescent="0.2">
      <c r="A29" s="8"/>
      <c r="B29" s="6"/>
      <c r="C29" s="6"/>
      <c r="D29" s="6"/>
      <c r="F29" s="6"/>
      <c r="G29" s="6"/>
      <c r="H29" s="6"/>
      <c r="J29" s="6"/>
      <c r="K29" s="6"/>
      <c r="L29" s="6"/>
      <c r="N29" s="6"/>
      <c r="O29" s="6"/>
      <c r="P29" s="6"/>
    </row>
    <row r="30" spans="1:16" ht="13.5" customHeight="1" x14ac:dyDescent="0.2">
      <c r="A30" s="8" t="s">
        <v>2</v>
      </c>
      <c r="B30" s="56">
        <f>'Balance Sheet_ Standard Form'!B30/'Balance Sheet_ Standard Form'!B34</f>
        <v>5.0496403553643945E-2</v>
      </c>
      <c r="C30" s="56">
        <f>'Balance Sheet_ Standard Form'!C30/'Balance Sheet_ Standard Form'!C34</f>
        <v>5.2556846994868053E-2</v>
      </c>
      <c r="D30" s="56">
        <f>'Balance Sheet_ Standard Form'!D30/'Balance Sheet_ Standard Form'!D34</f>
        <v>7.2042024084460574E-2</v>
      </c>
      <c r="E30" s="56"/>
      <c r="F30" s="50" t="s">
        <v>9</v>
      </c>
      <c r="G30" s="50" t="s">
        <v>9</v>
      </c>
      <c r="H30" s="50" t="s">
        <v>9</v>
      </c>
      <c r="I30" s="56"/>
      <c r="J30" s="56">
        <f>'Balance Sheet_ Standard Form'!J30/'Balance Sheet_ Standard Form'!J34</f>
        <v>1.1735711770918906E-2</v>
      </c>
      <c r="K30" s="56">
        <f>'Balance Sheet_ Standard Form'!K30/'Balance Sheet_ Standard Form'!K34</f>
        <v>8.7609859983153477E-3</v>
      </c>
      <c r="L30" s="56">
        <f>'Balance Sheet_ Standard Form'!L30/'Balance Sheet_ Standard Form'!L34</f>
        <v>9.2989148665621312E-3</v>
      </c>
      <c r="M30" s="56"/>
      <c r="N30" s="56">
        <f>'Balance Sheet_ Standard Form'!N30/'Balance Sheet_ Standard Form'!N34</f>
        <v>1.4009621065068782E-2</v>
      </c>
      <c r="O30" s="56">
        <f>'Balance Sheet_ Standard Form'!O30/'Balance Sheet_ Standard Form'!O34</f>
        <v>1.2782239414707984E-2</v>
      </c>
      <c r="P30" s="56">
        <f>'Balance Sheet_ Standard Form'!P30/'Balance Sheet_ Standard Form'!P34</f>
        <v>1.29694562967344E-2</v>
      </c>
    </row>
    <row r="31" spans="1:16" ht="6" customHeight="1" x14ac:dyDescent="0.2">
      <c r="A31" s="8"/>
      <c r="B31" s="6"/>
      <c r="C31" s="6"/>
      <c r="D31" s="6"/>
      <c r="F31" s="6"/>
      <c r="G31" s="6"/>
      <c r="H31" s="6"/>
      <c r="J31" s="6"/>
      <c r="K31" s="6"/>
      <c r="L31" s="6"/>
      <c r="N31" s="6"/>
      <c r="O31" s="6"/>
      <c r="P31" s="6"/>
    </row>
    <row r="32" spans="1:16" ht="13.5" customHeight="1" x14ac:dyDescent="0.2">
      <c r="A32" s="5" t="s">
        <v>1</v>
      </c>
      <c r="B32" s="55">
        <f>'Balance Sheet_ Standard Form'!B32/'Balance Sheet_ Standard Form'!B34</f>
        <v>0.48180897597845262</v>
      </c>
      <c r="C32" s="55">
        <f>'Balance Sheet_ Standard Form'!C32/'Balance Sheet_ Standard Form'!C34</f>
        <v>0.54722205318566297</v>
      </c>
      <c r="D32" s="55">
        <f>'Balance Sheet_ Standard Form'!D32/'Balance Sheet_ Standard Form'!D34</f>
        <v>0.53020867700428898</v>
      </c>
      <c r="E32" s="55"/>
      <c r="F32" s="55">
        <f>'Balance Sheet_ Standard Form'!F32/'Balance Sheet_ Standard Form'!F34</f>
        <v>0.18839765458343674</v>
      </c>
      <c r="G32" s="55">
        <f>'Balance Sheet_ Standard Form'!G32/'Balance Sheet_ Standard Form'!G34</f>
        <v>0.20168954817050636</v>
      </c>
      <c r="H32" s="55">
        <f>'Balance Sheet_ Standard Form'!H32/'Balance Sheet_ Standard Form'!H34</f>
        <v>0.22175583632075163</v>
      </c>
      <c r="I32" s="55"/>
      <c r="J32" s="55">
        <f>'Balance Sheet_ Standard Form'!J32/'Balance Sheet_ Standard Form'!J34</f>
        <v>0.37776189307699692</v>
      </c>
      <c r="K32" s="55">
        <f>'Balance Sheet_ Standard Form'!K32/'Balance Sheet_ Standard Form'!K34</f>
        <v>0.29329635574768359</v>
      </c>
      <c r="L32" s="55">
        <f>'Balance Sheet_ Standard Form'!L32/'Balance Sheet_ Standard Form'!L34</f>
        <v>0.3141036142510551</v>
      </c>
      <c r="M32" s="55"/>
      <c r="N32" s="55">
        <f>'Balance Sheet_ Standard Form'!N32/'Balance Sheet_ Standard Form'!N34</f>
        <v>0.26867246181112331</v>
      </c>
      <c r="O32" s="55">
        <f>'Balance Sheet_ Standard Form'!O32/'Balance Sheet_ Standard Form'!O34</f>
        <v>0.32422318462767524</v>
      </c>
      <c r="P32" s="55">
        <f>'Balance Sheet_ Standard Form'!P32/'Balance Sheet_ Standard Form'!P34</f>
        <v>0.37011533099573318</v>
      </c>
    </row>
    <row r="33" spans="1:16" ht="8.25" customHeight="1" x14ac:dyDescent="0.2">
      <c r="A33" s="8"/>
      <c r="B33" s="6"/>
      <c r="C33" s="6"/>
      <c r="D33" s="6"/>
      <c r="F33" s="6"/>
      <c r="G33" s="6"/>
      <c r="H33" s="6"/>
      <c r="J33" s="6"/>
      <c r="K33" s="6"/>
      <c r="L33" s="6"/>
      <c r="N33" s="6"/>
      <c r="O33" s="6"/>
      <c r="P33" s="6"/>
    </row>
    <row r="34" spans="1:16" ht="13.5" customHeight="1" x14ac:dyDescent="0.2">
      <c r="A34" s="5" t="s">
        <v>0</v>
      </c>
      <c r="B34" s="55">
        <f>SUM(B26,B32)</f>
        <v>1</v>
      </c>
      <c r="C34" s="55">
        <f>SUM(C26,C32)</f>
        <v>1</v>
      </c>
      <c r="D34" s="55">
        <f>SUM(D26,D32)</f>
        <v>1</v>
      </c>
      <c r="E34" s="55"/>
      <c r="F34" s="55">
        <f>SUM(F26,F32)</f>
        <v>1.0000000000000002</v>
      </c>
      <c r="G34" s="55">
        <f>SUM(G26,G32)</f>
        <v>1</v>
      </c>
      <c r="H34" s="55">
        <f>SUM(H26,H32)</f>
        <v>1</v>
      </c>
      <c r="I34" s="55"/>
      <c r="J34" s="55">
        <f>SUM(J26,J32)</f>
        <v>1</v>
      </c>
      <c r="K34" s="55">
        <f>SUM(K26,K32)</f>
        <v>1</v>
      </c>
      <c r="L34" s="55">
        <f>SUM(L26,L32)</f>
        <v>1</v>
      </c>
      <c r="M34" s="55"/>
      <c r="N34" s="55">
        <f>SUM(N26,N32)</f>
        <v>1</v>
      </c>
      <c r="O34" s="55">
        <f>SUM(O26,O32)</f>
        <v>1</v>
      </c>
      <c r="P34" s="55">
        <f>SUM(P26,P32)</f>
        <v>1</v>
      </c>
    </row>
    <row r="35" spans="1:16" ht="13.5" customHeight="1" x14ac:dyDescent="0.2">
      <c r="A35" s="53"/>
      <c r="B35" s="6"/>
      <c r="C35" s="6"/>
      <c r="D35" s="6"/>
      <c r="F35" s="6"/>
      <c r="G35" s="6"/>
      <c r="H35" s="6"/>
      <c r="J35" s="6"/>
      <c r="K35" s="6"/>
      <c r="L35" s="6"/>
      <c r="N35" s="6"/>
      <c r="O35" s="6"/>
      <c r="P35" s="6"/>
    </row>
    <row r="36" spans="1:16" ht="13.5" customHeight="1" x14ac:dyDescent="0.2">
      <c r="A36" s="49"/>
      <c r="B36" s="6"/>
      <c r="C36" s="6"/>
      <c r="D36" s="6"/>
      <c r="F36" s="6"/>
      <c r="G36" s="6"/>
      <c r="H36" s="6"/>
      <c r="J36" s="6"/>
      <c r="K36" s="6"/>
      <c r="L36" s="6"/>
      <c r="N36" s="6"/>
      <c r="O36" s="6"/>
      <c r="P36" s="6"/>
    </row>
    <row r="37" spans="1:16" ht="13.5" customHeight="1" x14ac:dyDescent="0.2">
      <c r="A37" s="49"/>
      <c r="B37" s="11"/>
      <c r="C37" s="11"/>
      <c r="D37" s="11"/>
      <c r="F37" s="11"/>
      <c r="G37" s="11"/>
      <c r="H37" s="11"/>
      <c r="J37" s="11"/>
      <c r="K37" s="11"/>
      <c r="L37" s="11"/>
      <c r="N37" s="11"/>
      <c r="O37" s="11"/>
      <c r="P37" s="11"/>
    </row>
    <row r="38" spans="1:16" ht="13.5" customHeight="1" x14ac:dyDescent="0.2">
      <c r="A38" s="49"/>
      <c r="B38" s="11"/>
      <c r="C38" s="11"/>
      <c r="D38" s="11"/>
      <c r="F38" s="11"/>
      <c r="G38" s="11"/>
      <c r="H38" s="11"/>
      <c r="J38" s="11"/>
      <c r="K38" s="11"/>
      <c r="L38" s="11"/>
      <c r="N38" s="11"/>
      <c r="O38" s="11"/>
      <c r="P38" s="11"/>
    </row>
    <row r="39" spans="1:16" ht="13.5" customHeight="1" x14ac:dyDescent="0.2">
      <c r="A39" s="49"/>
      <c r="B39" s="54"/>
      <c r="C39" s="54"/>
      <c r="D39" s="54"/>
      <c r="F39" s="54"/>
      <c r="G39" s="54"/>
      <c r="H39" s="54"/>
      <c r="J39" s="54"/>
      <c r="K39" s="54"/>
      <c r="L39" s="54"/>
      <c r="N39" s="54"/>
      <c r="O39" s="54"/>
      <c r="P39" s="54"/>
    </row>
    <row r="40" spans="1:16" ht="13.5" customHeight="1" x14ac:dyDescent="0.2">
      <c r="A40" s="49"/>
      <c r="B40" s="11"/>
      <c r="C40" s="11"/>
      <c r="D40" s="11"/>
      <c r="F40" s="11"/>
      <c r="G40" s="11"/>
      <c r="H40" s="11"/>
      <c r="J40" s="11"/>
      <c r="K40" s="11"/>
      <c r="L40" s="11"/>
      <c r="N40" s="11"/>
      <c r="O40" s="11"/>
      <c r="P40" s="11"/>
    </row>
    <row r="41" spans="1:16" ht="13.5" customHeight="1" x14ac:dyDescent="0.2">
      <c r="A41" s="49"/>
      <c r="B41" s="54"/>
      <c r="C41" s="54"/>
      <c r="D41" s="54"/>
      <c r="F41" s="54"/>
      <c r="G41" s="54"/>
      <c r="H41" s="54"/>
      <c r="J41" s="54"/>
      <c r="K41" s="54"/>
      <c r="L41" s="54"/>
      <c r="N41" s="54"/>
      <c r="O41" s="54"/>
      <c r="P41" s="54"/>
    </row>
    <row r="42" spans="1:16" ht="13.5" customHeight="1" x14ac:dyDescent="0.2">
      <c r="A42" s="53"/>
      <c r="B42" s="11"/>
      <c r="C42" s="11"/>
      <c r="D42" s="11"/>
      <c r="F42" s="11"/>
      <c r="G42" s="11"/>
      <c r="H42" s="11"/>
      <c r="J42" s="11"/>
      <c r="K42" s="11"/>
      <c r="L42" s="11"/>
      <c r="N42" s="11"/>
      <c r="O42" s="11"/>
      <c r="P42" s="11"/>
    </row>
    <row r="43" spans="1:16" ht="13.5" customHeight="1" x14ac:dyDescent="0.2">
      <c r="A43" s="49"/>
      <c r="B43" s="11"/>
      <c r="C43" s="11"/>
      <c r="D43" s="11"/>
      <c r="F43" s="11"/>
      <c r="G43" s="11"/>
      <c r="H43" s="11"/>
      <c r="J43" s="11"/>
      <c r="K43" s="11"/>
      <c r="L43" s="11"/>
      <c r="N43" s="11"/>
      <c r="O43" s="11"/>
      <c r="P43" s="11"/>
    </row>
    <row r="44" spans="1:16" ht="13.5" customHeight="1" x14ac:dyDescent="0.2">
      <c r="A44" s="49"/>
      <c r="B44" s="11"/>
      <c r="C44" s="11"/>
      <c r="D44" s="11"/>
      <c r="F44" s="11"/>
      <c r="G44" s="11"/>
      <c r="H44" s="11"/>
      <c r="J44" s="11"/>
      <c r="K44" s="11"/>
      <c r="L44" s="11"/>
      <c r="N44" s="11"/>
      <c r="O44" s="11"/>
      <c r="P44" s="11"/>
    </row>
    <row r="45" spans="1:16" ht="13.5" customHeight="1" x14ac:dyDescent="0.2">
      <c r="A45" s="49"/>
      <c r="B45" s="11"/>
      <c r="C45" s="11"/>
      <c r="D45" s="11"/>
      <c r="F45" s="11"/>
      <c r="G45" s="11"/>
      <c r="H45" s="11"/>
      <c r="J45" s="11"/>
      <c r="K45" s="11"/>
      <c r="L45" s="11"/>
      <c r="N45" s="11"/>
      <c r="O45" s="11"/>
      <c r="P45" s="11"/>
    </row>
    <row r="46" spans="1:16" ht="13.5" customHeight="1" x14ac:dyDescent="0.2">
      <c r="A46" s="53"/>
      <c r="B46" s="11"/>
      <c r="C46" s="11"/>
      <c r="D46" s="11"/>
      <c r="F46" s="50"/>
      <c r="G46" s="50"/>
      <c r="H46" s="50"/>
      <c r="J46" s="11"/>
      <c r="K46" s="11"/>
      <c r="L46" s="11"/>
      <c r="N46" s="11"/>
      <c r="O46" s="11"/>
      <c r="P46" s="11"/>
    </row>
    <row r="47" spans="1:16" ht="13.5" customHeight="1" x14ac:dyDescent="0.2">
      <c r="A47" s="49"/>
      <c r="B47" s="11"/>
      <c r="C47" s="11"/>
      <c r="D47" s="11"/>
      <c r="F47" s="50"/>
      <c r="G47" s="50"/>
      <c r="H47" s="50"/>
      <c r="J47" s="50"/>
      <c r="K47" s="50"/>
      <c r="L47" s="50"/>
      <c r="N47" s="50"/>
      <c r="O47" s="50"/>
      <c r="P47" s="50"/>
    </row>
    <row r="48" spans="1:16" ht="13.5" customHeight="1" x14ac:dyDescent="0.2">
      <c r="A48" s="53"/>
      <c r="B48" s="50"/>
      <c r="C48" s="50"/>
      <c r="D48" s="50"/>
      <c r="F48" s="50"/>
      <c r="G48" s="50"/>
      <c r="H48" s="50"/>
      <c r="J48" s="11"/>
      <c r="K48" s="11"/>
      <c r="L48" s="11"/>
      <c r="N48" s="11"/>
      <c r="O48" s="11"/>
      <c r="P48" s="11"/>
    </row>
    <row r="49" spans="1:16" ht="13.5" customHeight="1" x14ac:dyDescent="0.2">
      <c r="A49" s="49"/>
      <c r="B49" s="11"/>
      <c r="C49" s="11"/>
      <c r="D49" s="11"/>
      <c r="F49" s="11"/>
      <c r="G49" s="11"/>
      <c r="H49" s="11"/>
      <c r="J49" s="11"/>
      <c r="K49" s="11"/>
      <c r="L49" s="11"/>
      <c r="N49" s="11"/>
      <c r="O49" s="11"/>
      <c r="P49" s="11"/>
    </row>
    <row r="50" spans="1:16" ht="13.5" customHeight="1" x14ac:dyDescent="0.2">
      <c r="A50" s="53"/>
      <c r="B50" s="11"/>
      <c r="C50" s="11"/>
      <c r="D50" s="11"/>
      <c r="F50" s="11"/>
      <c r="G50" s="11"/>
      <c r="H50" s="11"/>
      <c r="J50" s="11"/>
      <c r="K50" s="11"/>
      <c r="L50" s="11"/>
      <c r="N50" s="11"/>
      <c r="O50" s="11"/>
      <c r="P50" s="11"/>
    </row>
    <row r="51" spans="1:16" ht="13.5" customHeight="1" x14ac:dyDescent="0.2">
      <c r="A51" s="49"/>
      <c r="B51" s="11"/>
      <c r="C51" s="11"/>
      <c r="D51" s="11"/>
      <c r="F51" s="11"/>
      <c r="G51" s="11"/>
      <c r="H51" s="11"/>
      <c r="J51" s="11"/>
      <c r="K51" s="11"/>
      <c r="L51" s="11"/>
      <c r="N51" s="52"/>
      <c r="O51" s="52"/>
      <c r="P51" s="52"/>
    </row>
    <row r="52" spans="1:16" ht="13.5" customHeight="1" x14ac:dyDescent="0.2">
      <c r="A52" s="49"/>
      <c r="B52" s="11"/>
      <c r="C52" s="11"/>
      <c r="D52" s="11"/>
      <c r="F52" s="11"/>
      <c r="G52" s="11"/>
      <c r="H52" s="11"/>
      <c r="J52" s="52"/>
      <c r="K52" s="52"/>
      <c r="L52" s="52"/>
      <c r="N52" s="11"/>
      <c r="O52" s="11"/>
      <c r="P52" s="11"/>
    </row>
    <row r="53" spans="1:16" ht="13.5" customHeight="1" x14ac:dyDescent="0.2">
      <c r="A53" s="49"/>
      <c r="B53" s="11"/>
      <c r="C53" s="11"/>
      <c r="D53" s="11"/>
      <c r="F53" s="11"/>
      <c r="G53" s="11"/>
      <c r="H53" s="11"/>
      <c r="J53" s="11"/>
      <c r="K53" s="11"/>
      <c r="L53" s="11"/>
      <c r="N53" s="11"/>
      <c r="O53" s="11"/>
      <c r="P53" s="11"/>
    </row>
    <row r="54" spans="1:16" ht="13.5" customHeight="1" x14ac:dyDescent="0.2">
      <c r="A54" s="49"/>
      <c r="B54" s="52"/>
      <c r="C54" s="52"/>
      <c r="D54" s="52"/>
      <c r="F54" s="52"/>
      <c r="G54" s="52"/>
      <c r="H54" s="52"/>
      <c r="J54" s="51"/>
      <c r="K54" s="51"/>
      <c r="L54" s="51"/>
      <c r="N54" s="11"/>
      <c r="O54" s="11"/>
      <c r="P54" s="11"/>
    </row>
    <row r="55" spans="1:16" ht="13.5" customHeight="1" x14ac:dyDescent="0.2">
      <c r="A55" s="49"/>
      <c r="B55" s="11"/>
      <c r="C55" s="11"/>
      <c r="D55" s="11"/>
      <c r="F55" s="52"/>
      <c r="G55" s="52"/>
      <c r="H55" s="52"/>
      <c r="J55" s="50"/>
      <c r="K55" s="50"/>
      <c r="L55" s="50"/>
      <c r="N55" s="51"/>
      <c r="O55" s="51"/>
      <c r="P55" s="51"/>
    </row>
    <row r="56" spans="1:16" ht="13.5" customHeight="1" x14ac:dyDescent="0.2">
      <c r="A56" s="49"/>
      <c r="B56" s="11"/>
      <c r="C56" s="11"/>
      <c r="D56" s="11"/>
      <c r="F56" s="52"/>
      <c r="G56" s="52"/>
      <c r="H56" s="52"/>
      <c r="J56" s="50"/>
      <c r="K56" s="50"/>
      <c r="L56" s="50"/>
      <c r="N56" s="50"/>
      <c r="O56" s="50"/>
      <c r="P56" s="50"/>
    </row>
    <row r="57" spans="1:16" ht="13.5" customHeight="1" x14ac:dyDescent="0.2">
      <c r="A57" s="49"/>
      <c r="B57" s="11"/>
      <c r="C57" s="11"/>
      <c r="D57" s="11"/>
      <c r="F57" s="52"/>
      <c r="G57" s="52"/>
      <c r="H57" s="52"/>
      <c r="N57" s="50"/>
      <c r="O57" s="50"/>
      <c r="P57" s="50"/>
    </row>
    <row r="58" spans="1:16" ht="13.5" customHeight="1" x14ac:dyDescent="0.2">
      <c r="A58" s="49"/>
      <c r="B58" s="11"/>
      <c r="C58" s="11"/>
      <c r="D58" s="11"/>
      <c r="F58" s="52"/>
      <c r="G58" s="52"/>
      <c r="H58" s="52"/>
    </row>
    <row r="59" spans="1:16" ht="13.5" customHeight="1" x14ac:dyDescent="0.2">
      <c r="A59" s="49"/>
      <c r="B59" s="51"/>
      <c r="C59" s="51"/>
      <c r="D59" s="51"/>
      <c r="F59" s="51"/>
      <c r="G59" s="51"/>
      <c r="H59" s="51"/>
    </row>
    <row r="60" spans="1:16" ht="13.5" customHeight="1" x14ac:dyDescent="0.2">
      <c r="A60" s="49"/>
      <c r="B60" s="50"/>
      <c r="C60" s="50"/>
      <c r="D60" s="50"/>
      <c r="F60" s="50"/>
      <c r="G60" s="50"/>
      <c r="H60" s="50"/>
    </row>
    <row r="61" spans="1:16" ht="13.5" customHeight="1" x14ac:dyDescent="0.2">
      <c r="A61" s="49"/>
      <c r="B61" s="50"/>
      <c r="C61" s="50"/>
      <c r="D61" s="50"/>
      <c r="F61" s="50"/>
      <c r="G61" s="50"/>
      <c r="H61" s="50"/>
    </row>
    <row r="62" spans="1:16" ht="13.5" customHeight="1" x14ac:dyDescent="0.2">
      <c r="A62" s="49"/>
    </row>
    <row r="63" spans="1:16" ht="13.5" customHeight="1" x14ac:dyDescent="0.2">
      <c r="A63" s="49"/>
    </row>
    <row r="64" spans="1:16" ht="13.5" customHeight="1" x14ac:dyDescent="0.2">
      <c r="A64" s="49"/>
    </row>
    <row r="65" spans="1:1" ht="13.5" customHeight="1" x14ac:dyDescent="0.2">
      <c r="A65" s="49"/>
    </row>
    <row r="66" spans="1:1" ht="13.5" customHeight="1" x14ac:dyDescent="0.2">
      <c r="A66" s="49"/>
    </row>
    <row r="67" spans="1:1" ht="13.5" customHeight="1" x14ac:dyDescent="0.2">
      <c r="A67" s="49"/>
    </row>
    <row r="68" spans="1:1" ht="13.5" customHeight="1" x14ac:dyDescent="0.2">
      <c r="A68" s="49"/>
    </row>
    <row r="69" spans="1:1" ht="13.5" customHeight="1" x14ac:dyDescent="0.2">
      <c r="A69" s="49"/>
    </row>
    <row r="70" spans="1:1" ht="13.5" customHeight="1" x14ac:dyDescent="0.2">
      <c r="A70" s="49"/>
    </row>
    <row r="71" spans="1:1" ht="13.5" customHeight="1" x14ac:dyDescent="0.2">
      <c r="A71" s="49"/>
    </row>
    <row r="72" spans="1:1" ht="13.5" customHeight="1" x14ac:dyDescent="0.2">
      <c r="A72" s="49"/>
    </row>
    <row r="73" spans="1:1" ht="13.5" customHeight="1" x14ac:dyDescent="0.2">
      <c r="A73" s="49"/>
    </row>
    <row r="74" spans="1:1" ht="13.5" customHeight="1" x14ac:dyDescent="0.2">
      <c r="A74" s="49"/>
    </row>
    <row r="75" spans="1:1" ht="13.5" customHeight="1" x14ac:dyDescent="0.2">
      <c r="A75" s="49"/>
    </row>
    <row r="76" spans="1:1" ht="13.5" customHeight="1" x14ac:dyDescent="0.2"/>
    <row r="77" spans="1:1" ht="13.5" customHeight="1" x14ac:dyDescent="0.2"/>
    <row r="78" spans="1:1" ht="13.5" customHeight="1" x14ac:dyDescent="0.2"/>
    <row r="79" spans="1:1" ht="13.5" customHeight="1" x14ac:dyDescent="0.2"/>
    <row r="80" spans="1:1"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sheetData>
  <mergeCells count="4">
    <mergeCell ref="B1:D1"/>
    <mergeCell ref="F1:H1"/>
    <mergeCell ref="J1:L1"/>
    <mergeCell ref="N1:P1"/>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29E21-CCF7-433F-BA8F-ADBA5E20CB47}">
  <dimension ref="A1:P24"/>
  <sheetViews>
    <sheetView showGridLines="0" zoomScaleNormal="100" workbookViewId="0">
      <selection sqref="A1:P34"/>
    </sheetView>
  </sheetViews>
  <sheetFormatPr defaultColWidth="8.85546875" defaultRowHeight="12" x14ac:dyDescent="0.2"/>
  <cols>
    <col min="1" max="1" width="33.42578125" style="2" customWidth="1"/>
    <col min="2" max="2" width="12.140625" style="2" customWidth="1"/>
    <col min="3" max="3" width="12" style="2" customWidth="1"/>
    <col min="4" max="4" width="11.85546875" style="2" customWidth="1"/>
    <col min="5" max="5" width="8.28515625" style="2" customWidth="1"/>
    <col min="6" max="7" width="11.28515625" style="2" customWidth="1"/>
    <col min="8" max="8" width="11.42578125" style="2" customWidth="1"/>
    <col min="9" max="9" width="8.140625" style="2" customWidth="1"/>
    <col min="10" max="10" width="12" style="2" customWidth="1"/>
    <col min="11" max="11" width="12.140625" style="2" customWidth="1"/>
    <col min="12" max="12" width="11.7109375" style="2" customWidth="1"/>
    <col min="13" max="13" width="8.140625" style="2" customWidth="1"/>
    <col min="14" max="14" width="11.5703125" style="2" customWidth="1"/>
    <col min="15" max="15" width="12" style="2" customWidth="1"/>
    <col min="16" max="16" width="12.42578125" style="2" customWidth="1"/>
    <col min="17" max="16384" width="8.85546875" style="1"/>
  </cols>
  <sheetData>
    <row r="1" spans="1:16" x14ac:dyDescent="0.2">
      <c r="B1" s="220" t="s">
        <v>31</v>
      </c>
      <c r="C1" s="221"/>
      <c r="D1" s="221"/>
      <c r="F1" s="220" t="s">
        <v>30</v>
      </c>
      <c r="G1" s="221"/>
      <c r="H1" s="221"/>
      <c r="J1" s="220" t="s">
        <v>29</v>
      </c>
      <c r="K1" s="221"/>
      <c r="L1" s="221"/>
      <c r="N1" s="220" t="s">
        <v>28</v>
      </c>
      <c r="O1" s="221"/>
      <c r="P1" s="221"/>
    </row>
    <row r="2" spans="1:16" x14ac:dyDescent="0.2">
      <c r="A2" s="31"/>
      <c r="B2" s="29">
        <v>43008</v>
      </c>
      <c r="C2" s="29">
        <v>43372</v>
      </c>
      <c r="D2" s="29" t="s">
        <v>27</v>
      </c>
      <c r="F2" s="29">
        <v>43100</v>
      </c>
      <c r="G2" s="29">
        <v>43465</v>
      </c>
      <c r="H2" s="29">
        <v>43738</v>
      </c>
      <c r="J2" s="30" t="s">
        <v>26</v>
      </c>
      <c r="K2" s="29">
        <v>43465</v>
      </c>
      <c r="L2" s="29">
        <v>43738</v>
      </c>
      <c r="N2" s="29">
        <v>43008</v>
      </c>
      <c r="O2" s="29">
        <v>43373</v>
      </c>
      <c r="P2" s="29" t="s">
        <v>50</v>
      </c>
    </row>
    <row r="3" spans="1:16" ht="6.75" customHeight="1" x14ac:dyDescent="0.2">
      <c r="B3" s="48"/>
      <c r="C3" s="48"/>
      <c r="D3" s="48"/>
      <c r="F3" s="48"/>
      <c r="G3" s="48"/>
      <c r="H3" s="48"/>
      <c r="J3" s="48"/>
      <c r="K3" s="48"/>
      <c r="L3" s="48"/>
      <c r="N3" s="48"/>
      <c r="O3" s="48"/>
      <c r="P3" s="48"/>
    </row>
    <row r="4" spans="1:16" ht="13.5" customHeight="1" x14ac:dyDescent="0.2">
      <c r="A4" s="33" t="s">
        <v>49</v>
      </c>
      <c r="B4" s="12">
        <v>55137</v>
      </c>
      <c r="C4" s="12">
        <v>59434</v>
      </c>
      <c r="D4" s="12">
        <v>69570</v>
      </c>
      <c r="F4" s="12">
        <v>11692.713</v>
      </c>
      <c r="G4" s="12">
        <v>15794.341</v>
      </c>
      <c r="H4" s="12">
        <v>18875.853999999999</v>
      </c>
      <c r="J4" s="12">
        <v>85029</v>
      </c>
      <c r="K4" s="12">
        <v>94507</v>
      </c>
      <c r="L4" s="12">
        <v>108390</v>
      </c>
      <c r="N4" s="12">
        <v>13263</v>
      </c>
      <c r="O4" s="12">
        <v>12943</v>
      </c>
      <c r="P4" s="12">
        <v>12838</v>
      </c>
    </row>
    <row r="5" spans="1:16" ht="6.75" customHeight="1" x14ac:dyDescent="0.2">
      <c r="A5" s="7"/>
      <c r="B5" s="7"/>
      <c r="C5" s="7"/>
      <c r="D5" s="7"/>
      <c r="F5" s="7"/>
      <c r="G5" s="7"/>
      <c r="H5" s="7"/>
      <c r="J5" s="7"/>
      <c r="K5" s="7"/>
      <c r="L5" s="7"/>
      <c r="N5" s="7"/>
      <c r="O5" s="7"/>
      <c r="P5" s="7"/>
    </row>
    <row r="6" spans="1:16" ht="13.5" customHeight="1" x14ac:dyDescent="0.2">
      <c r="A6" s="7" t="s">
        <v>48</v>
      </c>
      <c r="B6" s="10">
        <v>30191</v>
      </c>
      <c r="C6" s="10">
        <v>32726</v>
      </c>
      <c r="D6" s="10">
        <v>42018</v>
      </c>
      <c r="F6" s="10">
        <v>8033</v>
      </c>
      <c r="G6" s="10">
        <v>9967.5380000000005</v>
      </c>
      <c r="H6" s="10">
        <v>11707.59</v>
      </c>
      <c r="J6" s="10">
        <v>25355</v>
      </c>
      <c r="K6" s="10">
        <v>29692</v>
      </c>
      <c r="L6" s="10">
        <v>34392</v>
      </c>
      <c r="N6" s="10">
        <v>7292</v>
      </c>
      <c r="O6" s="10">
        <v>6879</v>
      </c>
      <c r="P6" s="10">
        <v>6761</v>
      </c>
    </row>
    <row r="7" spans="1:16" ht="13.5" customHeight="1" x14ac:dyDescent="0.2">
      <c r="A7" s="33" t="s">
        <v>47</v>
      </c>
      <c r="B7" s="14">
        <f>B4-B6</f>
        <v>24946</v>
      </c>
      <c r="C7" s="14">
        <f>C4-C6</f>
        <v>26708</v>
      </c>
      <c r="D7" s="14">
        <f>D4-D6</f>
        <v>27552</v>
      </c>
      <c r="E7" s="12"/>
      <c r="F7" s="14">
        <f>F4-F6</f>
        <v>3659.7129999999997</v>
      </c>
      <c r="G7" s="14">
        <f>G4-G6</f>
        <v>5826.8029999999999</v>
      </c>
      <c r="H7" s="14">
        <f>H4-H6</f>
        <v>7168.2639999999992</v>
      </c>
      <c r="I7" s="12"/>
      <c r="J7" s="14">
        <f>J4-J6</f>
        <v>59674</v>
      </c>
      <c r="K7" s="14">
        <f>K4-K6</f>
        <v>64815</v>
      </c>
      <c r="L7" s="14">
        <f>L4-L6</f>
        <v>73998</v>
      </c>
      <c r="M7" s="12"/>
      <c r="N7" s="14">
        <f>N4-N6</f>
        <v>5971</v>
      </c>
      <c r="O7" s="14">
        <f>O4-O6</f>
        <v>6064</v>
      </c>
      <c r="P7" s="14">
        <f>P4-P6</f>
        <v>6077</v>
      </c>
    </row>
    <row r="8" spans="1:16" ht="13.5" customHeight="1" x14ac:dyDescent="0.2">
      <c r="A8" s="7" t="s">
        <v>46</v>
      </c>
      <c r="B8" s="10">
        <v>8176</v>
      </c>
      <c r="C8" s="10">
        <v>8860</v>
      </c>
      <c r="D8" s="10">
        <v>11438.8</v>
      </c>
      <c r="F8" s="10">
        <v>1867.3240000000001</v>
      </c>
      <c r="G8" s="10">
        <v>2999.7629999999999</v>
      </c>
      <c r="H8" s="10">
        <v>3339.1930000000002</v>
      </c>
      <c r="J8" s="10">
        <v>31968</v>
      </c>
      <c r="K8" s="10">
        <v>34791</v>
      </c>
      <c r="L8" s="10">
        <v>40323</v>
      </c>
      <c r="N8" s="10">
        <v>3005</v>
      </c>
      <c r="O8" s="10">
        <v>3056</v>
      </c>
      <c r="P8" s="10">
        <v>3150</v>
      </c>
    </row>
    <row r="9" spans="1:16" ht="13.5" customHeight="1" x14ac:dyDescent="0.2">
      <c r="A9" s="7" t="s">
        <v>45</v>
      </c>
      <c r="B9" s="10" t="s">
        <v>9</v>
      </c>
      <c r="C9" s="10" t="s">
        <v>9</v>
      </c>
      <c r="D9" s="10" t="s">
        <v>9</v>
      </c>
      <c r="F9" s="10">
        <v>953.71</v>
      </c>
      <c r="G9" s="10">
        <v>1221.8140000000001</v>
      </c>
      <c r="H9" s="10">
        <v>1467.5619999999999</v>
      </c>
      <c r="J9" s="10" t="s">
        <v>9</v>
      </c>
      <c r="K9" s="10" t="s">
        <v>9</v>
      </c>
      <c r="L9" s="10" t="s">
        <v>9</v>
      </c>
      <c r="N9" s="10" t="s">
        <v>9</v>
      </c>
      <c r="O9" s="10" t="s">
        <v>9</v>
      </c>
      <c r="P9" s="10" t="s">
        <v>9</v>
      </c>
    </row>
    <row r="10" spans="1:16" ht="13.5" customHeight="1" x14ac:dyDescent="0.2">
      <c r="A10" s="7" t="s">
        <v>44</v>
      </c>
      <c r="B10" s="10">
        <v>2782</v>
      </c>
      <c r="C10" s="10">
        <v>3011</v>
      </c>
      <c r="D10" s="10">
        <v>4160</v>
      </c>
      <c r="F10" s="28">
        <v>0</v>
      </c>
      <c r="G10" s="28">
        <v>0</v>
      </c>
      <c r="H10" s="28">
        <v>0</v>
      </c>
      <c r="J10" s="10">
        <v>7914</v>
      </c>
      <c r="K10" s="10">
        <v>8281</v>
      </c>
      <c r="L10" s="10">
        <v>8772</v>
      </c>
      <c r="N10" s="10">
        <v>223</v>
      </c>
      <c r="O10" s="10">
        <v>213</v>
      </c>
      <c r="P10" s="10">
        <v>215</v>
      </c>
    </row>
    <row r="11" spans="1:16" s="20" customFormat="1" ht="13.5" customHeight="1" x14ac:dyDescent="0.2">
      <c r="A11" s="43" t="s">
        <v>43</v>
      </c>
      <c r="B11" s="46">
        <v>0</v>
      </c>
      <c r="C11" s="46">
        <v>0</v>
      </c>
      <c r="D11" s="28">
        <v>0</v>
      </c>
      <c r="E11" s="47"/>
      <c r="F11" s="46">
        <v>0</v>
      </c>
      <c r="G11" s="46">
        <v>0</v>
      </c>
      <c r="H11" s="46">
        <v>0</v>
      </c>
      <c r="I11" s="47"/>
      <c r="J11" s="28">
        <v>2216</v>
      </c>
      <c r="K11" s="28">
        <v>2736</v>
      </c>
      <c r="L11" s="28">
        <v>4201</v>
      </c>
      <c r="M11" s="47"/>
      <c r="N11" s="46">
        <v>0</v>
      </c>
      <c r="O11" s="46">
        <v>0</v>
      </c>
      <c r="P11" s="46">
        <v>0</v>
      </c>
    </row>
    <row r="12" spans="1:16" ht="13.5" customHeight="1" x14ac:dyDescent="0.2">
      <c r="A12" s="33" t="s">
        <v>42</v>
      </c>
      <c r="B12" s="45">
        <f>B7-SUM(B8:B11)</f>
        <v>13988</v>
      </c>
      <c r="C12" s="45">
        <f>C7-SUM(C8:C11)</f>
        <v>14837</v>
      </c>
      <c r="D12" s="45">
        <f>D7-SUM(D8:D11)</f>
        <v>11953.2</v>
      </c>
      <c r="E12" s="12"/>
      <c r="F12" s="45">
        <f>F7-SUM(F8:F11)</f>
        <v>838.67899999999963</v>
      </c>
      <c r="G12" s="45">
        <f>G7-SUM(G8:G11)</f>
        <v>1605.2259999999997</v>
      </c>
      <c r="H12" s="45">
        <f>H7-SUM(H8:H11)</f>
        <v>2361.5089999999991</v>
      </c>
      <c r="I12" s="12"/>
      <c r="J12" s="45">
        <f>J7-SUM(J8:J11)</f>
        <v>17576</v>
      </c>
      <c r="K12" s="45">
        <f>K7-SUM(K8:K11)</f>
        <v>19007</v>
      </c>
      <c r="L12" s="45">
        <f>L7-SUM(L8:L11)</f>
        <v>20702</v>
      </c>
      <c r="M12" s="12"/>
      <c r="N12" s="45">
        <f>N7-SUM(N8:N11)</f>
        <v>2743</v>
      </c>
      <c r="O12" s="45">
        <f>O7-SUM(O8:O11)</f>
        <v>2795</v>
      </c>
      <c r="P12" s="45">
        <f>P7-SUM(P8:P11)</f>
        <v>2712</v>
      </c>
    </row>
    <row r="13" spans="1:16" ht="13.5" customHeight="1" x14ac:dyDescent="0.2">
      <c r="A13" s="7" t="s">
        <v>41</v>
      </c>
      <c r="B13" s="10">
        <v>-412</v>
      </c>
      <c r="C13" s="10">
        <v>-574</v>
      </c>
      <c r="D13" s="10">
        <v>-980</v>
      </c>
      <c r="F13" s="10">
        <v>-225.4</v>
      </c>
      <c r="G13" s="10">
        <v>-377.8</v>
      </c>
      <c r="H13" s="10">
        <v>-509.2</v>
      </c>
      <c r="J13" s="10">
        <v>-2755</v>
      </c>
      <c r="K13" s="10">
        <v>-3216</v>
      </c>
      <c r="L13" s="10">
        <v>-4326</v>
      </c>
      <c r="N13" s="10">
        <v>-618</v>
      </c>
      <c r="O13" s="10">
        <v>-560</v>
      </c>
      <c r="P13" s="10">
        <v>-489</v>
      </c>
    </row>
    <row r="14" spans="1:16" ht="13.5" customHeight="1" x14ac:dyDescent="0.2">
      <c r="A14" s="43" t="s">
        <v>40</v>
      </c>
      <c r="B14" s="10">
        <v>320</v>
      </c>
      <c r="C14" s="10">
        <v>-102</v>
      </c>
      <c r="D14" s="10">
        <v>-103</v>
      </c>
      <c r="E14" s="10"/>
      <c r="F14" s="44">
        <v>-128</v>
      </c>
      <c r="G14" s="44">
        <v>-1</v>
      </c>
      <c r="H14" s="44">
        <v>180</v>
      </c>
      <c r="I14" s="10"/>
      <c r="J14" s="10">
        <v>107</v>
      </c>
      <c r="K14" s="10">
        <v>-364</v>
      </c>
      <c r="L14" s="10">
        <v>-603</v>
      </c>
      <c r="M14" s="10"/>
      <c r="N14" s="10">
        <v>86</v>
      </c>
      <c r="O14" s="10">
        <v>-8</v>
      </c>
      <c r="P14" s="10">
        <v>-12</v>
      </c>
    </row>
    <row r="15" spans="1:16" s="20" customFormat="1" ht="13.5" customHeight="1" x14ac:dyDescent="0.2">
      <c r="A15" s="43" t="s">
        <v>39</v>
      </c>
      <c r="B15" s="25">
        <v>-108</v>
      </c>
      <c r="C15" s="25">
        <v>568</v>
      </c>
      <c r="D15" s="42">
        <v>3073.8</v>
      </c>
      <c r="E15" s="42"/>
      <c r="F15" s="25" t="s">
        <v>9</v>
      </c>
      <c r="G15" s="25" t="s">
        <v>9</v>
      </c>
      <c r="H15" s="25" t="s">
        <v>9</v>
      </c>
      <c r="I15" s="42"/>
      <c r="J15" s="10">
        <v>425</v>
      </c>
      <c r="K15" s="10">
        <v>-185</v>
      </c>
      <c r="L15" s="10">
        <v>230</v>
      </c>
      <c r="M15" s="42"/>
      <c r="N15" s="42">
        <v>4</v>
      </c>
      <c r="O15" s="42">
        <v>-199</v>
      </c>
      <c r="P15" s="41">
        <v>-178</v>
      </c>
    </row>
    <row r="16" spans="1:16" ht="13.5" customHeight="1" x14ac:dyDescent="0.2">
      <c r="A16" s="7" t="s">
        <v>38</v>
      </c>
      <c r="B16" s="10">
        <v>-4422</v>
      </c>
      <c r="C16" s="10">
        <v>-1663</v>
      </c>
      <c r="D16" s="10">
        <v>-3031</v>
      </c>
      <c r="F16" s="10">
        <v>-73.599999999999994</v>
      </c>
      <c r="G16" s="10">
        <v>-15.215999999999999</v>
      </c>
      <c r="H16" s="10">
        <v>-618.41399999999999</v>
      </c>
      <c r="J16" s="10">
        <v>-7569</v>
      </c>
      <c r="K16" s="10">
        <v>-3380</v>
      </c>
      <c r="L16" s="10">
        <v>-3298</v>
      </c>
      <c r="N16" s="10">
        <v>-293</v>
      </c>
      <c r="O16" s="10">
        <v>-269</v>
      </c>
      <c r="P16" s="10">
        <v>-445</v>
      </c>
    </row>
    <row r="17" spans="1:16" s="37" customFormat="1" ht="13.5" customHeight="1" x14ac:dyDescent="0.2">
      <c r="A17" s="40" t="s">
        <v>37</v>
      </c>
      <c r="B17" s="28">
        <v>0</v>
      </c>
      <c r="C17" s="28">
        <v>0</v>
      </c>
      <c r="D17" s="39">
        <v>613</v>
      </c>
      <c r="E17" s="38"/>
      <c r="F17" s="28">
        <v>0</v>
      </c>
      <c r="G17" s="28">
        <v>0</v>
      </c>
      <c r="H17" s="28">
        <v>0</v>
      </c>
      <c r="I17" s="28"/>
      <c r="J17" s="28">
        <v>0</v>
      </c>
      <c r="K17" s="28">
        <v>0</v>
      </c>
      <c r="L17" s="28">
        <v>0</v>
      </c>
      <c r="M17" s="28"/>
      <c r="N17" s="28">
        <v>0</v>
      </c>
      <c r="O17" s="28">
        <v>0</v>
      </c>
      <c r="P17" s="28">
        <v>0</v>
      </c>
    </row>
    <row r="18" spans="1:16" ht="13.5" customHeight="1" x14ac:dyDescent="0.2">
      <c r="A18" s="33" t="s">
        <v>36</v>
      </c>
      <c r="B18" s="35">
        <f>B12+SUM(B13:B17)</f>
        <v>9366</v>
      </c>
      <c r="C18" s="35">
        <f>C12+SUM(C13:C17)</f>
        <v>13066</v>
      </c>
      <c r="D18" s="35">
        <f>D12+SUM(D13:D17)</f>
        <v>11526</v>
      </c>
      <c r="E18" s="36"/>
      <c r="F18" s="35">
        <f>F12+SUM(F13:F17)</f>
        <v>411.67899999999963</v>
      </c>
      <c r="G18" s="35">
        <f>G12+SUM(G13:G17)</f>
        <v>1211.2099999999996</v>
      </c>
      <c r="H18" s="35">
        <f>H12+SUM(H13:H17)</f>
        <v>1413.8949999999991</v>
      </c>
      <c r="I18" s="36"/>
      <c r="J18" s="35">
        <f>J12+SUM(J13:J17)</f>
        <v>7784</v>
      </c>
      <c r="K18" s="35">
        <f>K12+SUM(K13:K17)</f>
        <v>11862</v>
      </c>
      <c r="L18" s="35">
        <f>L12+SUM(L13:L17)</f>
        <v>12705</v>
      </c>
      <c r="M18" s="36"/>
      <c r="N18" s="35">
        <f>N12+SUM(N13:N17)</f>
        <v>1922</v>
      </c>
      <c r="O18" s="35">
        <f>O12+SUM(O13:O17)</f>
        <v>1759</v>
      </c>
      <c r="P18" s="35">
        <f>P12+SUM(P13:P17)</f>
        <v>1588</v>
      </c>
    </row>
    <row r="19" spans="1:16" ht="13.5" customHeight="1" x14ac:dyDescent="0.2">
      <c r="A19" s="7" t="s">
        <v>35</v>
      </c>
      <c r="B19" s="10">
        <v>-386</v>
      </c>
      <c r="C19" s="10">
        <v>-468</v>
      </c>
      <c r="D19" s="10">
        <v>-472</v>
      </c>
      <c r="F19" s="28">
        <v>0</v>
      </c>
      <c r="G19" s="28">
        <v>0</v>
      </c>
      <c r="H19" s="28">
        <v>0</v>
      </c>
      <c r="J19" s="10">
        <v>-187</v>
      </c>
      <c r="K19" s="10">
        <v>-131</v>
      </c>
      <c r="L19" s="10">
        <v>-299</v>
      </c>
      <c r="N19" s="10">
        <v>-48</v>
      </c>
      <c r="O19" s="10">
        <v>-40</v>
      </c>
      <c r="P19" s="10">
        <v>-40</v>
      </c>
    </row>
    <row r="20" spans="1:16" ht="13.5" customHeight="1" x14ac:dyDescent="0.2">
      <c r="A20" s="33" t="s">
        <v>34</v>
      </c>
      <c r="B20" s="19">
        <f>B18+B19</f>
        <v>8980</v>
      </c>
      <c r="C20" s="19">
        <f>C18+C19</f>
        <v>12598</v>
      </c>
      <c r="D20" s="19">
        <f>D18+D19</f>
        <v>11054</v>
      </c>
      <c r="E20" s="4"/>
      <c r="F20" s="34">
        <f>F18+F19</f>
        <v>411.67899999999963</v>
      </c>
      <c r="G20" s="19">
        <f>G18+G19</f>
        <v>1211.2099999999996</v>
      </c>
      <c r="H20" s="19">
        <f>H18+H19</f>
        <v>1413.8949999999991</v>
      </c>
      <c r="I20" s="4"/>
      <c r="J20" s="19">
        <f>J18+J19</f>
        <v>7597</v>
      </c>
      <c r="K20" s="19">
        <f>K18+K19</f>
        <v>11731</v>
      </c>
      <c r="L20" s="19">
        <f>L18+L19</f>
        <v>12406</v>
      </c>
      <c r="M20" s="4"/>
      <c r="N20" s="19">
        <f>N18+N19</f>
        <v>1874</v>
      </c>
      <c r="O20" s="19">
        <f>O18+O19</f>
        <v>1719</v>
      </c>
      <c r="P20" s="19">
        <f>P18+P19</f>
        <v>1548</v>
      </c>
    </row>
    <row r="21" spans="1:16" ht="7.5" customHeight="1" x14ac:dyDescent="0.2">
      <c r="A21" s="33"/>
      <c r="B21" s="12"/>
      <c r="C21" s="12"/>
      <c r="D21" s="12"/>
      <c r="F21" s="12"/>
      <c r="G21" s="12"/>
      <c r="H21" s="12"/>
      <c r="J21" s="12"/>
      <c r="K21" s="12"/>
      <c r="L21" s="12"/>
      <c r="N21" s="12"/>
      <c r="O21" s="12"/>
      <c r="P21" s="12"/>
    </row>
    <row r="22" spans="1:16" ht="13.5" customHeight="1" x14ac:dyDescent="0.2">
      <c r="A22" s="7" t="s">
        <v>33</v>
      </c>
      <c r="B22" s="10">
        <v>1578</v>
      </c>
      <c r="C22" s="10">
        <v>1507</v>
      </c>
      <c r="D22" s="10">
        <v>1666</v>
      </c>
      <c r="F22" s="10">
        <v>431.88499999999999</v>
      </c>
      <c r="G22" s="10">
        <v>435.37400000000002</v>
      </c>
      <c r="H22" s="10">
        <v>437.2595</v>
      </c>
      <c r="J22" s="10">
        <v>4708</v>
      </c>
      <c r="K22" s="10">
        <v>4584</v>
      </c>
      <c r="L22" s="10">
        <v>4542.75</v>
      </c>
      <c r="N22" s="10">
        <v>400.6</v>
      </c>
      <c r="O22" s="10">
        <v>403</v>
      </c>
      <c r="P22" s="10">
        <v>403.8</v>
      </c>
    </row>
    <row r="23" spans="1:16" ht="13.5" customHeight="1" x14ac:dyDescent="0.2">
      <c r="A23" s="7" t="s">
        <v>32</v>
      </c>
      <c r="B23" s="32">
        <v>1.62</v>
      </c>
      <c r="C23" s="32">
        <v>1.72</v>
      </c>
      <c r="D23" s="32">
        <v>1.76</v>
      </c>
      <c r="E23" s="28"/>
      <c r="F23" s="28">
        <v>0</v>
      </c>
      <c r="G23" s="28">
        <v>0</v>
      </c>
      <c r="H23" s="28">
        <v>0</v>
      </c>
      <c r="J23" s="32">
        <v>0.63</v>
      </c>
      <c r="K23" s="32">
        <v>0.76</v>
      </c>
      <c r="L23" s="32">
        <v>0.82</v>
      </c>
      <c r="N23" s="32">
        <v>0.8</v>
      </c>
      <c r="O23" s="32">
        <v>0.8</v>
      </c>
      <c r="P23" s="32">
        <v>0.8</v>
      </c>
    </row>
    <row r="24" spans="1:16" x14ac:dyDescent="0.2">
      <c r="A24" s="7"/>
    </row>
  </sheetData>
  <mergeCells count="4">
    <mergeCell ref="B1:D1"/>
    <mergeCell ref="F1:H1"/>
    <mergeCell ref="J1:L1"/>
    <mergeCell ref="N1:P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B128D-13E9-4BA4-A9EF-D29E68855645}">
  <dimension ref="A1:P38"/>
  <sheetViews>
    <sheetView showGridLines="0" topLeftCell="B1" zoomScaleNormal="100" workbookViewId="0">
      <selection sqref="A1:P34"/>
    </sheetView>
  </sheetViews>
  <sheetFormatPr defaultColWidth="8.85546875" defaultRowHeight="12" x14ac:dyDescent="0.2"/>
  <cols>
    <col min="1" max="1" width="33.28515625" style="3" customWidth="1"/>
    <col min="2" max="2" width="13" style="2" customWidth="1"/>
    <col min="3" max="3" width="11.85546875" style="2" customWidth="1"/>
    <col min="4" max="4" width="11.5703125" style="2" customWidth="1"/>
    <col min="5" max="5" width="8.28515625" style="2" customWidth="1"/>
    <col min="6" max="6" width="11.7109375" style="2" customWidth="1"/>
    <col min="7" max="7" width="12" style="2" customWidth="1"/>
    <col min="8" max="8" width="11.85546875" style="2" customWidth="1"/>
    <col min="9" max="9" width="8.28515625" style="2" customWidth="1"/>
    <col min="10" max="10" width="12.140625" style="2" customWidth="1"/>
    <col min="11" max="12" width="11.7109375" style="2" customWidth="1"/>
    <col min="13" max="13" width="8.28515625" style="2" customWidth="1"/>
    <col min="14" max="14" width="11.5703125" style="2" customWidth="1"/>
    <col min="15" max="15" width="11.42578125" style="2" customWidth="1"/>
    <col min="16" max="16" width="12.140625" style="2" customWidth="1"/>
    <col min="17" max="16384" width="8.85546875" style="1"/>
  </cols>
  <sheetData>
    <row r="1" spans="1:16" ht="13.5" customHeight="1" x14ac:dyDescent="0.2">
      <c r="B1" s="220" t="s">
        <v>31</v>
      </c>
      <c r="C1" s="221"/>
      <c r="D1" s="221"/>
      <c r="F1" s="220" t="s">
        <v>30</v>
      </c>
      <c r="G1" s="221"/>
      <c r="H1" s="221"/>
      <c r="J1" s="220" t="s">
        <v>29</v>
      </c>
      <c r="K1" s="221"/>
      <c r="L1" s="221"/>
      <c r="N1" s="220" t="s">
        <v>28</v>
      </c>
      <c r="O1" s="221"/>
      <c r="P1" s="221"/>
    </row>
    <row r="2" spans="1:16" ht="13.5" customHeight="1" x14ac:dyDescent="0.2">
      <c r="B2" s="29">
        <v>43008</v>
      </c>
      <c r="C2" s="29">
        <v>43372</v>
      </c>
      <c r="D2" s="29" t="s">
        <v>27</v>
      </c>
      <c r="F2" s="29">
        <v>43100</v>
      </c>
      <c r="G2" s="29">
        <v>43465</v>
      </c>
      <c r="H2" s="29">
        <v>43738</v>
      </c>
      <c r="J2" s="30" t="s">
        <v>26</v>
      </c>
      <c r="K2" s="29">
        <v>43465</v>
      </c>
      <c r="L2" s="29">
        <v>43738</v>
      </c>
      <c r="N2" s="29">
        <v>43008</v>
      </c>
      <c r="O2" s="29">
        <v>43373</v>
      </c>
      <c r="P2" s="29" t="s">
        <v>50</v>
      </c>
    </row>
    <row r="3" spans="1:16" ht="7.5" customHeight="1" x14ac:dyDescent="0.2"/>
    <row r="4" spans="1:16" ht="13.5" customHeight="1" x14ac:dyDescent="0.2">
      <c r="A4" s="67" t="s">
        <v>49</v>
      </c>
      <c r="B4" s="72">
        <f>'Income Statements_Standard Form'!B4/'Income Statements_Standard Form'!B4</f>
        <v>1</v>
      </c>
      <c r="C4" s="72">
        <f>'Income Statements_Standard Form'!C4/'Income Statements_Standard Form'!C4</f>
        <v>1</v>
      </c>
      <c r="D4" s="72">
        <f>'Income Statements_Standard Form'!D4/'Income Statements_Standard Form'!D4</f>
        <v>1</v>
      </c>
      <c r="E4" s="69"/>
      <c r="F4" s="72">
        <f>'Income Statements_Standard Form'!F4/'Income Statements_Standard Form'!F4</f>
        <v>1</v>
      </c>
      <c r="G4" s="72">
        <f>'Income Statements_Standard Form'!G4/'Income Statements_Standard Form'!G4</f>
        <v>1</v>
      </c>
      <c r="H4" s="72">
        <f>'Income Statements_Standard Form'!H4/'Income Statements_Standard Form'!H4</f>
        <v>1</v>
      </c>
      <c r="I4" s="72"/>
      <c r="J4" s="72">
        <f>'Income Statements_Standard Form'!J4/'Income Statements_Standard Form'!J4</f>
        <v>1</v>
      </c>
      <c r="K4" s="72">
        <f>'Income Statements_Standard Form'!K4/'Income Statements_Standard Form'!K4</f>
        <v>1</v>
      </c>
      <c r="L4" s="72">
        <f>'Income Statements_Standard Form'!L4/'Income Statements_Standard Form'!L4</f>
        <v>1</v>
      </c>
      <c r="M4" s="72"/>
      <c r="N4" s="72">
        <f>'Income Statements_Standard Form'!N4/'Income Statements_Standard Form'!N4</f>
        <v>1</v>
      </c>
      <c r="O4" s="72">
        <f>'Income Statements_Standard Form'!O4/'Income Statements_Standard Form'!O4</f>
        <v>1</v>
      </c>
      <c r="P4" s="72">
        <f>'Income Statements_Standard Form'!P4/'Income Statements_Standard Form'!P4</f>
        <v>1</v>
      </c>
    </row>
    <row r="5" spans="1:16" ht="8.25" customHeight="1" x14ac:dyDescent="0.2">
      <c r="A5" s="64"/>
      <c r="B5" s="7"/>
      <c r="C5" s="7"/>
      <c r="D5" s="7"/>
      <c r="F5" s="7"/>
      <c r="G5" s="7"/>
      <c r="H5" s="7"/>
      <c r="J5" s="7"/>
      <c r="K5" s="7"/>
      <c r="L5" s="7"/>
      <c r="N5" s="7"/>
      <c r="O5" s="7"/>
      <c r="P5" s="7"/>
    </row>
    <row r="6" spans="1:16" ht="13.5" customHeight="1" x14ac:dyDescent="0.2">
      <c r="A6" s="7" t="s">
        <v>53</v>
      </c>
      <c r="B6" s="65">
        <f>'Income Statements_Standard Form'!B6/'Income Statements_Standard Form'!B4</f>
        <v>0.54756334222028769</v>
      </c>
      <c r="C6" s="65">
        <f>'Income Statements_Standard Form'!C6/'Income Statements_Standard Form'!C4</f>
        <v>0.55062758690311941</v>
      </c>
      <c r="D6" s="65">
        <f>'Income Statements_Standard Form'!D6/'Income Statements_Standard Form'!D4</f>
        <v>0.60396722725312635</v>
      </c>
      <c r="E6" s="65"/>
      <c r="F6" s="65">
        <f>'Income Statements_Standard Form'!F6/'Income Statements_Standard Form'!F4</f>
        <v>0.68700907992867011</v>
      </c>
      <c r="G6" s="65">
        <f>'Income Statements_Standard Form'!G6/'Income Statements_Standard Form'!G4</f>
        <v>0.63108286695848848</v>
      </c>
      <c r="H6" s="65">
        <f>'Income Statements_Standard Form'!H6/'Income Statements_Standard Form'!H4</f>
        <v>0.62024160602216993</v>
      </c>
      <c r="I6" s="65"/>
      <c r="J6" s="65">
        <f>'Income Statements_Standard Form'!J6/'Income Statements_Standard Form'!J4</f>
        <v>0.29819238142280868</v>
      </c>
      <c r="K6" s="65">
        <f>'Income Statements_Standard Form'!K6/'Income Statements_Standard Form'!K4</f>
        <v>0.31417778577248245</v>
      </c>
      <c r="L6" s="65">
        <f>'Income Statements_Standard Form'!L6/'Income Statements_Standard Form'!L4</f>
        <v>0.31729864378632716</v>
      </c>
      <c r="M6" s="65"/>
      <c r="N6" s="65">
        <f>'Income Statements_Standard Form'!N6/'Income Statements_Standard Form'!N4</f>
        <v>0.54980019603407981</v>
      </c>
      <c r="O6" s="65">
        <f>'Income Statements_Standard Form'!O6/'Income Statements_Standard Form'!O4</f>
        <v>0.53148419995364293</v>
      </c>
      <c r="P6" s="65">
        <f>'Income Statements_Standard Form'!P6/'Income Statements_Standard Form'!P4</f>
        <v>0.52663966349898739</v>
      </c>
    </row>
    <row r="7" spans="1:16" ht="13.5" customHeight="1" x14ac:dyDescent="0.2">
      <c r="A7" s="33" t="s">
        <v>47</v>
      </c>
      <c r="B7" s="71">
        <f>'Income Statements_Standard Form'!B7/'Income Statements_Standard Form'!B$4</f>
        <v>0.45243665777971237</v>
      </c>
      <c r="C7" s="71">
        <f>'Income Statements_Standard Form'!C7/'Income Statements_Standard Form'!C$4</f>
        <v>0.44937241309688059</v>
      </c>
      <c r="D7" s="71">
        <f>'Income Statements_Standard Form'!D7/'Income Statements_Standard Form'!D$4</f>
        <v>0.39603277274687365</v>
      </c>
      <c r="E7" s="69"/>
      <c r="F7" s="71">
        <f>'Income Statements_Standard Form'!F7/'Income Statements_Standard Form'!F$4</f>
        <v>0.31299092007132989</v>
      </c>
      <c r="G7" s="71">
        <f>'Income Statements_Standard Form'!G7/'Income Statements_Standard Form'!G$4</f>
        <v>0.36891713304151152</v>
      </c>
      <c r="H7" s="71">
        <f>'Income Statements_Standard Form'!H7/'Income Statements_Standard Form'!H$4</f>
        <v>0.37975839397783007</v>
      </c>
      <c r="I7" s="69"/>
      <c r="J7" s="71">
        <f>'Income Statements_Standard Form'!J7/'Income Statements_Standard Form'!J$4</f>
        <v>0.70180761857719132</v>
      </c>
      <c r="K7" s="71">
        <f>'Income Statements_Standard Form'!K7/'Income Statements_Standard Form'!K$4</f>
        <v>0.68582221422751755</v>
      </c>
      <c r="L7" s="71">
        <f>'Income Statements_Standard Form'!L7/'Income Statements_Standard Form'!L$4</f>
        <v>0.68270135621367289</v>
      </c>
      <c r="M7" s="69"/>
      <c r="N7" s="71">
        <f>'Income Statements_Standard Form'!N7/'Income Statements_Standard Form'!N$4</f>
        <v>0.45019980396592024</v>
      </c>
      <c r="O7" s="71">
        <f>'Income Statements_Standard Form'!O7/'Income Statements_Standard Form'!O$4</f>
        <v>0.46851580004635712</v>
      </c>
      <c r="P7" s="71">
        <f>'Income Statements_Standard Form'!P7/'Income Statements_Standard Form'!P$4</f>
        <v>0.47336033650101261</v>
      </c>
    </row>
    <row r="8" spans="1:16" ht="13.5" customHeight="1" x14ac:dyDescent="0.2">
      <c r="A8" s="7" t="s">
        <v>46</v>
      </c>
      <c r="B8" s="65">
        <f>'Income Statements_Standard Form'!B8/'Income Statements_Standard Form'!B$4</f>
        <v>0.14828518055026571</v>
      </c>
      <c r="C8" s="65">
        <f>'Income Statements_Standard Form'!C8/'Income Statements_Standard Form'!C$4</f>
        <v>0.14907292122354207</v>
      </c>
      <c r="D8" s="65">
        <f>'Income Statements_Standard Form'!D8/'Income Statements_Standard Form'!D$4</f>
        <v>0.16442144602558573</v>
      </c>
      <c r="E8" s="65"/>
      <c r="F8" s="65">
        <f>'Income Statements_Standard Form'!F8/'Income Statements_Standard Form'!F$4</f>
        <v>0.15969980619553392</v>
      </c>
      <c r="G8" s="65">
        <f>'Income Statements_Standard Form'!G8/'Income Statements_Standard Form'!G$4</f>
        <v>0.18992644264170311</v>
      </c>
      <c r="H8" s="65">
        <f>'Income Statements_Standard Form'!H8/'Income Statements_Standard Form'!H$4</f>
        <v>0.17690288344039959</v>
      </c>
      <c r="I8" s="65"/>
      <c r="J8" s="65">
        <f>'Income Statements_Standard Form'!J8/'Income Statements_Standard Form'!J$4</f>
        <v>0.37596584694633595</v>
      </c>
      <c r="K8" s="65">
        <f>'Income Statements_Standard Form'!K8/'Income Statements_Standard Form'!K$4</f>
        <v>0.36813146116160705</v>
      </c>
      <c r="L8" s="65">
        <f>'Income Statements_Standard Form'!L8/'Income Statements_Standard Form'!L$4</f>
        <v>0.37201771381123722</v>
      </c>
      <c r="M8" s="65"/>
      <c r="N8" s="65">
        <f>'Income Statements_Standard Form'!N8/'Income Statements_Standard Form'!N$4</f>
        <v>0.22657015758124105</v>
      </c>
      <c r="O8" s="65">
        <f>'Income Statements_Standard Form'!O8/'Income Statements_Standard Form'!O$4</f>
        <v>0.23611218419222746</v>
      </c>
      <c r="P8" s="65">
        <f>'Income Statements_Standard Form'!P8/'Income Statements_Standard Form'!P$4</f>
        <v>0.24536532170119957</v>
      </c>
    </row>
    <row r="9" spans="1:16" ht="13.5" customHeight="1" x14ac:dyDescent="0.2">
      <c r="A9" s="7" t="s">
        <v>45</v>
      </c>
      <c r="B9" s="65" t="s">
        <v>9</v>
      </c>
      <c r="C9" s="65" t="s">
        <v>9</v>
      </c>
      <c r="D9" s="65" t="s">
        <v>9</v>
      </c>
      <c r="E9" s="65"/>
      <c r="F9" s="65">
        <f>'Income Statements_Standard Form'!F9/'Income Statements_Standard Form'!F$4</f>
        <v>8.1564475241973355E-2</v>
      </c>
      <c r="G9" s="65">
        <f>'Income Statements_Standard Form'!G9/'Income Statements_Standard Form'!G$4</f>
        <v>7.7357706788779609E-2</v>
      </c>
      <c r="H9" s="65">
        <f>'Income Statements_Standard Form'!H9/'Income Statements_Standard Form'!H$4</f>
        <v>7.7748111423197055E-2</v>
      </c>
      <c r="I9" s="65"/>
      <c r="J9" s="65" t="s">
        <v>9</v>
      </c>
      <c r="K9" s="65" t="s">
        <v>9</v>
      </c>
      <c r="L9" s="65" t="s">
        <v>9</v>
      </c>
      <c r="M9" s="65"/>
      <c r="N9" s="65" t="s">
        <v>9</v>
      </c>
      <c r="O9" s="65" t="s">
        <v>9</v>
      </c>
      <c r="P9" s="65" t="s">
        <v>9</v>
      </c>
    </row>
    <row r="10" spans="1:16" ht="13.5" customHeight="1" x14ac:dyDescent="0.2">
      <c r="A10" s="7" t="s">
        <v>44</v>
      </c>
      <c r="B10" s="65">
        <f>'Income Statements_Standard Form'!B10/'Income Statements_Standard Form'!B$4</f>
        <v>5.0456136532636885E-2</v>
      </c>
      <c r="C10" s="65">
        <f>'Income Statements_Standard Form'!C10/'Income Statements_Standard Form'!C$4</f>
        <v>5.0661237675404654E-2</v>
      </c>
      <c r="D10" s="65">
        <f>'Income Statements_Standard Form'!D10/'Income Statements_Standard Form'!D$4</f>
        <v>5.9795889032629009E-2</v>
      </c>
      <c r="E10" s="65"/>
      <c r="F10" s="65" t="s">
        <v>9</v>
      </c>
      <c r="G10" s="65" t="s">
        <v>9</v>
      </c>
      <c r="H10" s="65" t="s">
        <v>9</v>
      </c>
      <c r="I10" s="65"/>
      <c r="J10" s="65">
        <f>'Income Statements_Standard Form'!J10/'Income Statements_Standard Form'!J$4</f>
        <v>9.3074127650566274E-2</v>
      </c>
      <c r="K10" s="65">
        <f>'Income Statements_Standard Form'!K10/'Income Statements_Standard Form'!K$4</f>
        <v>8.7623139026738767E-2</v>
      </c>
      <c r="L10" s="65">
        <f>'Income Statements_Standard Form'!L10/'Income Statements_Standard Form'!L$4</f>
        <v>8.0929975089952949E-2</v>
      </c>
      <c r="M10" s="65"/>
      <c r="N10" s="65">
        <f>'Income Statements_Standard Form'!N10/'Income Statements_Standard Form'!N$4</f>
        <v>1.6813692226494759E-2</v>
      </c>
      <c r="O10" s="65">
        <f>'Income Statements_Standard Form'!O10/'Income Statements_Standard Form'!O$4</f>
        <v>1.6456772000309046E-2</v>
      </c>
      <c r="P10" s="65">
        <f>'Income Statements_Standard Form'!P10/'Income Statements_Standard Form'!P$4</f>
        <v>1.6747156878018383E-2</v>
      </c>
    </row>
    <row r="11" spans="1:16" ht="13.5" customHeight="1" x14ac:dyDescent="0.2">
      <c r="A11" s="43" t="s">
        <v>43</v>
      </c>
      <c r="B11" s="65" t="s">
        <v>9</v>
      </c>
      <c r="C11" s="65" t="s">
        <v>9</v>
      </c>
      <c r="D11" s="65" t="s">
        <v>9</v>
      </c>
      <c r="E11" s="65"/>
      <c r="F11" s="65" t="s">
        <v>9</v>
      </c>
      <c r="G11" s="65" t="s">
        <v>9</v>
      </c>
      <c r="H11" s="65" t="s">
        <v>9</v>
      </c>
      <c r="I11" s="65"/>
      <c r="J11" s="65">
        <f>'Income Statements_Standard Form'!J11/'Income Statements_Standard Form'!J$4</f>
        <v>2.6061696597631398E-2</v>
      </c>
      <c r="K11" s="65">
        <f>'Income Statements_Standard Form'!K11/'Income Statements_Standard Form'!K$4</f>
        <v>2.8950236490418699E-2</v>
      </c>
      <c r="L11" s="65">
        <f>'Income Statements_Standard Form'!L11/'Income Statements_Standard Form'!L$4</f>
        <v>3.8758188024725526E-2</v>
      </c>
      <c r="M11" s="65"/>
      <c r="N11" s="65" t="s">
        <v>9</v>
      </c>
      <c r="O11" s="65" t="s">
        <v>9</v>
      </c>
      <c r="P11" s="65" t="s">
        <v>9</v>
      </c>
    </row>
    <row r="12" spans="1:16" ht="13.5" customHeight="1" x14ac:dyDescent="0.2">
      <c r="A12" s="33" t="s">
        <v>42</v>
      </c>
      <c r="B12" s="71">
        <f>'Income Statements_Standard Form'!B12/'Income Statements_Standard Form'!B$4</f>
        <v>0.25369534069680977</v>
      </c>
      <c r="C12" s="71">
        <f>'Income Statements_Standard Form'!C12/'Income Statements_Standard Form'!C$4</f>
        <v>0.24963825419793384</v>
      </c>
      <c r="D12" s="71">
        <f>'Income Statements_Standard Form'!D12/'Income Statements_Standard Form'!D$4</f>
        <v>0.17181543768865892</v>
      </c>
      <c r="E12" s="69"/>
      <c r="F12" s="71">
        <f>'Income Statements_Standard Form'!F12/'Income Statements_Standard Form'!F$4</f>
        <v>7.1726638633822587E-2</v>
      </c>
      <c r="G12" s="71">
        <f>'Income Statements_Standard Form'!G12/'Income Statements_Standard Form'!G$4</f>
        <v>0.10163298361102877</v>
      </c>
      <c r="H12" s="71">
        <f>'Income Statements_Standard Form'!H12/'Income Statements_Standard Form'!H$4</f>
        <v>0.12510739911423341</v>
      </c>
      <c r="I12" s="69"/>
      <c r="J12" s="71">
        <f>'Income Statements_Standard Form'!J12/'Income Statements_Standard Form'!J$4</f>
        <v>0.20670594738265768</v>
      </c>
      <c r="K12" s="71">
        <f>'Income Statements_Standard Form'!K12/'Income Statements_Standard Form'!K$4</f>
        <v>0.201117377548753</v>
      </c>
      <c r="L12" s="71">
        <f>'Income Statements_Standard Form'!L12/'Income Statements_Standard Form'!L$4</f>
        <v>0.19099547928775717</v>
      </c>
      <c r="M12" s="69"/>
      <c r="N12" s="71">
        <f>'Income Statements_Standard Form'!N12/'Income Statements_Standard Form'!N$4</f>
        <v>0.20681595415818443</v>
      </c>
      <c r="O12" s="71">
        <f>'Income Statements_Standard Form'!O12/'Income Statements_Standard Form'!O$4</f>
        <v>0.2159468438538206</v>
      </c>
      <c r="P12" s="71">
        <f>'Income Statements_Standard Form'!P12/'Income Statements_Standard Form'!P$4</f>
        <v>0.21124785792179468</v>
      </c>
    </row>
    <row r="13" spans="1:16" ht="13.5" customHeight="1" x14ac:dyDescent="0.2">
      <c r="A13" s="7" t="s">
        <v>41</v>
      </c>
      <c r="B13" s="65">
        <f>'Income Statements_Standard Form'!B13/'Income Statements_Standard Form'!B$4</f>
        <v>-7.4722962801748371E-3</v>
      </c>
      <c r="C13" s="65">
        <f>'Income Statements_Standard Form'!C13/'Income Statements_Standard Form'!C$4</f>
        <v>-9.6577716458592731E-3</v>
      </c>
      <c r="D13" s="65">
        <f>'Income Statements_Standard Form'!D13/'Income Statements_Standard Form'!D$4</f>
        <v>-1.4086531550955872E-2</v>
      </c>
      <c r="E13" s="65"/>
      <c r="F13" s="65">
        <f>'Income Statements_Standard Form'!F13/'Income Statements_Standard Form'!F$4</f>
        <v>-1.9276963353158504E-2</v>
      </c>
      <c r="G13" s="65">
        <f>'Income Statements_Standard Form'!G13/'Income Statements_Standard Form'!G$4</f>
        <v>-2.3919959686827072E-2</v>
      </c>
      <c r="H13" s="65">
        <f>'Income Statements_Standard Form'!H13/'Income Statements_Standard Form'!H$4</f>
        <v>-2.6976262901800364E-2</v>
      </c>
      <c r="I13" s="65"/>
      <c r="J13" s="65">
        <f>'Income Statements_Standard Form'!J13/'Income Statements_Standard Form'!J$4</f>
        <v>-3.2400710345881996E-2</v>
      </c>
      <c r="K13" s="65">
        <f>'Income Statements_Standard Form'!K13/'Income Statements_Standard Form'!K$4</f>
        <v>-3.4029225348386892E-2</v>
      </c>
      <c r="L13" s="65">
        <f>'Income Statements_Standard Form'!L13/'Income Statements_Standard Form'!L$4</f>
        <v>-3.9911430943814004E-2</v>
      </c>
      <c r="M13" s="65"/>
      <c r="N13" s="65">
        <f>'Income Statements_Standard Form'!N13/'Income Statements_Standard Form'!N$4</f>
        <v>-4.6595792807057224E-2</v>
      </c>
      <c r="O13" s="65">
        <f>'Income Statements_Standard Form'!O13/'Income Statements_Standard Form'!O$4</f>
        <v>-4.3266630611141159E-2</v>
      </c>
      <c r="P13" s="65">
        <f>'Income Statements_Standard Form'!P13/'Income Statements_Standard Form'!P$4</f>
        <v>-3.8090045178376691E-2</v>
      </c>
    </row>
    <row r="14" spans="1:16" ht="13.5" customHeight="1" x14ac:dyDescent="0.2">
      <c r="A14" s="43" t="s">
        <v>40</v>
      </c>
      <c r="B14" s="65">
        <f>'Income Statements_Standard Form'!B14/'Income Statements_Standard Form'!B$4</f>
        <v>5.8037252661552133E-3</v>
      </c>
      <c r="C14" s="65">
        <f>'Income Statements_Standard Form'!C14/'Income Statements_Standard Form'!C$4</f>
        <v>-1.7161893865464213E-3</v>
      </c>
      <c r="D14" s="65">
        <f>'Income Statements_Standard Form'!D14/'Income Statements_Standard Form'!D$4</f>
        <v>-1.4805232140290355E-3</v>
      </c>
      <c r="E14" s="65"/>
      <c r="F14" s="65">
        <f>'Income Statements_Standard Form'!F14/'Income Statements_Standard Form'!F$4</f>
        <v>-1.0946988949442273E-2</v>
      </c>
      <c r="G14" s="65">
        <f>'Income Statements_Standard Form'!G14/'Income Statements_Standard Form'!G$4</f>
        <v>-6.331381600536546E-5</v>
      </c>
      <c r="H14" s="65">
        <f>'Income Statements_Standard Form'!H14/'Income Statements_Standard Form'!H$4</f>
        <v>9.5359923847683926E-3</v>
      </c>
      <c r="I14" s="65"/>
      <c r="J14" s="65">
        <f>'Income Statements_Standard Form'!J14/'Income Statements_Standard Form'!J$4</f>
        <v>1.2583941949217325E-3</v>
      </c>
      <c r="K14" s="65">
        <f>'Income Statements_Standard Form'!K14/'Income Statements_Standard Form'!K$4</f>
        <v>-3.8515665506258794E-3</v>
      </c>
      <c r="L14" s="65">
        <f>'Income Statements_Standard Form'!L14/'Income Statements_Standard Form'!L$4</f>
        <v>-5.5632438416828118E-3</v>
      </c>
      <c r="M14" s="65"/>
      <c r="N14" s="65">
        <f>'Income Statements_Standard Form'!N14/'Income Statements_Standard Form'!N$4</f>
        <v>6.4842041770338532E-3</v>
      </c>
      <c r="O14" s="65">
        <f>'Income Statements_Standard Form'!O14/'Income Statements_Standard Form'!O$4</f>
        <v>-6.1809472301630223E-4</v>
      </c>
      <c r="P14" s="65">
        <f>'Income Statements_Standard Form'!P14/'Income Statements_Standard Form'!P$4</f>
        <v>-9.3472503505218876E-4</v>
      </c>
    </row>
    <row r="15" spans="1:16" ht="13.5" customHeight="1" x14ac:dyDescent="0.2">
      <c r="A15" s="43" t="s">
        <v>39</v>
      </c>
      <c r="B15" s="65">
        <f>'Income Statements_Standard Form'!B15/'Income Statements_Standard Form'!B$4</f>
        <v>-1.9587572773273844E-3</v>
      </c>
      <c r="C15" s="65">
        <f>'Income Statements_Standard Form'!C15/'Income Statements_Standard Form'!C$4</f>
        <v>9.5568193290035998E-3</v>
      </c>
      <c r="D15" s="65">
        <f>'Income Statements_Standard Form'!D15/'Income Statements_Standard Form'!D$4</f>
        <v>4.4182837429926694E-2</v>
      </c>
      <c r="E15" s="65"/>
      <c r="F15" s="65" t="s">
        <v>9</v>
      </c>
      <c r="G15" s="65" t="s">
        <v>9</v>
      </c>
      <c r="H15" s="65" t="s">
        <v>9</v>
      </c>
      <c r="I15" s="65"/>
      <c r="J15" s="65">
        <f>'Income Statements_Standard Form'!J15/'Income Statements_Standard Form'!J$4</f>
        <v>4.99829469945548E-3</v>
      </c>
      <c r="K15" s="65">
        <f>'Income Statements_Standard Form'!K15/'Income Statements_Standard Form'!K$4</f>
        <v>-1.957526955675241E-3</v>
      </c>
      <c r="L15" s="65">
        <f>'Income Statements_Standard Form'!L15/'Income Statements_Standard Form'!L$4</f>
        <v>2.1219669711227975E-3</v>
      </c>
      <c r="M15" s="65"/>
      <c r="N15" s="65">
        <f>'Income Statements_Standard Form'!N15/'Income Statements_Standard Form'!N$4</f>
        <v>3.0159089195506294E-4</v>
      </c>
      <c r="O15" s="65">
        <f>'Income Statements_Standard Form'!O15/'Income Statements_Standard Form'!O$4</f>
        <v>-1.5375106235030519E-2</v>
      </c>
      <c r="P15" s="65">
        <f>'Income Statements_Standard Form'!P15/'Income Statements_Standard Form'!P$4</f>
        <v>-1.38650880199408E-2</v>
      </c>
    </row>
    <row r="16" spans="1:16" ht="13.5" customHeight="1" x14ac:dyDescent="0.2">
      <c r="A16" s="7" t="s">
        <v>38</v>
      </c>
      <c r="B16" s="65">
        <f>'Income Statements_Standard Form'!B16/'Income Statements_Standard Form'!B$4</f>
        <v>-8.0200228521682349E-2</v>
      </c>
      <c r="C16" s="65">
        <f>'Income Statements_Standard Form'!C16/'Income Statements_Standard Form'!C$4</f>
        <v>-2.7980617155163711E-2</v>
      </c>
      <c r="D16" s="65">
        <f>'Income Statements_Standard Form'!D16/'Income Statements_Standard Form'!D$4</f>
        <v>-4.3567629725456372E-2</v>
      </c>
      <c r="E16" s="65"/>
      <c r="F16" s="65">
        <f>'Income Statements_Standard Form'!F16/'Income Statements_Standard Form'!F$4</f>
        <v>-6.2945186459293064E-3</v>
      </c>
      <c r="G16" s="65">
        <f>'Income Statements_Standard Form'!G16/'Income Statements_Standard Form'!G$4</f>
        <v>-9.633830243376409E-4</v>
      </c>
      <c r="H16" s="65">
        <f>'Income Statements_Standard Form'!H16/'Income Statements_Standard Form'!H$4</f>
        <v>-3.2762173303523115E-2</v>
      </c>
      <c r="I16" s="65"/>
      <c r="J16" s="65">
        <f>'Income Statements_Standard Form'!J16/'Income Statements_Standard Form'!J$4</f>
        <v>-8.9016688423949469E-2</v>
      </c>
      <c r="K16" s="65">
        <f>'Income Statements_Standard Form'!K16/'Income Statements_Standard Form'!K$4</f>
        <v>-3.5764546541526027E-2</v>
      </c>
      <c r="L16" s="65">
        <f>'Income Statements_Standard Form'!L16/'Income Statements_Standard Form'!L$4</f>
        <v>-3.042716117723037E-2</v>
      </c>
      <c r="M16" s="65"/>
      <c r="N16" s="65">
        <f>'Income Statements_Standard Form'!N16/'Income Statements_Standard Form'!N$4</f>
        <v>-2.2091532835708361E-2</v>
      </c>
      <c r="O16" s="65">
        <f>'Income Statements_Standard Form'!O16/'Income Statements_Standard Form'!O$4</f>
        <v>-2.0783435061423165E-2</v>
      </c>
      <c r="P16" s="65">
        <f>'Income Statements_Standard Form'!P16/'Income Statements_Standard Form'!P$4</f>
        <v>-3.4662720049851999E-2</v>
      </c>
    </row>
    <row r="17" spans="1:16" ht="13.5" customHeight="1" x14ac:dyDescent="0.2">
      <c r="A17" s="40" t="s">
        <v>52</v>
      </c>
      <c r="B17" s="65" t="s">
        <v>9</v>
      </c>
      <c r="C17" s="65" t="s">
        <v>9</v>
      </c>
      <c r="D17" s="65">
        <f>'Income Statements_Standard Form'!D17/'Income Statements_Standard Form'!D$4</f>
        <v>8.8112692252407653E-3</v>
      </c>
      <c r="E17" s="65"/>
      <c r="F17" s="65" t="s">
        <v>9</v>
      </c>
      <c r="G17" s="65" t="s">
        <v>9</v>
      </c>
      <c r="H17" s="65" t="s">
        <v>9</v>
      </c>
      <c r="I17" s="65"/>
      <c r="J17" s="65" t="s">
        <v>9</v>
      </c>
      <c r="K17" s="65" t="s">
        <v>9</v>
      </c>
      <c r="L17" s="65" t="s">
        <v>9</v>
      </c>
      <c r="M17" s="65"/>
      <c r="N17" s="65" t="s">
        <v>9</v>
      </c>
      <c r="O17" s="65" t="s">
        <v>9</v>
      </c>
      <c r="P17" s="65" t="s">
        <v>9</v>
      </c>
    </row>
    <row r="18" spans="1:16" ht="13.5" customHeight="1" x14ac:dyDescent="0.2">
      <c r="A18" s="33" t="s">
        <v>36</v>
      </c>
      <c r="B18" s="71">
        <f>'Income Statements_Standard Form'!B18/'Income Statements_Standard Form'!B$4</f>
        <v>0.1698677838837804</v>
      </c>
      <c r="C18" s="71">
        <f>'Income Statements_Standard Form'!C18/'Income Statements_Standard Form'!C$4</f>
        <v>0.21984049533936803</v>
      </c>
      <c r="D18" s="71">
        <f>'Income Statements_Standard Form'!D18/'Income Statements_Standard Form'!D$4</f>
        <v>0.16567485985338509</v>
      </c>
      <c r="E18" s="69"/>
      <c r="F18" s="71">
        <f>'Income Statements_Standard Form'!F18/'Income Statements_Standard Form'!F$4</f>
        <v>3.5208167685292509E-2</v>
      </c>
      <c r="G18" s="71">
        <f>'Income Statements_Standard Form'!G18/'Income Statements_Standard Form'!G$4</f>
        <v>7.6686327083858682E-2</v>
      </c>
      <c r="H18" s="71">
        <f>'Income Statements_Standard Form'!H18/'Income Statements_Standard Form'!H$4</f>
        <v>7.4904955293678327E-2</v>
      </c>
      <c r="I18" s="69"/>
      <c r="J18" s="71">
        <f>'Income Statements_Standard Form'!J18/'Income Statements_Standard Form'!J$4</f>
        <v>9.154523750720342E-2</v>
      </c>
      <c r="K18" s="71">
        <f>'Income Statements_Standard Form'!K18/'Income Statements_Standard Form'!K$4</f>
        <v>0.12551451215253898</v>
      </c>
      <c r="L18" s="71">
        <f>'Income Statements_Standard Form'!L18/'Income Statements_Standard Form'!L$4</f>
        <v>0.11721561029615278</v>
      </c>
      <c r="M18" s="69"/>
      <c r="N18" s="71">
        <f>'Income Statements_Standard Form'!N18/'Income Statements_Standard Form'!N$4</f>
        <v>0.14491442358440776</v>
      </c>
      <c r="O18" s="71">
        <f>'Income Statements_Standard Form'!O18/'Income Statements_Standard Form'!O$4</f>
        <v>0.13590357722320945</v>
      </c>
      <c r="P18" s="71">
        <f>'Income Statements_Standard Form'!P18/'Income Statements_Standard Form'!P$4</f>
        <v>0.12369527963857299</v>
      </c>
    </row>
    <row r="19" spans="1:16" ht="13.5" customHeight="1" x14ac:dyDescent="0.2">
      <c r="A19" s="7" t="s">
        <v>51</v>
      </c>
      <c r="B19" s="65">
        <f>'Income Statements_Standard Form'!B19/'Income Statements_Standard Form'!B$4</f>
        <v>-7.000743602299726E-3</v>
      </c>
      <c r="C19" s="65">
        <f>'Income Statements_Standard Form'!C19/'Income Statements_Standard Form'!C$4</f>
        <v>-7.8742807147424033E-3</v>
      </c>
      <c r="D19" s="65">
        <f>'Income Statements_Standard Form'!D19/'Income Statements_Standard Form'!D$4</f>
        <v>-6.7845335633175217E-3</v>
      </c>
      <c r="E19" s="65"/>
      <c r="F19" s="65" t="s">
        <v>9</v>
      </c>
      <c r="G19" s="65" t="s">
        <v>9</v>
      </c>
      <c r="H19" s="65" t="s">
        <v>9</v>
      </c>
      <c r="I19" s="65"/>
      <c r="J19" s="65">
        <f>'Income Statements_Standard Form'!J19/'Income Statements_Standard Form'!J$4</f>
        <v>-2.1992496677604111E-3</v>
      </c>
      <c r="K19" s="65">
        <f>'Income Statements_Standard Form'!K19/'Income Statements_Standard Form'!K$4</f>
        <v>-1.3861407091538193E-3</v>
      </c>
      <c r="L19" s="65">
        <f>'Income Statements_Standard Form'!L19/'Income Statements_Standard Form'!L$4</f>
        <v>-2.7585570624596364E-3</v>
      </c>
      <c r="M19" s="65"/>
      <c r="N19" s="65">
        <f>'Income Statements_Standard Form'!N19/'Income Statements_Standard Form'!N$4</f>
        <v>-3.6190907034607555E-3</v>
      </c>
      <c r="O19" s="65">
        <f>'Income Statements_Standard Form'!O19/'Income Statements_Standard Form'!O$4</f>
        <v>-3.0904736150815112E-3</v>
      </c>
      <c r="P19" s="65">
        <f>'Income Statements_Standard Form'!P19/'Income Statements_Standard Form'!P$4</f>
        <v>-3.1157501168406292E-3</v>
      </c>
    </row>
    <row r="20" spans="1:16" ht="13.5" customHeight="1" x14ac:dyDescent="0.2">
      <c r="A20" s="33" t="s">
        <v>34</v>
      </c>
      <c r="B20" s="68">
        <f>'Income Statements_Standard Form'!B20/'Income Statements_Standard Form'!B$4</f>
        <v>0.16286704028148066</v>
      </c>
      <c r="C20" s="68">
        <f>'Income Statements_Standard Form'!C20/'Income Statements_Standard Form'!C$4</f>
        <v>0.21196621462462564</v>
      </c>
      <c r="D20" s="68">
        <f>'Income Statements_Standard Form'!D20/'Income Statements_Standard Form'!D$4</f>
        <v>0.15889032629006755</v>
      </c>
      <c r="E20" s="70"/>
      <c r="F20" s="68">
        <f>'Income Statements_Standard Form'!F20/'Income Statements_Standard Form'!F$4</f>
        <v>3.5208167685292509E-2</v>
      </c>
      <c r="G20" s="68">
        <f>'Income Statements_Standard Form'!G20/'Income Statements_Standard Form'!G$4</f>
        <v>7.6686327083858682E-2</v>
      </c>
      <c r="H20" s="68">
        <f>'Income Statements_Standard Form'!H20/'Income Statements_Standard Form'!H$4</f>
        <v>7.4904955293678327E-2</v>
      </c>
      <c r="I20" s="69"/>
      <c r="J20" s="68">
        <f>'Income Statements_Standard Form'!J20/'Income Statements_Standard Form'!J$4</f>
        <v>8.9345987839443017E-2</v>
      </c>
      <c r="K20" s="68">
        <f>'Income Statements_Standard Form'!K20/'Income Statements_Standard Form'!K$4</f>
        <v>0.12412837144338515</v>
      </c>
      <c r="L20" s="68">
        <f>'Income Statements_Standard Form'!L20/'Income Statements_Standard Form'!L$4</f>
        <v>0.11445705323369315</v>
      </c>
      <c r="M20" s="69"/>
      <c r="N20" s="68">
        <f>'Income Statements_Standard Form'!N20/'Income Statements_Standard Form'!N$4</f>
        <v>0.14129533288094701</v>
      </c>
      <c r="O20" s="68">
        <f>'Income Statements_Standard Form'!O20/'Income Statements_Standard Form'!O$4</f>
        <v>0.13281310360812795</v>
      </c>
      <c r="P20" s="68">
        <f>'Income Statements_Standard Form'!P20/'Income Statements_Standard Form'!P$4</f>
        <v>0.12057952952173236</v>
      </c>
    </row>
    <row r="21" spans="1:16" x14ac:dyDescent="0.2">
      <c r="A21" s="64"/>
      <c r="B21" s="7"/>
      <c r="C21" s="7"/>
      <c r="D21" s="7"/>
      <c r="F21" s="7"/>
      <c r="G21" s="7"/>
      <c r="H21" s="7"/>
      <c r="J21" s="7"/>
      <c r="K21" s="7"/>
      <c r="L21" s="7"/>
      <c r="N21" s="7"/>
      <c r="O21" s="7"/>
      <c r="P21" s="7"/>
    </row>
    <row r="22" spans="1:16" x14ac:dyDescent="0.2">
      <c r="A22" s="67"/>
      <c r="B22" s="7"/>
      <c r="C22" s="7"/>
      <c r="D22" s="7"/>
      <c r="F22" s="7"/>
      <c r="G22" s="7"/>
      <c r="H22" s="7"/>
      <c r="J22" s="7"/>
      <c r="K22" s="7"/>
      <c r="L22" s="7"/>
      <c r="N22" s="7"/>
      <c r="O22" s="7"/>
      <c r="P22" s="7"/>
    </row>
    <row r="23" spans="1:16" x14ac:dyDescent="0.2">
      <c r="A23" s="64"/>
      <c r="B23" s="32"/>
      <c r="C23" s="32"/>
      <c r="D23" s="32"/>
      <c r="F23" s="32"/>
      <c r="G23" s="32"/>
      <c r="H23" s="32"/>
      <c r="J23" s="32"/>
      <c r="K23" s="32"/>
      <c r="L23" s="32"/>
      <c r="N23" s="32"/>
      <c r="O23" s="32"/>
      <c r="P23" s="32"/>
    </row>
    <row r="24" spans="1:16" x14ac:dyDescent="0.2">
      <c r="A24" s="1"/>
      <c r="B24" s="66"/>
      <c r="C24" s="66"/>
      <c r="D24" s="66"/>
      <c r="F24" s="66"/>
      <c r="G24" s="66"/>
      <c r="H24" s="66"/>
      <c r="J24" s="66"/>
      <c r="K24" s="66"/>
      <c r="L24" s="66"/>
      <c r="N24" s="66"/>
      <c r="O24" s="66"/>
      <c r="P24" s="66"/>
    </row>
    <row r="25" spans="1:16" x14ac:dyDescent="0.2">
      <c r="A25" s="64"/>
      <c r="B25" s="10"/>
      <c r="C25" s="10"/>
      <c r="D25" s="10"/>
      <c r="F25" s="10"/>
      <c r="G25" s="10"/>
      <c r="H25" s="10"/>
      <c r="J25" s="10"/>
      <c r="K25" s="10"/>
      <c r="L25" s="10"/>
      <c r="N25" s="10"/>
      <c r="O25" s="10"/>
      <c r="P25" s="10"/>
    </row>
    <row r="26" spans="1:16" x14ac:dyDescent="0.2">
      <c r="A26" s="64"/>
      <c r="B26" s="7"/>
      <c r="C26" s="7"/>
      <c r="D26" s="7"/>
      <c r="F26" s="7"/>
      <c r="G26" s="7"/>
      <c r="H26" s="7"/>
      <c r="J26" s="7"/>
      <c r="K26" s="7"/>
      <c r="L26" s="7"/>
      <c r="N26" s="7"/>
      <c r="O26" s="7"/>
      <c r="P26" s="7"/>
    </row>
    <row r="27" spans="1:16" x14ac:dyDescent="0.2">
      <c r="A27" s="64"/>
      <c r="B27" s="32"/>
      <c r="C27" s="32"/>
      <c r="D27" s="32"/>
      <c r="F27" s="32"/>
      <c r="G27" s="32"/>
      <c r="H27" s="32"/>
      <c r="J27" s="32"/>
      <c r="K27" s="32"/>
      <c r="L27" s="32"/>
      <c r="N27" s="32"/>
      <c r="O27" s="32"/>
      <c r="P27" s="32"/>
    </row>
    <row r="28" spans="1:16" x14ac:dyDescent="0.2">
      <c r="A28" s="64"/>
      <c r="B28" s="66"/>
      <c r="C28" s="66"/>
      <c r="D28" s="66"/>
      <c r="F28" s="66"/>
      <c r="G28" s="66"/>
      <c r="H28" s="66"/>
      <c r="J28" s="66"/>
      <c r="K28" s="66"/>
      <c r="L28" s="66"/>
      <c r="N28" s="66"/>
      <c r="O28" s="66"/>
      <c r="P28" s="66"/>
    </row>
    <row r="29" spans="1:16" x14ac:dyDescent="0.2">
      <c r="A29" s="64"/>
      <c r="B29" s="10"/>
      <c r="C29" s="10"/>
      <c r="D29" s="10"/>
      <c r="F29" s="10"/>
      <c r="G29" s="10"/>
      <c r="H29" s="10"/>
      <c r="J29" s="10"/>
      <c r="K29" s="10"/>
      <c r="L29" s="10"/>
      <c r="N29" s="10"/>
      <c r="O29" s="10"/>
      <c r="P29" s="10"/>
    </row>
    <row r="30" spans="1:16" x14ac:dyDescent="0.2">
      <c r="A30" s="64"/>
      <c r="B30" s="7"/>
      <c r="C30" s="7"/>
      <c r="D30" s="7"/>
      <c r="F30" s="7"/>
      <c r="G30" s="7"/>
      <c r="H30" s="7"/>
      <c r="J30" s="7"/>
      <c r="K30" s="7"/>
      <c r="L30" s="7"/>
      <c r="N30" s="7"/>
      <c r="O30" s="7"/>
      <c r="P30" s="7"/>
    </row>
    <row r="31" spans="1:16" x14ac:dyDescent="0.2">
      <c r="A31" s="64"/>
      <c r="B31" s="32"/>
      <c r="C31" s="32"/>
      <c r="D31" s="32"/>
      <c r="F31" s="32"/>
      <c r="G31" s="32"/>
      <c r="H31" s="32"/>
      <c r="J31" s="32"/>
      <c r="K31" s="32"/>
      <c r="L31" s="32"/>
      <c r="N31" s="32"/>
      <c r="O31" s="32"/>
      <c r="P31" s="32"/>
    </row>
    <row r="32" spans="1:16" x14ac:dyDescent="0.2">
      <c r="A32" s="64"/>
      <c r="B32" s="66"/>
      <c r="C32" s="66"/>
      <c r="D32" s="66"/>
      <c r="F32" s="66"/>
      <c r="G32" s="66"/>
      <c r="H32" s="66"/>
      <c r="J32" s="66"/>
      <c r="K32" s="66"/>
      <c r="L32" s="66"/>
      <c r="N32" s="66"/>
      <c r="O32" s="66"/>
      <c r="P32" s="66"/>
    </row>
    <row r="33" spans="1:16" x14ac:dyDescent="0.2">
      <c r="A33" s="64"/>
      <c r="B33" s="7"/>
      <c r="C33" s="7"/>
      <c r="D33" s="7"/>
      <c r="F33" s="7"/>
      <c r="G33" s="7"/>
      <c r="H33" s="7"/>
      <c r="J33" s="7"/>
      <c r="K33" s="7"/>
      <c r="L33" s="7"/>
      <c r="N33" s="7"/>
      <c r="O33" s="7"/>
      <c r="P33" s="7"/>
    </row>
    <row r="34" spans="1:16" x14ac:dyDescent="0.2">
      <c r="A34" s="64"/>
      <c r="B34" s="32"/>
      <c r="C34" s="32"/>
      <c r="D34" s="66"/>
      <c r="F34" s="66"/>
      <c r="G34" s="66"/>
      <c r="H34" s="66"/>
      <c r="J34" s="32"/>
      <c r="K34" s="32"/>
      <c r="L34" s="32"/>
      <c r="N34" s="32"/>
      <c r="O34" s="32"/>
      <c r="P34" s="32"/>
    </row>
    <row r="35" spans="1:16" x14ac:dyDescent="0.2">
      <c r="A35" s="64"/>
      <c r="B35" s="65"/>
      <c r="C35" s="65"/>
      <c r="D35" s="65"/>
      <c r="F35" s="66"/>
      <c r="G35" s="66"/>
      <c r="H35" s="66"/>
      <c r="J35" s="65"/>
      <c r="K35" s="65"/>
      <c r="L35" s="65"/>
      <c r="N35" s="65"/>
      <c r="O35" s="65"/>
      <c r="P35" s="65"/>
    </row>
    <row r="36" spans="1:16" x14ac:dyDescent="0.2">
      <c r="A36" s="64"/>
      <c r="B36" s="7"/>
      <c r="C36" s="7"/>
      <c r="D36" s="7"/>
      <c r="F36" s="7"/>
      <c r="G36" s="7"/>
      <c r="H36" s="7"/>
      <c r="N36" s="7"/>
      <c r="O36" s="7"/>
      <c r="P36" s="7"/>
    </row>
    <row r="37" spans="1:16" x14ac:dyDescent="0.2">
      <c r="A37" s="64"/>
      <c r="B37" s="63"/>
      <c r="C37" s="63"/>
      <c r="D37" s="63"/>
      <c r="F37" s="63"/>
      <c r="G37" s="63"/>
      <c r="H37" s="63"/>
      <c r="J37" s="63"/>
      <c r="K37" s="63"/>
      <c r="L37" s="63"/>
      <c r="N37" s="63"/>
      <c r="O37" s="63"/>
      <c r="P37" s="63"/>
    </row>
    <row r="38" spans="1:16" x14ac:dyDescent="0.2">
      <c r="B38" s="7"/>
      <c r="C38" s="7"/>
      <c r="D38" s="7"/>
      <c r="N38" s="7"/>
      <c r="O38" s="7"/>
      <c r="P38" s="7"/>
    </row>
  </sheetData>
  <mergeCells count="4">
    <mergeCell ref="B1:D1"/>
    <mergeCell ref="F1:H1"/>
    <mergeCell ref="J1:L1"/>
    <mergeCell ref="N1:P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BB218-45DB-409B-A53C-155003F6FC6E}">
  <dimension ref="A1:P27"/>
  <sheetViews>
    <sheetView showGridLines="0" zoomScaleNormal="100" workbookViewId="0">
      <selection sqref="A1:P34"/>
    </sheetView>
  </sheetViews>
  <sheetFormatPr defaultColWidth="8.85546875" defaultRowHeight="12" x14ac:dyDescent="0.2"/>
  <cols>
    <col min="1" max="1" width="30.7109375" style="1" customWidth="1"/>
    <col min="2" max="2" width="11.85546875" style="1" customWidth="1"/>
    <col min="3" max="3" width="12" style="1" customWidth="1"/>
    <col min="4" max="4" width="11.7109375" style="1" customWidth="1"/>
    <col min="5" max="5" width="8.42578125" style="1" customWidth="1"/>
    <col min="6" max="6" width="12.140625" style="1" customWidth="1"/>
    <col min="7" max="8" width="11.85546875" style="1" customWidth="1"/>
    <col min="9" max="9" width="8.28515625" style="1" customWidth="1"/>
    <col min="10" max="10" width="12" style="1" customWidth="1"/>
    <col min="11" max="11" width="12.28515625" style="1" customWidth="1"/>
    <col min="12" max="12" width="11.85546875" style="1" customWidth="1"/>
    <col min="13" max="13" width="8.140625" style="1" customWidth="1"/>
    <col min="14" max="14" width="11.7109375" style="1" customWidth="1"/>
    <col min="15" max="16" width="11.85546875" style="1" customWidth="1"/>
    <col min="17" max="16384" width="8.85546875" style="1"/>
  </cols>
  <sheetData>
    <row r="1" spans="1:16" ht="13.5" customHeight="1" x14ac:dyDescent="0.2">
      <c r="B1" s="220" t="s">
        <v>31</v>
      </c>
      <c r="C1" s="221"/>
      <c r="D1" s="221"/>
      <c r="E1" s="2"/>
      <c r="F1" s="220" t="s">
        <v>30</v>
      </c>
      <c r="G1" s="221"/>
      <c r="H1" s="221"/>
      <c r="I1" s="2"/>
      <c r="J1" s="220" t="s">
        <v>29</v>
      </c>
      <c r="K1" s="221"/>
      <c r="L1" s="221"/>
      <c r="M1" s="2"/>
      <c r="N1" s="220" t="s">
        <v>28</v>
      </c>
      <c r="O1" s="221"/>
      <c r="P1" s="221"/>
    </row>
    <row r="2" spans="1:16" ht="13.5" customHeight="1" x14ac:dyDescent="0.2">
      <c r="A2" s="31"/>
      <c r="B2" s="82">
        <v>43008</v>
      </c>
      <c r="C2" s="82">
        <v>43372</v>
      </c>
      <c r="D2" s="82" t="s">
        <v>76</v>
      </c>
      <c r="F2" s="82">
        <v>43100</v>
      </c>
      <c r="G2" s="82">
        <v>43465</v>
      </c>
      <c r="H2" s="82">
        <v>43738</v>
      </c>
      <c r="J2" s="83" t="s">
        <v>75</v>
      </c>
      <c r="K2" s="82">
        <v>43465</v>
      </c>
      <c r="L2" s="82">
        <v>43738</v>
      </c>
      <c r="N2" s="82">
        <v>43008</v>
      </c>
      <c r="O2" s="82">
        <v>43373</v>
      </c>
      <c r="P2" s="82" t="s">
        <v>74</v>
      </c>
    </row>
    <row r="3" spans="1:16" ht="6.75" customHeight="1" x14ac:dyDescent="0.2">
      <c r="B3" s="81"/>
      <c r="C3" s="81"/>
      <c r="D3" s="81"/>
      <c r="F3" s="81"/>
      <c r="G3" s="81"/>
      <c r="H3" s="81"/>
      <c r="J3" s="81"/>
      <c r="K3" s="81"/>
      <c r="L3" s="81"/>
      <c r="N3" s="81"/>
      <c r="O3" s="81"/>
      <c r="P3" s="81"/>
    </row>
    <row r="4" spans="1:16" ht="13.5" customHeight="1" x14ac:dyDescent="0.2">
      <c r="A4" s="77" t="s">
        <v>73</v>
      </c>
    </row>
    <row r="5" spans="1:16" ht="13.5" customHeight="1" x14ac:dyDescent="0.2">
      <c r="A5" s="77" t="s">
        <v>72</v>
      </c>
      <c r="B5" s="76">
        <v>8980</v>
      </c>
      <c r="C5" s="76">
        <v>12598</v>
      </c>
      <c r="D5" s="76">
        <v>11054</v>
      </c>
      <c r="F5" s="76">
        <v>558.92899999999997</v>
      </c>
      <c r="G5" s="76">
        <v>1211.242</v>
      </c>
      <c r="H5" s="76">
        <v>1413.88</v>
      </c>
      <c r="J5" s="76">
        <v>22735</v>
      </c>
      <c r="K5" s="76">
        <v>11731</v>
      </c>
      <c r="L5" s="76">
        <v>12406</v>
      </c>
      <c r="N5" s="76">
        <v>1874</v>
      </c>
      <c r="O5" s="76">
        <v>1719</v>
      </c>
      <c r="P5" s="76">
        <v>1548</v>
      </c>
    </row>
    <row r="6" spans="1:16" ht="13.5" customHeight="1" x14ac:dyDescent="0.2">
      <c r="A6" s="77" t="s">
        <v>44</v>
      </c>
      <c r="B6" s="76">
        <v>2782</v>
      </c>
      <c r="C6" s="76">
        <v>3011</v>
      </c>
      <c r="D6" s="76">
        <v>4160</v>
      </c>
      <c r="F6" s="76">
        <v>71.911000000000001</v>
      </c>
      <c r="G6" s="76">
        <v>83.156999999999996</v>
      </c>
      <c r="H6" s="76">
        <v>98.98</v>
      </c>
      <c r="J6" s="76">
        <v>10130</v>
      </c>
      <c r="K6" s="76">
        <v>11017</v>
      </c>
      <c r="L6" s="76">
        <v>12973</v>
      </c>
      <c r="N6" s="76">
        <v>223</v>
      </c>
      <c r="O6" s="76">
        <v>213</v>
      </c>
      <c r="P6" s="76">
        <v>215</v>
      </c>
    </row>
    <row r="7" spans="1:16" ht="13.5" customHeight="1" x14ac:dyDescent="0.2">
      <c r="A7" s="77" t="s">
        <v>71</v>
      </c>
      <c r="B7" s="76">
        <v>-266</v>
      </c>
      <c r="C7" s="76">
        <v>-502</v>
      </c>
      <c r="D7" s="76">
        <v>23</v>
      </c>
      <c r="E7" s="76"/>
      <c r="F7" s="76">
        <v>74.558999999999997</v>
      </c>
      <c r="G7" s="76">
        <v>199.19800000000001</v>
      </c>
      <c r="H7" s="76">
        <v>-13</v>
      </c>
      <c r="I7" s="76"/>
      <c r="J7" s="76">
        <v>-696</v>
      </c>
      <c r="K7" s="76">
        <v>-1196</v>
      </c>
      <c r="L7" s="76">
        <v>-1675</v>
      </c>
      <c r="M7" s="76"/>
      <c r="N7" s="76">
        <v>-339</v>
      </c>
      <c r="O7" s="76">
        <v>-295</v>
      </c>
      <c r="P7" s="76">
        <v>-76</v>
      </c>
    </row>
    <row r="8" spans="1:16" ht="13.5" customHeight="1" x14ac:dyDescent="0.2">
      <c r="A8" s="77" t="s">
        <v>70</v>
      </c>
      <c r="B8" s="76">
        <v>847</v>
      </c>
      <c r="C8" s="76">
        <v>-812</v>
      </c>
      <c r="D8" s="76">
        <v>-8631</v>
      </c>
      <c r="E8" s="76"/>
      <c r="F8" s="76">
        <v>-2491.3429999999994</v>
      </c>
      <c r="G8" s="76">
        <v>-4174.0659999999998</v>
      </c>
      <c r="H8" s="76">
        <v>-4160.3229999999994</v>
      </c>
      <c r="I8" s="76"/>
      <c r="J8" s="76">
        <v>-10908</v>
      </c>
      <c r="K8" s="76">
        <v>2745</v>
      </c>
      <c r="L8" s="76">
        <v>1548</v>
      </c>
      <c r="M8" s="76"/>
      <c r="N8" s="76">
        <v>-53</v>
      </c>
      <c r="O8" s="76">
        <v>185</v>
      </c>
      <c r="P8" s="76">
        <v>-111</v>
      </c>
    </row>
    <row r="9" spans="1:16" ht="13.5" customHeight="1" x14ac:dyDescent="0.2">
      <c r="A9" s="75" t="s">
        <v>69</v>
      </c>
      <c r="B9" s="78">
        <f>SUM(B5:B8)</f>
        <v>12343</v>
      </c>
      <c r="C9" s="78">
        <f>SUM(C5:C8)</f>
        <v>14295</v>
      </c>
      <c r="D9" s="78">
        <f>SUM(D5:D8)</f>
        <v>6606</v>
      </c>
      <c r="E9" s="79"/>
      <c r="F9" s="78">
        <f>SUM(F5:F8)</f>
        <v>-1785.9439999999995</v>
      </c>
      <c r="G9" s="78">
        <f>SUM(G5:G8)</f>
        <v>-2680.4690000000001</v>
      </c>
      <c r="H9" s="78">
        <f>SUM(H5:H8)</f>
        <v>-2660.4629999999993</v>
      </c>
      <c r="I9" s="79"/>
      <c r="J9" s="78">
        <f>SUM(J5:J8)</f>
        <v>21261</v>
      </c>
      <c r="K9" s="78">
        <f>SUM(K5:K8)</f>
        <v>24297</v>
      </c>
      <c r="L9" s="78">
        <f>SUM(L5:L8)</f>
        <v>25252</v>
      </c>
      <c r="M9" s="79"/>
      <c r="N9" s="78">
        <f>SUM(N5:N8)</f>
        <v>1705</v>
      </c>
      <c r="O9" s="78">
        <f>SUM(O5:O8)</f>
        <v>1822</v>
      </c>
      <c r="P9" s="78">
        <f>SUM(P5:P8)</f>
        <v>1576</v>
      </c>
    </row>
    <row r="10" spans="1:16" ht="6.75" customHeight="1" x14ac:dyDescent="0.2">
      <c r="A10" s="77"/>
      <c r="B10" s="77"/>
      <c r="C10" s="77"/>
      <c r="D10" s="77"/>
      <c r="F10" s="77"/>
      <c r="G10" s="77"/>
      <c r="H10" s="77"/>
      <c r="J10" s="77"/>
      <c r="K10" s="77"/>
      <c r="L10" s="77"/>
      <c r="N10" s="77"/>
      <c r="O10" s="77"/>
      <c r="P10" s="77"/>
    </row>
    <row r="11" spans="1:16" ht="13.5" customHeight="1" x14ac:dyDescent="0.2">
      <c r="A11" s="77" t="s">
        <v>68</v>
      </c>
      <c r="B11" s="77"/>
      <c r="C11" s="77"/>
      <c r="D11" s="77"/>
      <c r="F11" s="77"/>
      <c r="G11" s="77"/>
      <c r="H11" s="77"/>
      <c r="J11" s="77"/>
      <c r="K11" s="77"/>
      <c r="L11" s="77"/>
      <c r="N11" s="77"/>
      <c r="O11" s="77"/>
      <c r="P11" s="77"/>
    </row>
    <row r="12" spans="1:16" ht="13.5" customHeight="1" x14ac:dyDescent="0.2">
      <c r="A12" s="77" t="s">
        <v>67</v>
      </c>
      <c r="B12" s="76">
        <v>-3623</v>
      </c>
      <c r="C12" s="76">
        <v>-4465</v>
      </c>
      <c r="D12" s="76">
        <v>-4876</v>
      </c>
      <c r="F12" s="76">
        <v>-173.3</v>
      </c>
      <c r="G12" s="76">
        <v>-173.9</v>
      </c>
      <c r="H12" s="76">
        <v>-215.4</v>
      </c>
      <c r="J12" s="76">
        <v>-9621</v>
      </c>
      <c r="K12" s="76">
        <v>-10234</v>
      </c>
      <c r="L12" s="76">
        <v>-10972</v>
      </c>
      <c r="N12" s="76">
        <v>-195</v>
      </c>
      <c r="O12" s="76">
        <v>-178</v>
      </c>
      <c r="P12" s="76">
        <v>-194</v>
      </c>
    </row>
    <row r="13" spans="1:16" ht="13.5" customHeight="1" x14ac:dyDescent="0.2">
      <c r="A13" s="77" t="s">
        <v>66</v>
      </c>
      <c r="B13" s="76" t="s">
        <v>9</v>
      </c>
      <c r="C13" s="76" t="s">
        <v>9</v>
      </c>
      <c r="D13" s="76" t="s">
        <v>9</v>
      </c>
      <c r="F13" s="76" t="s">
        <v>9</v>
      </c>
      <c r="G13" s="76" t="s">
        <v>9</v>
      </c>
      <c r="H13" s="76" t="s">
        <v>9</v>
      </c>
      <c r="J13" s="76" t="s">
        <v>9</v>
      </c>
      <c r="K13" s="76" t="s">
        <v>9</v>
      </c>
      <c r="L13" s="76" t="s">
        <v>9</v>
      </c>
      <c r="N13" s="76">
        <v>848</v>
      </c>
      <c r="O13" s="76">
        <v>57</v>
      </c>
      <c r="P13" s="76">
        <v>5</v>
      </c>
    </row>
    <row r="14" spans="1:16" ht="13.5" customHeight="1" x14ac:dyDescent="0.2">
      <c r="A14" s="77" t="s">
        <v>65</v>
      </c>
      <c r="B14" s="76">
        <v>-417</v>
      </c>
      <c r="C14" s="76">
        <v>-1881</v>
      </c>
      <c r="D14" s="76">
        <v>-9901</v>
      </c>
      <c r="F14" s="76" t="s">
        <v>9</v>
      </c>
      <c r="G14" s="76" t="s">
        <v>9</v>
      </c>
      <c r="H14" s="76" t="s">
        <v>9</v>
      </c>
      <c r="J14" s="76">
        <v>-532</v>
      </c>
      <c r="K14" s="76">
        <v>-38219</v>
      </c>
      <c r="L14" s="76">
        <v>-38312</v>
      </c>
      <c r="N14" s="76">
        <v>-378</v>
      </c>
      <c r="O14" s="76">
        <v>-112</v>
      </c>
      <c r="P14" s="76">
        <v>-424</v>
      </c>
    </row>
    <row r="15" spans="1:16" ht="13.5" customHeight="1" x14ac:dyDescent="0.2">
      <c r="A15" s="77" t="s">
        <v>64</v>
      </c>
      <c r="B15" s="76">
        <v>-71</v>
      </c>
      <c r="C15" s="76">
        <v>710</v>
      </c>
      <c r="D15" s="76">
        <v>10659</v>
      </c>
      <c r="E15" s="76"/>
      <c r="F15" s="76">
        <v>207.64000000000004</v>
      </c>
      <c r="G15" s="76">
        <v>-165.2</v>
      </c>
      <c r="H15" s="76">
        <v>-44.400000000000006</v>
      </c>
      <c r="I15" s="76"/>
      <c r="J15" s="76">
        <v>-3380</v>
      </c>
      <c r="K15" s="76">
        <v>-2401</v>
      </c>
      <c r="L15" s="76">
        <v>-3892</v>
      </c>
      <c r="M15" s="76"/>
      <c r="N15" s="76">
        <v>54</v>
      </c>
      <c r="O15" s="76">
        <v>9</v>
      </c>
      <c r="P15" s="76">
        <v>5</v>
      </c>
    </row>
    <row r="16" spans="1:16" ht="13.5" customHeight="1" x14ac:dyDescent="0.2">
      <c r="A16" s="75" t="s">
        <v>63</v>
      </c>
      <c r="B16" s="78">
        <f>SUM(B12:B15)</f>
        <v>-4111</v>
      </c>
      <c r="C16" s="78">
        <f>SUM(C12:C15)</f>
        <v>-5636</v>
      </c>
      <c r="D16" s="78">
        <f>SUM(D12:D15)</f>
        <v>-4118</v>
      </c>
      <c r="E16" s="79"/>
      <c r="F16" s="78">
        <f>SUM(F12:F15)</f>
        <v>34.340000000000032</v>
      </c>
      <c r="G16" s="78">
        <f>SUM(G12:G15)</f>
        <v>-339.1</v>
      </c>
      <c r="H16" s="78">
        <f>SUM(H12:H15)</f>
        <v>-259.8</v>
      </c>
      <c r="I16" s="79"/>
      <c r="J16" s="78">
        <f>SUM(J12:J15)</f>
        <v>-13533</v>
      </c>
      <c r="K16" s="78">
        <f>SUM(K12:K15)</f>
        <v>-50854</v>
      </c>
      <c r="L16" s="78">
        <f>SUM(L12:L15)</f>
        <v>-53176</v>
      </c>
      <c r="M16" s="79"/>
      <c r="N16" s="78">
        <f>SUM(N12:N15)</f>
        <v>329</v>
      </c>
      <c r="O16" s="78">
        <f>SUM(O12:O15)</f>
        <v>-224</v>
      </c>
      <c r="P16" s="78">
        <f>SUM(P12:P15)</f>
        <v>-608</v>
      </c>
    </row>
    <row r="17" spans="1:16" ht="6.75" customHeight="1" x14ac:dyDescent="0.2">
      <c r="A17" s="77"/>
      <c r="B17" s="77"/>
      <c r="C17" s="77"/>
      <c r="D17" s="77"/>
      <c r="F17" s="77"/>
      <c r="G17" s="77"/>
      <c r="H17" s="77"/>
      <c r="J17" s="77"/>
      <c r="K17" s="77"/>
      <c r="L17" s="77"/>
      <c r="N17" s="77"/>
      <c r="O17" s="77"/>
      <c r="P17" s="77"/>
    </row>
    <row r="18" spans="1:16" ht="13.5" customHeight="1" x14ac:dyDescent="0.2">
      <c r="A18" s="77" t="s">
        <v>62</v>
      </c>
      <c r="B18" s="77"/>
      <c r="C18" s="77"/>
      <c r="D18" s="77"/>
      <c r="F18" s="77"/>
      <c r="G18" s="77"/>
      <c r="H18" s="77"/>
      <c r="J18" s="77"/>
      <c r="K18" s="77"/>
      <c r="L18" s="77"/>
      <c r="N18" s="77"/>
      <c r="O18" s="77"/>
      <c r="P18" s="77"/>
    </row>
    <row r="19" spans="1:16" ht="13.5" customHeight="1" x14ac:dyDescent="0.2">
      <c r="A19" s="77" t="s">
        <v>61</v>
      </c>
      <c r="B19" s="80">
        <v>3703</v>
      </c>
      <c r="C19" s="80">
        <v>-2583</v>
      </c>
      <c r="D19" s="80">
        <v>3677</v>
      </c>
      <c r="E19" s="80"/>
      <c r="F19" s="80">
        <v>3020.51</v>
      </c>
      <c r="G19" s="80">
        <v>3961.8519999999999</v>
      </c>
      <c r="H19" s="80">
        <v>4305.0479999999998</v>
      </c>
      <c r="I19" s="80"/>
      <c r="J19" s="80">
        <v>3197</v>
      </c>
      <c r="K19" s="80">
        <v>36362</v>
      </c>
      <c r="L19" s="80">
        <v>22436</v>
      </c>
      <c r="M19" s="80"/>
      <c r="N19" s="80">
        <v>-783</v>
      </c>
      <c r="O19" s="80">
        <v>-1000</v>
      </c>
      <c r="P19" s="80">
        <v>-1320</v>
      </c>
    </row>
    <row r="20" spans="1:16" ht="13.5" customHeight="1" x14ac:dyDescent="0.2">
      <c r="A20" s="77" t="s">
        <v>60</v>
      </c>
      <c r="B20" s="76">
        <v>276</v>
      </c>
      <c r="C20" s="76">
        <v>210</v>
      </c>
      <c r="D20" s="76">
        <v>318</v>
      </c>
      <c r="F20" s="76">
        <v>88.378</v>
      </c>
      <c r="G20" s="76">
        <v>124.502</v>
      </c>
      <c r="H20" s="76">
        <v>68.307000000000002</v>
      </c>
      <c r="J20" s="76" t="s">
        <v>9</v>
      </c>
      <c r="K20" s="76" t="s">
        <v>9</v>
      </c>
      <c r="L20" s="76" t="s">
        <v>9</v>
      </c>
      <c r="N20" s="76">
        <v>172</v>
      </c>
      <c r="O20" s="76">
        <v>2</v>
      </c>
      <c r="P20" s="76" t="s">
        <v>9</v>
      </c>
    </row>
    <row r="21" spans="1:16" ht="13.5" customHeight="1" x14ac:dyDescent="0.2">
      <c r="A21" s="77" t="s">
        <v>59</v>
      </c>
      <c r="B21" s="76">
        <v>-9368</v>
      </c>
      <c r="C21" s="76">
        <v>-3577</v>
      </c>
      <c r="D21" s="76" t="s">
        <v>9</v>
      </c>
      <c r="F21" s="76" t="s">
        <v>9</v>
      </c>
      <c r="G21" s="76" t="s">
        <v>9</v>
      </c>
      <c r="H21" s="76" t="s">
        <v>9</v>
      </c>
      <c r="J21" s="76">
        <v>-5435</v>
      </c>
      <c r="K21" s="76">
        <v>-5320</v>
      </c>
      <c r="L21" s="76">
        <v>-1470</v>
      </c>
      <c r="N21" s="76" t="s">
        <v>9</v>
      </c>
      <c r="O21" s="76" t="s">
        <v>9</v>
      </c>
      <c r="P21" s="76" t="s">
        <v>9</v>
      </c>
    </row>
    <row r="22" spans="1:16" ht="13.5" customHeight="1" x14ac:dyDescent="0.2">
      <c r="A22" s="77" t="s">
        <v>58</v>
      </c>
      <c r="B22" s="76">
        <v>-2445</v>
      </c>
      <c r="C22" s="76">
        <v>-2515</v>
      </c>
      <c r="D22" s="76">
        <v>-2895</v>
      </c>
      <c r="F22" s="76" t="s">
        <v>9</v>
      </c>
      <c r="G22" s="76" t="s">
        <v>9</v>
      </c>
      <c r="H22" s="76" t="s">
        <v>9</v>
      </c>
      <c r="J22" s="76">
        <v>-2883</v>
      </c>
      <c r="K22" s="76">
        <v>-3352</v>
      </c>
      <c r="L22" s="76">
        <v>-3643</v>
      </c>
      <c r="N22" s="76">
        <v>-319</v>
      </c>
      <c r="O22" s="76">
        <v>-322</v>
      </c>
      <c r="P22" s="76">
        <v>-322</v>
      </c>
    </row>
    <row r="23" spans="1:16" ht="13.5" customHeight="1" x14ac:dyDescent="0.2">
      <c r="A23" s="77" t="s">
        <v>57</v>
      </c>
      <c r="B23" s="76">
        <v>-1125</v>
      </c>
      <c r="C23" s="76">
        <v>-378</v>
      </c>
      <c r="D23" s="76">
        <v>-2190</v>
      </c>
      <c r="F23" s="76">
        <v>-31.9</v>
      </c>
      <c r="G23" s="76">
        <v>-37.799999999999997</v>
      </c>
      <c r="H23" s="76">
        <v>-37.6</v>
      </c>
      <c r="J23" s="76">
        <v>-2451</v>
      </c>
      <c r="K23" s="76">
        <v>-550</v>
      </c>
      <c r="L23" s="76">
        <v>-143</v>
      </c>
      <c r="N23" s="76">
        <v>-114</v>
      </c>
      <c r="O23" s="76">
        <v>-90</v>
      </c>
      <c r="P23" s="76">
        <v>-102</v>
      </c>
    </row>
    <row r="24" spans="1:16" ht="13.5" customHeight="1" x14ac:dyDescent="0.2">
      <c r="A24" s="75" t="s">
        <v>56</v>
      </c>
      <c r="B24" s="78">
        <f>SUM(B19:B23)</f>
        <v>-8959</v>
      </c>
      <c r="C24" s="78">
        <f>SUM(C19:C23)</f>
        <v>-8843</v>
      </c>
      <c r="D24" s="78">
        <f>SUM(D19:D23)</f>
        <v>-1090</v>
      </c>
      <c r="E24" s="79"/>
      <c r="F24" s="78">
        <f>SUM(F19:F23)</f>
        <v>3076.9880000000003</v>
      </c>
      <c r="G24" s="78">
        <f>SUM(G19:G23)</f>
        <v>4048.5539999999996</v>
      </c>
      <c r="H24" s="78">
        <f>SUM(H19:H23)</f>
        <v>4335.7549999999992</v>
      </c>
      <c r="I24" s="79"/>
      <c r="J24" s="78">
        <f>SUM(J19:J23)</f>
        <v>-7572</v>
      </c>
      <c r="K24" s="78">
        <f>SUM(K19:K23)</f>
        <v>27140</v>
      </c>
      <c r="L24" s="78">
        <f>SUM(L19:L23)</f>
        <v>17180</v>
      </c>
      <c r="M24" s="79"/>
      <c r="N24" s="78">
        <f>SUM(N19:N23)</f>
        <v>-1044</v>
      </c>
      <c r="O24" s="78">
        <f>SUM(O19:O23)</f>
        <v>-1410</v>
      </c>
      <c r="P24" s="78">
        <f>SUM(P19:P23)</f>
        <v>-1744</v>
      </c>
    </row>
    <row r="25" spans="1:16" ht="6" customHeight="1" x14ac:dyDescent="0.2">
      <c r="A25" s="77"/>
      <c r="B25" s="77"/>
      <c r="C25" s="77"/>
      <c r="D25" s="77"/>
      <c r="F25" s="77"/>
      <c r="G25" s="77"/>
      <c r="H25" s="77"/>
      <c r="J25" s="77"/>
      <c r="K25" s="77"/>
      <c r="L25" s="77"/>
      <c r="N25" s="77"/>
      <c r="O25" s="77"/>
      <c r="P25" s="77"/>
    </row>
    <row r="26" spans="1:16" ht="13.5" customHeight="1" x14ac:dyDescent="0.2">
      <c r="A26" s="77" t="s">
        <v>55</v>
      </c>
      <c r="B26" s="76">
        <v>31</v>
      </c>
      <c r="C26" s="76">
        <v>-25</v>
      </c>
      <c r="D26" s="76">
        <v>-98</v>
      </c>
      <c r="F26" s="76">
        <v>29.847999999999999</v>
      </c>
      <c r="G26" s="76">
        <v>-39.700000000000003</v>
      </c>
      <c r="H26" s="76">
        <v>-34.299999999999997</v>
      </c>
      <c r="J26" s="76" t="s">
        <v>9</v>
      </c>
      <c r="K26" s="76">
        <v>-245</v>
      </c>
      <c r="L26" s="76">
        <v>-276</v>
      </c>
      <c r="N26" s="76">
        <v>20</v>
      </c>
      <c r="O26" s="76">
        <v>-20</v>
      </c>
      <c r="P26" s="76">
        <v>-21</v>
      </c>
    </row>
    <row r="27" spans="1:16" ht="13.5" customHeight="1" x14ac:dyDescent="0.2">
      <c r="A27" s="75" t="s">
        <v>54</v>
      </c>
      <c r="B27" s="73">
        <f>SUM(B9,B16,B24,B26)</f>
        <v>-696</v>
      </c>
      <c r="C27" s="73">
        <f>SUM(C9,C16,C24,C26)</f>
        <v>-209</v>
      </c>
      <c r="D27" s="73">
        <f>SUM(D9,D16,D24,D26)</f>
        <v>1300</v>
      </c>
      <c r="E27" s="74"/>
      <c r="F27" s="73">
        <f>SUM(F9,F16,F24,F26)</f>
        <v>1355.2320000000009</v>
      </c>
      <c r="G27" s="73">
        <f>SUM(G9,G16,G24,G26)</f>
        <v>989.28499999999963</v>
      </c>
      <c r="H27" s="73">
        <f>SUM(H9,H16,H24,H26)</f>
        <v>1381.1919999999998</v>
      </c>
      <c r="I27" s="74"/>
      <c r="J27" s="73">
        <f>SUM(J9,J16,J24,J26)</f>
        <v>156</v>
      </c>
      <c r="K27" s="73">
        <f>SUM(K9,K16,K24,K26)</f>
        <v>338</v>
      </c>
      <c r="L27" s="73">
        <f>SUM(L9,L16,L24,L26)</f>
        <v>-11020</v>
      </c>
      <c r="M27" s="74"/>
      <c r="N27" s="73">
        <f>SUM(N9,N16,N24,N26)</f>
        <v>1010</v>
      </c>
      <c r="O27" s="73">
        <f>SUM(O9,O16,O24,O26)</f>
        <v>168</v>
      </c>
      <c r="P27" s="73">
        <f>SUM(P9,P16,P24,P26)</f>
        <v>-797</v>
      </c>
    </row>
  </sheetData>
  <mergeCells count="4">
    <mergeCell ref="B1:D1"/>
    <mergeCell ref="F1:H1"/>
    <mergeCell ref="J1:L1"/>
    <mergeCell ref="N1:P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69DC-7432-46AC-8E47-E159F3E85657}">
  <dimension ref="A2:E27"/>
  <sheetViews>
    <sheetView showGridLines="0" workbookViewId="0">
      <selection sqref="A1:P34"/>
    </sheetView>
  </sheetViews>
  <sheetFormatPr defaultColWidth="8.85546875" defaultRowHeight="12.75" x14ac:dyDescent="0.2"/>
  <cols>
    <col min="1" max="1" width="37" style="84" customWidth="1"/>
    <col min="2" max="2" width="7" style="85" customWidth="1"/>
    <col min="3" max="16384" width="8.85546875" style="84"/>
  </cols>
  <sheetData>
    <row r="2" spans="1:3" ht="13.5" customHeight="1" x14ac:dyDescent="0.2">
      <c r="A2" s="84" t="s">
        <v>116</v>
      </c>
    </row>
    <row r="3" spans="1:3" ht="13.5" customHeight="1" x14ac:dyDescent="0.2">
      <c r="A3" s="84" t="s">
        <v>115</v>
      </c>
      <c r="B3" s="85" t="s">
        <v>78</v>
      </c>
      <c r="C3" s="84" t="s">
        <v>114</v>
      </c>
    </row>
    <row r="4" spans="1:3" ht="13.5" customHeight="1" x14ac:dyDescent="0.2">
      <c r="A4" s="84" t="s">
        <v>113</v>
      </c>
      <c r="B4" s="85" t="s">
        <v>78</v>
      </c>
      <c r="C4" s="84" t="s">
        <v>112</v>
      </c>
    </row>
    <row r="5" spans="1:3" ht="13.5" customHeight="1" x14ac:dyDescent="0.2"/>
    <row r="6" spans="1:3" ht="13.5" customHeight="1" x14ac:dyDescent="0.2">
      <c r="A6" s="84" t="s">
        <v>111</v>
      </c>
    </row>
    <row r="7" spans="1:3" ht="13.5" customHeight="1" x14ac:dyDescent="0.2">
      <c r="A7" s="84" t="s">
        <v>110</v>
      </c>
      <c r="B7" s="85" t="s">
        <v>78</v>
      </c>
      <c r="C7" s="84" t="s">
        <v>109</v>
      </c>
    </row>
    <row r="8" spans="1:3" ht="13.5" customHeight="1" x14ac:dyDescent="0.2">
      <c r="A8" s="84" t="s">
        <v>108</v>
      </c>
      <c r="B8" s="85" t="s">
        <v>78</v>
      </c>
      <c r="C8" s="84" t="s">
        <v>107</v>
      </c>
    </row>
    <row r="9" spans="1:3" ht="13.5" customHeight="1" x14ac:dyDescent="0.2">
      <c r="A9" s="84" t="s">
        <v>106</v>
      </c>
      <c r="B9" s="85" t="s">
        <v>78</v>
      </c>
      <c r="C9" s="84" t="s">
        <v>105</v>
      </c>
    </row>
    <row r="10" spans="1:3" ht="13.5" customHeight="1" x14ac:dyDescent="0.2">
      <c r="A10" s="84" t="s">
        <v>104</v>
      </c>
      <c r="B10" s="85" t="s">
        <v>78</v>
      </c>
      <c r="C10" s="84" t="s">
        <v>103</v>
      </c>
    </row>
    <row r="11" spans="1:3" ht="13.5" customHeight="1" x14ac:dyDescent="0.2"/>
    <row r="12" spans="1:3" ht="13.5" customHeight="1" x14ac:dyDescent="0.2">
      <c r="A12" s="84" t="s">
        <v>102</v>
      </c>
    </row>
    <row r="13" spans="1:3" ht="13.5" customHeight="1" x14ac:dyDescent="0.2">
      <c r="A13" s="84" t="s">
        <v>101</v>
      </c>
      <c r="B13" s="85" t="s">
        <v>78</v>
      </c>
      <c r="C13" s="84" t="s">
        <v>100</v>
      </c>
    </row>
    <row r="14" spans="1:3" ht="13.5" customHeight="1" x14ac:dyDescent="0.2">
      <c r="A14" s="84" t="s">
        <v>99</v>
      </c>
      <c r="B14" s="85" t="s">
        <v>78</v>
      </c>
      <c r="C14" s="84" t="s">
        <v>98</v>
      </c>
    </row>
    <row r="15" spans="1:3" ht="13.5" customHeight="1" x14ac:dyDescent="0.2">
      <c r="A15" s="84" t="s">
        <v>97</v>
      </c>
      <c r="B15" s="85" t="s">
        <v>78</v>
      </c>
      <c r="C15" s="84" t="s">
        <v>96</v>
      </c>
    </row>
    <row r="16" spans="1:3" ht="13.5" customHeight="1" x14ac:dyDescent="0.2">
      <c r="A16" s="84" t="s">
        <v>95</v>
      </c>
      <c r="B16" s="85" t="s">
        <v>78</v>
      </c>
      <c r="C16" s="84" t="s">
        <v>94</v>
      </c>
    </row>
    <row r="17" spans="1:5" ht="13.5" customHeight="1" x14ac:dyDescent="0.2">
      <c r="A17" s="84" t="s">
        <v>93</v>
      </c>
      <c r="B17" s="85" t="s">
        <v>78</v>
      </c>
      <c r="C17" s="84" t="s">
        <v>92</v>
      </c>
    </row>
    <row r="18" spans="1:5" ht="13.5" customHeight="1" x14ac:dyDescent="0.2"/>
    <row r="19" spans="1:5" ht="13.5" customHeight="1" x14ac:dyDescent="0.2">
      <c r="A19" s="84" t="s">
        <v>91</v>
      </c>
    </row>
    <row r="20" spans="1:5" ht="13.5" customHeight="1" x14ac:dyDescent="0.2">
      <c r="A20" s="84" t="s">
        <v>90</v>
      </c>
      <c r="B20" s="85" t="s">
        <v>78</v>
      </c>
      <c r="C20" s="84" t="s">
        <v>89</v>
      </c>
    </row>
    <row r="21" spans="1:5" ht="13.5" customHeight="1" x14ac:dyDescent="0.2">
      <c r="A21" s="84" t="s">
        <v>88</v>
      </c>
      <c r="B21" s="85" t="s">
        <v>78</v>
      </c>
      <c r="C21" s="84" t="s">
        <v>87</v>
      </c>
    </row>
    <row r="22" spans="1:5" ht="13.5" customHeight="1" x14ac:dyDescent="0.2"/>
    <row r="23" spans="1:5" ht="13.5" customHeight="1" x14ac:dyDescent="0.2">
      <c r="A23" s="84" t="s">
        <v>86</v>
      </c>
    </row>
    <row r="24" spans="1:5" ht="13.5" customHeight="1" x14ac:dyDescent="0.2">
      <c r="A24" s="84" t="s">
        <v>85</v>
      </c>
      <c r="B24" s="85" t="s">
        <v>78</v>
      </c>
      <c r="C24" s="84" t="s">
        <v>84</v>
      </c>
      <c r="E24" s="86"/>
    </row>
    <row r="25" spans="1:5" ht="13.5" customHeight="1" x14ac:dyDescent="0.2">
      <c r="A25" s="84" t="s">
        <v>83</v>
      </c>
      <c r="B25" s="85" t="s">
        <v>78</v>
      </c>
      <c r="C25" s="84" t="s">
        <v>82</v>
      </c>
    </row>
    <row r="26" spans="1:5" ht="13.5" customHeight="1" x14ac:dyDescent="0.2">
      <c r="A26" s="84" t="s">
        <v>81</v>
      </c>
      <c r="B26" s="85" t="s">
        <v>78</v>
      </c>
      <c r="C26" s="84" t="s">
        <v>80</v>
      </c>
    </row>
    <row r="27" spans="1:5" ht="13.5" customHeight="1" x14ac:dyDescent="0.2">
      <c r="A27" s="84" t="s">
        <v>79</v>
      </c>
      <c r="B27" s="85" t="s">
        <v>78</v>
      </c>
      <c r="C27" s="84" t="s">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87BF-925E-4B3F-A691-C4E61F5745B0}">
  <dimension ref="A1:Q33"/>
  <sheetViews>
    <sheetView showGridLines="0" zoomScaleNormal="100" workbookViewId="0">
      <selection activeCell="D27" sqref="D27"/>
    </sheetView>
  </sheetViews>
  <sheetFormatPr defaultColWidth="8.85546875" defaultRowHeight="12" x14ac:dyDescent="0.2"/>
  <cols>
    <col min="1" max="1" width="33.5703125" style="1" customWidth="1"/>
    <col min="2" max="4" width="12.7109375" style="1" customWidth="1"/>
    <col min="5" max="5" width="5.42578125" style="1" customWidth="1"/>
    <col min="6" max="8" width="12.7109375" style="1" customWidth="1"/>
    <col min="9" max="9" width="5.42578125" style="1" customWidth="1"/>
    <col min="10" max="12" width="12.7109375" style="1" customWidth="1"/>
    <col min="13" max="13" width="5.28515625" style="1" customWidth="1"/>
    <col min="14" max="16" width="12.7109375" style="1" customWidth="1"/>
    <col min="17" max="16384" width="8.85546875" style="1"/>
  </cols>
  <sheetData>
    <row r="1" spans="1:17" ht="13.5" customHeight="1" x14ac:dyDescent="0.2">
      <c r="B1" s="220" t="s">
        <v>31</v>
      </c>
      <c r="C1" s="221"/>
      <c r="D1" s="221"/>
      <c r="E1" s="2"/>
      <c r="F1" s="220" t="s">
        <v>30</v>
      </c>
      <c r="G1" s="221"/>
      <c r="H1" s="221"/>
      <c r="I1" s="2"/>
      <c r="J1" s="220" t="s">
        <v>29</v>
      </c>
      <c r="K1" s="221"/>
      <c r="L1" s="221"/>
      <c r="M1" s="2"/>
      <c r="N1" s="220" t="s">
        <v>28</v>
      </c>
      <c r="O1" s="221"/>
      <c r="P1" s="221"/>
    </row>
    <row r="2" spans="1:17" ht="13.5" customHeight="1" x14ac:dyDescent="0.2">
      <c r="B2" s="82">
        <v>43008</v>
      </c>
      <c r="C2" s="82">
        <v>43372</v>
      </c>
      <c r="D2" s="82" t="s">
        <v>76</v>
      </c>
      <c r="F2" s="82">
        <v>43100</v>
      </c>
      <c r="G2" s="82">
        <v>43465</v>
      </c>
      <c r="H2" s="82">
        <v>43738</v>
      </c>
      <c r="J2" s="83" t="s">
        <v>75</v>
      </c>
      <c r="K2" s="82">
        <v>43465</v>
      </c>
      <c r="L2" s="82">
        <v>43738</v>
      </c>
      <c r="N2" s="82">
        <v>43008</v>
      </c>
      <c r="O2" s="82">
        <v>43373</v>
      </c>
      <c r="P2" s="82">
        <v>43738</v>
      </c>
    </row>
    <row r="3" spans="1:17" ht="13.5" customHeight="1" x14ac:dyDescent="0.2">
      <c r="A3" s="89" t="s">
        <v>116</v>
      </c>
    </row>
    <row r="4" spans="1:17" ht="13.5" customHeight="1" x14ac:dyDescent="0.2">
      <c r="A4" s="1" t="s">
        <v>115</v>
      </c>
      <c r="B4" s="96">
        <f>'Balance Sheet_ Standard Form'!B8/'Balance Sheet_ Standard Form'!B22</f>
        <v>0.94448077037389289</v>
      </c>
      <c r="C4" s="96">
        <f>'Balance Sheet_ Standard Form'!C8/'Balance Sheet_ Standard Form'!C22</f>
        <v>0.99822011272619404</v>
      </c>
      <c r="D4" s="96">
        <f>'Balance Sheet_ Standard Form'!D8/'Balance Sheet_ Standard Form'!D22</f>
        <v>1.0742961916039573</v>
      </c>
      <c r="E4" s="96"/>
      <c r="F4" s="96">
        <f>'Balance Sheet_ Standard Form'!F8/'Balance Sheet_ Standard Form'!F22</f>
        <v>1.4031350570549213</v>
      </c>
      <c r="G4" s="96">
        <f>'Balance Sheet_ Standard Form'!G8/'Balance Sheet_ Standard Form'!G22</f>
        <v>1.4943204589876866</v>
      </c>
      <c r="H4" s="96">
        <f>'Balance Sheet_ Standard Form'!H8/'Balance Sheet_ Standard Form'!H22</f>
        <v>0.7340632965458328</v>
      </c>
      <c r="I4" s="96"/>
      <c r="J4" s="96">
        <f>'Balance Sheet_ Standard Form'!J8/'Balance Sheet_ Standard Form'!J22</f>
        <v>0.74310007729732186</v>
      </c>
      <c r="K4" s="96">
        <f>'Balance Sheet_ Standard Form'!K8/'Balance Sheet_ Standard Form'!K22</f>
        <v>0.79150816940187663</v>
      </c>
      <c r="L4" s="96">
        <f>'Balance Sheet_ Standard Form'!L8/'Balance Sheet_ Standard Form'!L22</f>
        <v>0.85894032090499828</v>
      </c>
      <c r="M4" s="96"/>
      <c r="N4" s="96">
        <f>'Balance Sheet_ Standard Form'!N8/'Balance Sheet_ Standard Form'!N22</f>
        <v>1.6751931787903012</v>
      </c>
      <c r="O4" s="96">
        <f>'Balance Sheet_ Standard Form'!O8/'Balance Sheet_ Standard Form'!O22</f>
        <v>1.4995066600888012</v>
      </c>
      <c r="P4" s="96">
        <f>'Balance Sheet_ Standard Form'!P8/'Balance Sheet_ Standard Form'!P22</f>
        <v>1.493723849372385</v>
      </c>
    </row>
    <row r="5" spans="1:17" ht="13.5" customHeight="1" x14ac:dyDescent="0.2">
      <c r="A5" s="1" t="s">
        <v>113</v>
      </c>
      <c r="B5" s="96">
        <f>('Balance Sheet_ Standard Form'!B4+'Balance Sheet_ Standard Form'!B5)/'Balance Sheet_ Standard Form'!B22</f>
        <v>0.75194673958271419</v>
      </c>
      <c r="C5" s="96">
        <f>('Balance Sheet_ Standard Form'!C4+'Balance Sheet_ Standard Form'!C5)/'Balance Sheet_ Standard Form'!C22</f>
        <v>0.8</v>
      </c>
      <c r="D5" s="96">
        <f>('Balance Sheet_ Standard Form'!D4+'Balance Sheet_ Standard Form'!D5)/'Balance Sheet_ Standard Form'!D22</f>
        <v>0.7983116238206196</v>
      </c>
      <c r="E5" s="96"/>
      <c r="F5" s="96">
        <f>('Balance Sheet_ Standard Form'!F4+'Balance Sheet_ Standard Form'!F5)/'Balance Sheet_ Standard Form'!F22</f>
        <v>0.51639844194769713</v>
      </c>
      <c r="G5" s="96">
        <f>('Balance Sheet_ Standard Form'!G4+'Balance Sheet_ Standard Form'!G5)/'Balance Sheet_ Standard Form'!G22</f>
        <v>0.58490763520220979</v>
      </c>
      <c r="H5" s="96">
        <f>('Balance Sheet_ Standard Form'!H4+'Balance Sheet_ Standard Form'!H5)/'Balance Sheet_ Standard Form'!H22</f>
        <v>0.675289822124857</v>
      </c>
      <c r="I5" s="96"/>
      <c r="J5" s="96">
        <f>('Balance Sheet_ Standard Form'!J4+'Balance Sheet_ Standard Form'!J5)/'Balance Sheet_ Standard Form'!J22</f>
        <v>0.55754103578411318</v>
      </c>
      <c r="K5" s="96">
        <f>('Balance Sheet_ Standard Form'!K4+'Balance Sheet_ Standard Form'!K5)/'Balance Sheet_ Standard Form'!K22</f>
        <v>0.54044850197442307</v>
      </c>
      <c r="L5" s="96">
        <f>('Balance Sheet_ Standard Form'!L4+'Balance Sheet_ Standard Form'!L5)/'Balance Sheet_ Standard Form'!L22</f>
        <v>0.54603870868444337</v>
      </c>
      <c r="M5" s="96"/>
      <c r="N5" s="96">
        <f>('Balance Sheet_ Standard Form'!N4+'Balance Sheet_ Standard Form'!N5)/'Balance Sheet_ Standard Form'!N22</f>
        <v>1.2909672262190248</v>
      </c>
      <c r="O5" s="96">
        <f>('Balance Sheet_ Standard Form'!O4+'Balance Sheet_ Standard Form'!O5)/'Balance Sheet_ Standard Form'!O22</f>
        <v>1.159595461272817</v>
      </c>
      <c r="P5" s="96">
        <f>('Balance Sheet_ Standard Form'!P4+'Balance Sheet_ Standard Form'!P5)/'Balance Sheet_ Standard Form'!P22</f>
        <v>1.1707635983263598</v>
      </c>
    </row>
    <row r="6" spans="1:17" ht="13.5" customHeight="1" x14ac:dyDescent="0.2"/>
    <row r="7" spans="1:17" ht="12.95" customHeight="1" x14ac:dyDescent="0.2">
      <c r="A7" s="89" t="s">
        <v>111</v>
      </c>
    </row>
    <row r="8" spans="1:17" ht="12.95" customHeight="1" x14ac:dyDescent="0.2">
      <c r="A8" s="1" t="s">
        <v>110</v>
      </c>
      <c r="B8" s="91">
        <f>'Balance Sheet_ Standard Form'!B6/('Income Statements_Standard Form'!B6/365)</f>
        <v>32.049783047928194</v>
      </c>
      <c r="C8" s="91">
        <f>'Balance Sheet_ Standard Form'!C6/('Income Statements_Standard Form'!C6/365)</f>
        <v>30.180590356291635</v>
      </c>
      <c r="D8" s="91">
        <f>'Balance Sheet_ Standard Form'!D6/('Income Statements_Standard Form'!D6/365)</f>
        <v>54.257461088105096</v>
      </c>
      <c r="E8" s="91"/>
      <c r="F8" s="95">
        <v>0</v>
      </c>
      <c r="G8" s="95">
        <v>0</v>
      </c>
      <c r="H8" s="95">
        <v>0</v>
      </c>
      <c r="I8" s="91"/>
      <c r="J8" s="95">
        <v>0</v>
      </c>
      <c r="K8" s="95">
        <v>0</v>
      </c>
      <c r="L8" s="95">
        <v>0</v>
      </c>
      <c r="M8" s="91"/>
      <c r="N8" s="91">
        <f>'Balance Sheet_ Standard Form'!N6/('Income Statements_Standard Form'!N6/365)</f>
        <v>46.000411409764126</v>
      </c>
      <c r="O8" s="91">
        <f>'Balance Sheet_ Standard Form'!O6/('Income Statements_Standard Form'!O6/365)</f>
        <v>47.541793865387405</v>
      </c>
      <c r="P8" s="91">
        <f>'Balance Sheet_ Standard Form'!P6/('Income Statements_Standard Form'!P6/365)</f>
        <v>41.839224966720906</v>
      </c>
    </row>
    <row r="9" spans="1:17" ht="12.95" customHeight="1" x14ac:dyDescent="0.2">
      <c r="A9" s="1" t="s">
        <v>108</v>
      </c>
      <c r="B9" s="91">
        <f>'Balance Sheet_ Standard Form'!B5/('Income Statements_Standard Form'!B4/365)</f>
        <v>57.149373379037669</v>
      </c>
      <c r="C9" s="91">
        <f>'Balance Sheet_ Standard Form'!C5/('Income Statements_Standard Form'!C4/365)</f>
        <v>57.322576303126162</v>
      </c>
      <c r="D9" s="91">
        <f>'Balance Sheet_ Standard Form'!D5/('Income Statements_Standard Form'!D4/365)</f>
        <v>81.221287911456088</v>
      </c>
      <c r="E9" s="91"/>
      <c r="F9" s="95">
        <v>0</v>
      </c>
      <c r="G9" s="95">
        <v>0</v>
      </c>
      <c r="H9" s="91">
        <f>'Balance Sheet_ Standard Form'!H5/('Income Statements_Standard Form'!H4/365)</f>
        <v>9.0142316209905005</v>
      </c>
      <c r="I9" s="91"/>
      <c r="J9" s="91">
        <f>'Balance Sheet_ Standard Form'!J5/('Income Statements_Standard Form'!J4/365)</f>
        <v>37.921297439697042</v>
      </c>
      <c r="K9" s="91">
        <f>'Balance Sheet_ Standard Form'!K5/('Income Statements_Standard Form'!K4/365)</f>
        <v>42.885288920397436</v>
      </c>
      <c r="L9" s="91">
        <f>'Balance Sheet_ Standard Form'!L5/('Income Statements_Standard Form'!L4/365)</f>
        <v>35.978042254820558</v>
      </c>
      <c r="M9" s="91"/>
      <c r="N9" s="91">
        <f>'Balance Sheet_ Standard Form'!N5/('Income Statements_Standard Form'!N4/365)</f>
        <v>95.109703686948663</v>
      </c>
      <c r="O9" s="91">
        <f>'Balance Sheet_ Standard Form'!O5/('Income Statements_Standard Form'!O4/365)</f>
        <v>88.662597543073474</v>
      </c>
      <c r="P9" s="91">
        <f>'Balance Sheet_ Standard Form'!P5/('Income Statements_Standard Form'!P4/365)</f>
        <v>105.67884405670667</v>
      </c>
    </row>
    <row r="10" spans="1:17" ht="12.95" customHeight="1" x14ac:dyDescent="0.2">
      <c r="A10" s="1" t="s">
        <v>106</v>
      </c>
      <c r="B10" s="94">
        <f>'Balance Sheet_ Standard Form'!B19/('Income Statements_Standard Form'!B6/365)</f>
        <v>76.225530787320722</v>
      </c>
      <c r="C10" s="94">
        <f>'Balance Sheet_ Standard Form'!C19/('Income Statements_Standard Form'!C6/365)</f>
        <v>72.529334474118443</v>
      </c>
      <c r="D10" s="94">
        <f>'Balance Sheet_ Standard Form'!D19/('Income Statements_Standard Form'!D6/365)</f>
        <v>155.85772764053499</v>
      </c>
      <c r="E10" s="91"/>
      <c r="F10" s="94">
        <f>'Balance Sheet_ Standard Form'!F19/('Income Statements_Standard Form'!F6/365)</f>
        <v>16.337305489854351</v>
      </c>
      <c r="G10" s="94">
        <f>'Balance Sheet_ Standard Form'!G19/('Income Statements_Standard Form'!G6/365)</f>
        <v>20.615875755878733</v>
      </c>
      <c r="H10" s="94">
        <f>'Balance Sheet_ Standard Form'!H19/('Income Statements_Standard Form'!H6/365)</f>
        <v>13.846324051320556</v>
      </c>
      <c r="I10" s="91"/>
      <c r="J10" s="94">
        <f>'Balance Sheet_ Standard Form'!J19/('Income Statements_Standard Form'!J6/365)</f>
        <v>99.444685466377436</v>
      </c>
      <c r="K10" s="94">
        <f>'Balance Sheet_ Standard Form'!K19/('Income Statements_Standard Form'!K6/365)</f>
        <v>104.41566751987068</v>
      </c>
      <c r="L10" s="94">
        <f>'Balance Sheet_ Standard Form'!L19/('Income Statements_Standard Form'!L6/365)</f>
        <v>108.2306931844615</v>
      </c>
      <c r="M10" s="91"/>
      <c r="N10" s="94">
        <f>'Balance Sheet_ Standard Form'!N19/('Income Statements_Standard Form'!N6/365)</f>
        <v>21.573642347778389</v>
      </c>
      <c r="O10" s="94">
        <f>'Balance Sheet_ Standard Form'!O19/('Income Statements_Standard Form'!O6/365)</f>
        <v>22.974996365750833</v>
      </c>
      <c r="P10" s="94">
        <f>'Balance Sheet_ Standard Form'!P19/('Income Statements_Standard Form'!P6/365)</f>
        <v>26.021298624463839</v>
      </c>
    </row>
    <row r="11" spans="1:17" s="92" customFormat="1" ht="12.95" customHeight="1" x14ac:dyDescent="0.2">
      <c r="A11" s="93" t="s">
        <v>104</v>
      </c>
      <c r="B11" s="93">
        <f>B8+B9-B10</f>
        <v>12.973625639645135</v>
      </c>
      <c r="C11" s="93">
        <f>C8+C9-C10</f>
        <v>14.973832185299358</v>
      </c>
      <c r="D11" s="93">
        <f>D8+D9-D10</f>
        <v>-20.378978640973799</v>
      </c>
      <c r="E11" s="93"/>
      <c r="F11" s="93">
        <f>F8+F9-F10</f>
        <v>-16.337305489854351</v>
      </c>
      <c r="G11" s="93">
        <f>G8+G9-G10</f>
        <v>-20.615875755878733</v>
      </c>
      <c r="H11" s="93">
        <f>H8+H9-H10</f>
        <v>-4.8320924303300554</v>
      </c>
      <c r="I11" s="93"/>
      <c r="J11" s="93">
        <f>J8+J9-J10</f>
        <v>-61.523388026680394</v>
      </c>
      <c r="K11" s="93">
        <f>K8+K9-K10</f>
        <v>-61.530378599473245</v>
      </c>
      <c r="L11" s="93">
        <f>L8+L9-L10</f>
        <v>-72.252650929640936</v>
      </c>
      <c r="M11" s="93"/>
      <c r="N11" s="93">
        <f>N8+N9-N10</f>
        <v>119.53647274893439</v>
      </c>
      <c r="O11" s="93">
        <f>O8+O9-O10</f>
        <v>113.22939504271005</v>
      </c>
      <c r="P11" s="93">
        <f>P8+P9-P10</f>
        <v>121.49677039896375</v>
      </c>
      <c r="Q11" s="93"/>
    </row>
    <row r="12" spans="1:17" ht="12.95" customHeight="1" x14ac:dyDescent="0.2"/>
    <row r="13" spans="1:17" ht="13.5" customHeight="1" x14ac:dyDescent="0.2">
      <c r="A13" s="89" t="s">
        <v>102</v>
      </c>
    </row>
    <row r="14" spans="1:17" ht="13.5" customHeight="1" x14ac:dyDescent="0.2">
      <c r="A14" s="1" t="s">
        <v>101</v>
      </c>
      <c r="B14" s="91">
        <f>'Balance Sheet_ Standard Form'!B24/'Balance Sheet_ Standard Form'!B16</f>
        <v>0.22853354769336773</v>
      </c>
      <c r="C14" s="91">
        <f>'Balance Sheet_ Standard Form'!C24/'Balance Sheet_ Standard Form'!C16</f>
        <v>0.18346213919146434</v>
      </c>
      <c r="D14" s="91">
        <f>'Balance Sheet_ Standard Form'!D24/'Balance Sheet_ Standard Form'!D16</f>
        <v>0.22409580171560542</v>
      </c>
      <c r="E14" s="91"/>
      <c r="F14" s="91">
        <f>'Balance Sheet_ Standard Form'!F24/'Balance Sheet_ Standard Form'!F16</f>
        <v>0.34184586390316057</v>
      </c>
      <c r="G14" s="91">
        <f>'Balance Sheet_ Standard Form'!G24/'Balance Sheet_ Standard Form'!G16</f>
        <v>0.3988561977074444</v>
      </c>
      <c r="H14" s="91">
        <f>'Balance Sheet_ Standard Form'!H24/'Balance Sheet_ Standard Form'!H16</f>
        <v>0.40158556175700016</v>
      </c>
      <c r="I14" s="91"/>
      <c r="J14" s="91">
        <f>'Balance Sheet_ Standard Form'!J24/'Balance Sheet_ Standard Form'!J16</f>
        <v>0.31698157493251966</v>
      </c>
      <c r="K14" s="91">
        <f>'Balance Sheet_ Standard Form'!K24/'Balance Sheet_ Standard Form'!K16</f>
        <v>0.42473498514009633</v>
      </c>
      <c r="L14" s="91">
        <f>'Balance Sheet_ Standard Form'!L24/'Balance Sheet_ Standard Form'!L16</f>
        <v>0.38945836941343503</v>
      </c>
      <c r="M14" s="91"/>
      <c r="N14" s="91">
        <f>'Balance Sheet_ Standard Form'!N24/'Balance Sheet_ Standard Form'!N16</f>
        <v>0.46839395729597433</v>
      </c>
      <c r="O14" s="91">
        <f>'Balance Sheet_ Standard Form'!O24/'Balance Sheet_ Standard Form'!O16</f>
        <v>0.40007568431232393</v>
      </c>
      <c r="P14" s="91">
        <f>'Balance Sheet_ Standard Form'!P24/'Balance Sheet_ Standard Form'!P16</f>
        <v>0.36500359089180856</v>
      </c>
    </row>
    <row r="15" spans="1:17" ht="13.5" customHeight="1" x14ac:dyDescent="0.2">
      <c r="A15" s="1" t="s">
        <v>99</v>
      </c>
      <c r="B15" s="91">
        <f>'Balance Sheet_ Standard Form'!B24/'Balance Sheet_ Standard Form'!B28</f>
        <v>0.52985598450925819</v>
      </c>
      <c r="C15" s="91">
        <f>'Balance Sheet_ Standard Form'!C24/'Balance Sheet_ Standard Form'!C28</f>
        <v>0.37088143029955101</v>
      </c>
      <c r="D15" s="91">
        <f>'Balance Sheet_ Standard Form'!D24/'Balance Sheet_ Standard Form'!D28</f>
        <v>0.48911416902010646</v>
      </c>
      <c r="E15" s="91"/>
      <c r="F15" s="91">
        <f>'Balance Sheet_ Standard Form'!F24/'Balance Sheet_ Standard Form'!F28</f>
        <v>1.81449241699228</v>
      </c>
      <c r="G15" s="91">
        <f>'Balance Sheet_ Standard Form'!G24/'Balance Sheet_ Standard Form'!G28</f>
        <v>1.977576394436475</v>
      </c>
      <c r="H15" s="91">
        <f>'Balance Sheet_ Standard Form'!H24/'Balance Sheet_ Standard Form'!H28</f>
        <v>1.8109359389813167</v>
      </c>
      <c r="I15" s="91"/>
      <c r="J15" s="91">
        <f>'Balance Sheet_ Standard Form'!J24/'Balance Sheet_ Standard Form'!J28</f>
        <v>0.86600792818001637</v>
      </c>
      <c r="K15" s="91">
        <f>'Balance Sheet_ Standard Form'!K24/'Balance Sheet_ Standard Form'!K28</f>
        <v>1.4927317665786939</v>
      </c>
      <c r="L15" s="91">
        <f>'Balance Sheet_ Standard Form'!L24/'Balance Sheet_ Standard Form'!L28</f>
        <v>1.2777308558558558</v>
      </c>
      <c r="M15" s="91"/>
      <c r="N15" s="91">
        <f>'Balance Sheet_ Standard Form'!N24/'Balance Sheet_ Standard Form'!N28</f>
        <v>1.8392709196354597</v>
      </c>
      <c r="O15" s="91">
        <f>'Balance Sheet_ Standard Form'!O24/'Balance Sheet_ Standard Form'!O28</f>
        <v>1.2845956527609019</v>
      </c>
      <c r="P15" s="91">
        <f>'Balance Sheet_ Standard Form'!P24/'Balance Sheet_ Standard Form'!P28</f>
        <v>1.022001419446416</v>
      </c>
    </row>
    <row r="16" spans="1:17" ht="13.5" customHeight="1" x14ac:dyDescent="0.2">
      <c r="A16" s="1" t="s">
        <v>121</v>
      </c>
      <c r="B16" s="91">
        <f>'Balance Sheet_ Standard Form'!B24/('Income Statements_Standard Form'!B12+'Income Statements_Standard Form'!B10)</f>
        <v>1.3053667262969588</v>
      </c>
      <c r="C16" s="91">
        <f>'Balance Sheet_ Standard Form'!C24/('Income Statements_Standard Form'!C12+'Income Statements_Standard Form'!C10)</f>
        <v>1.0135029134917077</v>
      </c>
      <c r="D16" s="91">
        <f>'Balance Sheet_ Standard Form'!D24/('Income Statements_Standard Form'!D12+'Income Statements_Standard Form'!D10)</f>
        <v>2.6978502097659063</v>
      </c>
      <c r="E16" s="91"/>
      <c r="F16" s="91">
        <f>'Balance Sheet_ Standard Form'!F24/('Income Statements_Standard Form'!F12+'Income Statements_Standard Form'!F10)</f>
        <v>7.7496062259815766</v>
      </c>
      <c r="G16" s="91">
        <f>'Balance Sheet_ Standard Form'!G24/('Income Statements_Standard Form'!G12+'Income Statements_Standard Form'!G10)</f>
        <v>6.4539560161622118</v>
      </c>
      <c r="H16" s="91">
        <f>'Balance Sheet_ Standard Form'!H24/('Income Statements_Standard Form'!H12+'Income Statements_Standard Form'!H10)</f>
        <v>5.2617821909634914</v>
      </c>
      <c r="I16" s="91"/>
      <c r="J16" s="91">
        <f>'Balance Sheet_ Standard Form'!J24/('Income Statements_Standard Form'!J12+'Income Statements_Standard Form'!J10)</f>
        <v>2.3311887014515498</v>
      </c>
      <c r="K16" s="91">
        <f>'Balance Sheet_ Standard Form'!K24/('Income Statements_Standard Form'!K12+'Income Statements_Standard Form'!K10)</f>
        <v>3.9174362357080037</v>
      </c>
      <c r="L16" s="91">
        <f>'Balance Sheet_ Standard Form'!L24/('Income Statements_Standard Form'!L12+'Income Statements_Standard Form'!L10)</f>
        <v>3.3876297753952636</v>
      </c>
      <c r="M16" s="91"/>
      <c r="N16" s="91">
        <f>'Balance Sheet_ Standard Form'!N24/('Income Statements_Standard Form'!N12+'Income Statements_Standard Form'!N10)</f>
        <v>3.7424140256237357</v>
      </c>
      <c r="O16" s="91">
        <f>'Balance Sheet_ Standard Form'!O24/('Income Statements_Standard Form'!O12+'Income Statements_Standard Form'!O10)</f>
        <v>3.1632313829787235</v>
      </c>
      <c r="P16" s="91">
        <f>'Balance Sheet_ Standard Form'!P24/('Income Statements_Standard Form'!P12+'Income Statements_Standard Form'!P10)</f>
        <v>2.951827810044414</v>
      </c>
    </row>
    <row r="17" spans="1:16" ht="13.5" customHeight="1" x14ac:dyDescent="0.2">
      <c r="A17" s="1" t="s">
        <v>95</v>
      </c>
      <c r="B17" s="91">
        <f>-('Income Statements_Standard Form'!B12+'Income Statements_Standard Form'!B10)/'Income Statements_Standard Form'!B13</f>
        <v>40.703883495145632</v>
      </c>
      <c r="C17" s="91">
        <f>-('Income Statements_Standard Form'!C12+'Income Statements_Standard Form'!C10)/'Income Statements_Standard Form'!C13</f>
        <v>31.094076655052266</v>
      </c>
      <c r="D17" s="91">
        <f>-('Income Statements_Standard Form'!D12+'Income Statements_Standard Form'!D10)/'Income Statements_Standard Form'!D13</f>
        <v>16.442040816326532</v>
      </c>
      <c r="E17" s="91"/>
      <c r="F17" s="91">
        <f>-('Income Statements_Standard Form'!F12+'Income Statements_Standard Form'!F10)/'Income Statements_Standard Form'!F13</f>
        <v>3.7208473824312316</v>
      </c>
      <c r="G17" s="91">
        <f>-('Income Statements_Standard Form'!G12+'Income Statements_Standard Form'!G10)/'Income Statements_Standard Form'!G13</f>
        <v>4.2488777130757001</v>
      </c>
      <c r="H17" s="91">
        <f>-('Income Statements_Standard Form'!H12+'Income Statements_Standard Form'!H10)/'Income Statements_Standard Form'!H13</f>
        <v>4.6376846032992916</v>
      </c>
      <c r="I17" s="91"/>
      <c r="J17" s="91">
        <f>-('Income Statements_Standard Form'!J12+'Income Statements_Standard Form'!J10)/'Income Statements_Standard Form'!J13</f>
        <v>9.2522686025408341</v>
      </c>
      <c r="K17" s="91">
        <f>-('Income Statements_Standard Form'!K12+'Income Statements_Standard Form'!K10)/'Income Statements_Standard Form'!K13</f>
        <v>8.4850746268656714</v>
      </c>
      <c r="L17" s="91">
        <f>-('Income Statements_Standard Form'!L12+'Income Statements_Standard Form'!L10)/'Income Statements_Standard Form'!L13</f>
        <v>6.8132223763291728</v>
      </c>
      <c r="M17" s="91"/>
      <c r="N17" s="91">
        <f>-('Income Statements_Standard Form'!N12+'Income Statements_Standard Form'!N10)/'Income Statements_Standard Form'!N13</f>
        <v>4.7993527508090619</v>
      </c>
      <c r="O17" s="91">
        <f>-('Income Statements_Standard Form'!O12+'Income Statements_Standard Form'!O10)/'Income Statements_Standard Form'!O13</f>
        <v>5.371428571428571</v>
      </c>
      <c r="P17" s="91">
        <f>-('Income Statements_Standard Form'!P12+'Income Statements_Standard Form'!P10)/'Income Statements_Standard Form'!P13</f>
        <v>5.9856850715746424</v>
      </c>
    </row>
    <row r="18" spans="1:16" ht="13.5" customHeight="1" x14ac:dyDescent="0.2">
      <c r="A18" s="1" t="s">
        <v>93</v>
      </c>
      <c r="B18" s="91">
        <f>-'Income Statements_Standard Form'!B12/'Income Statements_Standard Form'!B13</f>
        <v>33.95145631067961</v>
      </c>
      <c r="C18" s="91">
        <f>-'Income Statements_Standard Form'!C12/'Income Statements_Standard Form'!C13</f>
        <v>25.848432055749129</v>
      </c>
      <c r="D18" s="91">
        <f>-'Income Statements_Standard Form'!D12/'Income Statements_Standard Form'!D13</f>
        <v>12.197142857142858</v>
      </c>
      <c r="E18" s="91"/>
      <c r="F18" s="91">
        <f>-'Income Statements_Standard Form'!F12/'Income Statements_Standard Form'!F13</f>
        <v>3.7208473824312316</v>
      </c>
      <c r="G18" s="91">
        <f>-'Income Statements_Standard Form'!G12/'Income Statements_Standard Form'!G13</f>
        <v>4.2488777130757001</v>
      </c>
      <c r="H18" s="91">
        <f>-'Income Statements_Standard Form'!H12/'Income Statements_Standard Form'!H13</f>
        <v>4.6376846032992916</v>
      </c>
      <c r="I18" s="91"/>
      <c r="J18" s="91">
        <f>-'Income Statements_Standard Form'!J12/'Income Statements_Standard Form'!J13</f>
        <v>6.3796733212341197</v>
      </c>
      <c r="K18" s="91">
        <f>-'Income Statements_Standard Form'!K12/'Income Statements_Standard Form'!K13</f>
        <v>5.9101368159203984</v>
      </c>
      <c r="L18" s="91">
        <f>-'Income Statements_Standard Form'!L12/'Income Statements_Standard Form'!L13</f>
        <v>4.7854831252889509</v>
      </c>
      <c r="M18" s="91"/>
      <c r="N18" s="91">
        <f>-'Income Statements_Standard Form'!N12/'Income Statements_Standard Form'!N13</f>
        <v>4.4385113268608416</v>
      </c>
      <c r="O18" s="91">
        <f>-'Income Statements_Standard Form'!O12/'Income Statements_Standard Form'!O13</f>
        <v>4.9910714285714288</v>
      </c>
      <c r="P18" s="91">
        <f>-'Income Statements_Standard Form'!P12/'Income Statements_Standard Form'!P13</f>
        <v>5.5460122699386503</v>
      </c>
    </row>
    <row r="19" spans="1:16" ht="13.5" customHeight="1" x14ac:dyDescent="0.2"/>
    <row r="20" spans="1:16" ht="13.5" customHeight="1" x14ac:dyDescent="0.2">
      <c r="A20" s="89" t="s">
        <v>91</v>
      </c>
    </row>
    <row r="21" spans="1:16" ht="13.5" customHeight="1" x14ac:dyDescent="0.2">
      <c r="A21" s="1" t="s">
        <v>90</v>
      </c>
      <c r="B21" s="88">
        <f>'Income Statements_Standard Form'!B20/'Balance Sheet_ Standard Form'!B28</f>
        <v>0.21735447174149825</v>
      </c>
      <c r="C21" s="88">
        <f>'Income Statements_Standard Form'!C20/'Balance Sheet_ Standard Form'!C28</f>
        <v>0.25829864884259734</v>
      </c>
      <c r="D21" s="88">
        <f>'Income Statements_Standard Form'!D20/'Balance Sheet_ Standard Form'!D28</f>
        <v>0.12437413504056168</v>
      </c>
      <c r="E21" s="88"/>
      <c r="F21" s="88">
        <f>'Income Statements_Standard Form'!F20/'Balance Sheet_ Standard Form'!F28</f>
        <v>0.11493133919009603</v>
      </c>
      <c r="G21" s="88">
        <f>'Income Statements_Standard Form'!G20/'Balance Sheet_ Standard Form'!G28</f>
        <v>0.23120143774343752</v>
      </c>
      <c r="H21" s="88">
        <f>'Income Statements_Standard Form'!H20/'Balance Sheet_ Standard Form'!H28</f>
        <v>0.20606193539172515</v>
      </c>
      <c r="I21" s="88"/>
      <c r="J21" s="88">
        <f>'Income Statements_Standard Form'!J20/'Balance Sheet_ Standard Form'!J28</f>
        <v>0.1107176168823598</v>
      </c>
      <c r="K21" s="88">
        <f>'Income Statements_Standard Form'!K20/'Balance Sheet_ Standard Form'!K28</f>
        <v>0.16381103989499113</v>
      </c>
      <c r="L21" s="88">
        <f>'Income Statements_Standard Form'!L20/'Balance Sheet_ Standard Form'!L28</f>
        <v>0.15875819000819</v>
      </c>
      <c r="M21" s="88"/>
      <c r="N21" s="88">
        <f>'Income Statements_Standard Form'!N20/'Balance Sheet_ Standard Form'!N28</f>
        <v>0.31052195526097764</v>
      </c>
      <c r="O21" s="88">
        <f>'Income Statements_Standard Form'!O20/'Balance Sheet_ Standard Form'!O28</f>
        <v>0.23207776427703525</v>
      </c>
      <c r="P21" s="88">
        <f>'Income Statements_Standard Form'!P20/'Balance Sheet_ Standard Form'!P28</f>
        <v>0.18310858765081617</v>
      </c>
    </row>
    <row r="22" spans="1:16" ht="13.5" customHeight="1" x14ac:dyDescent="0.2">
      <c r="A22" s="1" t="s">
        <v>88</v>
      </c>
      <c r="B22" s="88">
        <f>'Income Statements_Standard Form'!B20/'Balance Sheet_ Standard Form'!B16</f>
        <v>9.3747716334860995E-2</v>
      </c>
      <c r="C22" s="88">
        <f>'Income Statements_Standard Form'!C20/'Balance Sheet_ Standard Form'!C16</f>
        <v>0.12777135438852716</v>
      </c>
      <c r="D22" s="88">
        <f>'Income Statements_Standard Form'!D20/'Balance Sheet_ Standard Form'!D16</f>
        <v>5.698408116133289E-2</v>
      </c>
      <c r="E22" s="88"/>
      <c r="F22" s="88">
        <f>'Income Statements_Standard Form'!F20/'Balance Sheet_ Standard Form'!F16</f>
        <v>2.1652778797560942E-2</v>
      </c>
      <c r="G22" s="88">
        <f>'Income Statements_Standard Form'!G20/'Balance Sheet_ Standard Form'!G16</f>
        <v>4.6630879404848266E-2</v>
      </c>
      <c r="H22" s="88">
        <f>'Income Statements_Standard Form'!H20/'Balance Sheet_ Standard Form'!H16</f>
        <v>4.5695430909372635E-2</v>
      </c>
      <c r="I22" s="88"/>
      <c r="J22" s="88">
        <f>'Income Statements_Standard Form'!J20/'Balance Sheet_ Standard Form'!J16</f>
        <v>4.0525546510759514E-2</v>
      </c>
      <c r="K22" s="88">
        <f>'Income Statements_Standard Form'!K20/'Balance Sheet_ Standard Form'!K16</f>
        <v>4.6610034805549816E-2</v>
      </c>
      <c r="L22" s="88">
        <f>'Income Statements_Standard Form'!L20/'Balance Sheet_ Standard Form'!L16</f>
        <v>4.839024238027257E-2</v>
      </c>
      <c r="M22" s="88"/>
      <c r="N22" s="88">
        <f>'Income Statements_Standard Form'!N20/'Balance Sheet_ Standard Form'!N16</f>
        <v>7.9078403240779818E-2</v>
      </c>
      <c r="O22" s="88">
        <f>'Income Statements_Standard Form'!O20/'Balance Sheet_ Standard Form'!O16</f>
        <v>7.2278518269352054E-2</v>
      </c>
      <c r="P22" s="88">
        <f>'Income Statements_Standard Form'!P20/'Balance Sheet_ Standard Form'!P16</f>
        <v>6.5396476701449033E-2</v>
      </c>
    </row>
    <row r="23" spans="1:16" ht="13.5" customHeight="1" x14ac:dyDescent="0.2"/>
    <row r="24" spans="1:16" ht="13.5" customHeight="1" x14ac:dyDescent="0.2">
      <c r="A24" s="89" t="s">
        <v>120</v>
      </c>
    </row>
    <row r="25" spans="1:16" ht="13.5" customHeight="1" x14ac:dyDescent="0.2">
      <c r="A25" s="1" t="s">
        <v>119</v>
      </c>
      <c r="B25" s="90"/>
      <c r="C25" s="90">
        <f>'Income Statements_Standard Form'!C4/'Income Statements_Standard Form'!B4-1</f>
        <v>7.7933148339590419E-2</v>
      </c>
      <c r="D25" s="90">
        <f>'Income Statements_Standard Form'!D4/'Income Statements_Standard Form'!C4-1</f>
        <v>0.17054211394151486</v>
      </c>
      <c r="F25" s="90"/>
      <c r="G25" s="90">
        <f>'Income Statements_Standard Form'!G4/'Income Statements_Standard Form'!F4-1</f>
        <v>0.35078497180252355</v>
      </c>
      <c r="H25" s="90">
        <f>'Income Statements_Standard Form'!H4/'Income Statements_Standard Form'!G4-1</f>
        <v>0.19510234710014163</v>
      </c>
      <c r="J25" s="90"/>
      <c r="K25" s="90">
        <f>'Income Statements_Standard Form'!K4/'Income Statements_Standard Form'!J4-1</f>
        <v>0.11146785214456245</v>
      </c>
      <c r="L25" s="90">
        <f>'Income Statements_Standard Form'!L4/'Income Statements_Standard Form'!K4-1</f>
        <v>0.14689917148994258</v>
      </c>
      <c r="N25" s="90"/>
      <c r="O25" s="90">
        <f>'Income Statements_Standard Form'!O4/'Income Statements_Standard Form'!N4-1</f>
        <v>-2.4127271356405022E-2</v>
      </c>
      <c r="P25" s="90">
        <f>'Income Statements_Standard Form'!P4/'Income Statements_Standard Form'!O4-1</f>
        <v>-8.1124932395889582E-3</v>
      </c>
    </row>
    <row r="26" spans="1:16" ht="13.5" customHeight="1" x14ac:dyDescent="0.2">
      <c r="A26" s="1" t="s">
        <v>118</v>
      </c>
      <c r="B26" s="90"/>
      <c r="C26" s="90">
        <f>'Income Statements_Standard Form'!C12/'Income Statements_Standard Form'!B12-1</f>
        <v>6.0694881326851524E-2</v>
      </c>
      <c r="D26" s="90">
        <f>'Income Statements_Standard Form'!D12/'Income Statements_Standard Form'!C12-1</f>
        <v>-0.19436543775695891</v>
      </c>
      <c r="F26" s="90"/>
      <c r="G26" s="90">
        <f>'Income Statements_Standard Form'!G12/'Income Statements_Standard Form'!F12-1</f>
        <v>0.91399331567858555</v>
      </c>
      <c r="H26" s="90">
        <f>'Income Statements_Standard Form'!H12/'Income Statements_Standard Form'!G12-1</f>
        <v>0.47113802044073516</v>
      </c>
      <c r="J26" s="90"/>
      <c r="K26" s="90">
        <f>'Income Statements_Standard Form'!K12/'Income Statements_Standard Form'!J12-1</f>
        <v>8.1417842512517158E-2</v>
      </c>
      <c r="L26" s="90">
        <f>'Income Statements_Standard Form'!L12/'Income Statements_Standard Form'!K12-1</f>
        <v>8.9177671384226942E-2</v>
      </c>
      <c r="N26" s="90"/>
      <c r="O26" s="90">
        <f>'Income Statements_Standard Form'!O12/'Income Statements_Standard Form'!N12-1</f>
        <v>1.8957345971563955E-2</v>
      </c>
      <c r="P26" s="90">
        <f>'Income Statements_Standard Form'!P12/'Income Statements_Standard Form'!O12-1</f>
        <v>-2.9695885509839037E-2</v>
      </c>
    </row>
    <row r="27" spans="1:16" ht="13.5" customHeight="1" x14ac:dyDescent="0.2">
      <c r="A27" s="1" t="s">
        <v>117</v>
      </c>
      <c r="B27" s="90"/>
      <c r="C27" s="90">
        <f>'Income Statements_Standard Form'!C20/'Income Statements_Standard Form'!B20-1</f>
        <v>0.40289532293986641</v>
      </c>
      <c r="D27" s="90">
        <f>'Income Statements_Standard Form'!D20/'Income Statements_Standard Form'!C20-1</f>
        <v>-0.12255913637085247</v>
      </c>
      <c r="F27" s="90"/>
      <c r="G27" s="90">
        <f>'Income Statements_Standard Form'!G20/'Income Statements_Standard Form'!F20-1</f>
        <v>1.9421223817586046</v>
      </c>
      <c r="H27" s="90">
        <f>'Income Statements_Standard Form'!H20/'Income Statements_Standard Form'!G20-1</f>
        <v>0.16734092353927021</v>
      </c>
      <c r="J27" s="90"/>
      <c r="K27" s="90">
        <f>'Income Statements_Standard Form'!K20/'Income Statements_Standard Form'!J20-1</f>
        <v>0.5441621692773464</v>
      </c>
      <c r="L27" s="90">
        <f>'Income Statements_Standard Form'!L20/'Income Statements_Standard Form'!K20-1</f>
        <v>5.7539851675048936E-2</v>
      </c>
      <c r="N27" s="90"/>
      <c r="O27" s="90">
        <f>'Income Statements_Standard Form'!O20/'Income Statements_Standard Form'!N20-1</f>
        <v>-8.2710779082177166E-2</v>
      </c>
      <c r="P27" s="90">
        <f>'Income Statements_Standard Form'!P20/'Income Statements_Standard Form'!O20-1</f>
        <v>-9.9476439790575966E-2</v>
      </c>
    </row>
    <row r="28" spans="1:16" ht="13.5" customHeight="1" x14ac:dyDescent="0.2"/>
    <row r="29" spans="1:16" ht="13.5" customHeight="1" x14ac:dyDescent="0.2">
      <c r="A29" s="89" t="s">
        <v>86</v>
      </c>
    </row>
    <row r="30" spans="1:16" ht="13.5" customHeight="1" x14ac:dyDescent="0.2">
      <c r="A30" s="1" t="str">
        <f>A21</f>
        <v>Return on common equity</v>
      </c>
      <c r="B30" s="88">
        <f>B31*B32*B33</f>
        <v>0.21735447174149825</v>
      </c>
      <c r="C30" s="88">
        <f>C31*C32*C33</f>
        <v>0.25829864884259729</v>
      </c>
      <c r="D30" s="88">
        <f>D31*D32*D33</f>
        <v>0.12437413504056168</v>
      </c>
      <c r="E30" s="88"/>
      <c r="F30" s="88">
        <f>F31*F32*F33</f>
        <v>0.11493133919009603</v>
      </c>
      <c r="G30" s="88">
        <f>G31*G32*G33</f>
        <v>0.23120143774343757</v>
      </c>
      <c r="H30" s="88">
        <f>H31*H32*H33</f>
        <v>0.20606193539172515</v>
      </c>
      <c r="I30" s="88"/>
      <c r="J30" s="88">
        <f>J31*J32*J33</f>
        <v>0.1107176168823598</v>
      </c>
      <c r="K30" s="88">
        <f>K31*K32*K33</f>
        <v>0.16381103989499113</v>
      </c>
      <c r="L30" s="88">
        <f>L31*L32*L33</f>
        <v>0.15875819000819003</v>
      </c>
      <c r="M30" s="88"/>
      <c r="N30" s="88">
        <f>N31*N32*N33</f>
        <v>0.31052195526097764</v>
      </c>
      <c r="O30" s="88">
        <f>O31*O32*O33</f>
        <v>0.23207776427703525</v>
      </c>
      <c r="P30" s="88">
        <f>P31*P32*P33</f>
        <v>0.18310858765081614</v>
      </c>
    </row>
    <row r="31" spans="1:16" ht="13.5" customHeight="1" x14ac:dyDescent="0.2">
      <c r="A31" s="1" t="s">
        <v>83</v>
      </c>
      <c r="B31" s="88">
        <f>'Income Statements_Standard Form'!B20/'Income Statements_Standard Form'!B4</f>
        <v>0.16286704028148066</v>
      </c>
      <c r="C31" s="88">
        <f>'Income Statements_Standard Form'!C20/'Income Statements_Standard Form'!C4</f>
        <v>0.21196621462462564</v>
      </c>
      <c r="D31" s="88">
        <f>'Income Statements_Standard Form'!D20/'Income Statements_Standard Form'!D4</f>
        <v>0.15889032629006755</v>
      </c>
      <c r="E31" s="88"/>
      <c r="F31" s="88">
        <f>'Income Statements_Standard Form'!F20/'Income Statements_Standard Form'!F4</f>
        <v>3.5208167685292509E-2</v>
      </c>
      <c r="G31" s="88">
        <f>'Income Statements_Standard Form'!G20/'Income Statements_Standard Form'!G4</f>
        <v>7.6686327083858682E-2</v>
      </c>
      <c r="H31" s="88">
        <f>'Income Statements_Standard Form'!H20/'Income Statements_Standard Form'!H4</f>
        <v>7.4904955293678327E-2</v>
      </c>
      <c r="I31" s="88"/>
      <c r="J31" s="88">
        <f>'Income Statements_Standard Form'!J20/'Income Statements_Standard Form'!J4</f>
        <v>8.9345987839443017E-2</v>
      </c>
      <c r="K31" s="88">
        <f>'Income Statements_Standard Form'!K20/'Income Statements_Standard Form'!K4</f>
        <v>0.12412837144338515</v>
      </c>
      <c r="L31" s="88">
        <f>'Income Statements_Standard Form'!L20/'Income Statements_Standard Form'!L4</f>
        <v>0.11445705323369315</v>
      </c>
      <c r="M31" s="88"/>
      <c r="N31" s="88">
        <f>'Income Statements_Standard Form'!N20/'Income Statements_Standard Form'!N4</f>
        <v>0.14129533288094701</v>
      </c>
      <c r="O31" s="88">
        <f>'Income Statements_Standard Form'!O20/'Income Statements_Standard Form'!O4</f>
        <v>0.13281310360812795</v>
      </c>
      <c r="P31" s="88">
        <f>'Income Statements_Standard Form'!P20/'Income Statements_Standard Form'!P4</f>
        <v>0.12057952952173236</v>
      </c>
    </row>
    <row r="32" spans="1:16" ht="13.5" customHeight="1" x14ac:dyDescent="0.2">
      <c r="A32" s="1" t="s">
        <v>81</v>
      </c>
      <c r="B32" s="87">
        <f>'Income Statements_Standard Form'!B4/'Balance Sheet_ Standard Form'!B16</f>
        <v>0.57560889037363372</v>
      </c>
      <c r="C32" s="87">
        <f>'Income Statements_Standard Form'!C4/'Balance Sheet_ Standard Form'!C16</f>
        <v>0.60279113166595666</v>
      </c>
      <c r="D32" s="87">
        <f>'Income Statements_Standard Form'!D4/'Balance Sheet_ Standard Form'!D16</f>
        <v>0.35863782580006598</v>
      </c>
      <c r="E32" s="88"/>
      <c r="F32" s="87">
        <f>'Income Statements_Standard Form'!F4/'Balance Sheet_ Standard Form'!F16</f>
        <v>0.61499306044846935</v>
      </c>
      <c r="G32" s="87">
        <f>'Income Statements_Standard Form'!G4/'Balance Sheet_ Standard Form'!G16</f>
        <v>0.60807292744449837</v>
      </c>
      <c r="H32" s="87">
        <f>'Income Statements_Standard Form'!H4/'Balance Sheet_ Standard Form'!H16</f>
        <v>0.61004550006358715</v>
      </c>
      <c r="I32" s="88"/>
      <c r="J32" s="87">
        <f>'Income Statements_Standard Form'!J4/'Balance Sheet_ Standard Form'!J16</f>
        <v>0.45357992553157439</v>
      </c>
      <c r="K32" s="87">
        <f>'Income Statements_Standard Form'!K4/'Balance Sheet_ Standard Form'!K16</f>
        <v>0.37549864115319209</v>
      </c>
      <c r="L32" s="87">
        <f>'Income Statements_Standard Form'!L4/'Balance Sheet_ Standard Form'!L16</f>
        <v>0.42278078120246204</v>
      </c>
      <c r="M32" s="88"/>
      <c r="N32" s="87">
        <f>'Income Statements_Standard Form'!N4/'Balance Sheet_ Standard Form'!N16</f>
        <v>0.55966748248797371</v>
      </c>
      <c r="O32" s="87">
        <f>'Income Statements_Standard Form'!O4/'Balance Sheet_ Standard Form'!O16</f>
        <v>0.54421225244922844</v>
      </c>
      <c r="P32" s="87">
        <f>'Income Statements_Standard Form'!P4/'Balance Sheet_ Standard Form'!P16</f>
        <v>0.54235140044780528</v>
      </c>
    </row>
    <row r="33" spans="1:16" ht="13.5" customHeight="1" x14ac:dyDescent="0.2">
      <c r="A33" s="1" t="s">
        <v>79</v>
      </c>
      <c r="B33" s="87">
        <f>'Balance Sheet_ Standard Form'!B16/'Balance Sheet_ Standard Form'!B28</f>
        <v>2.3185041752390174</v>
      </c>
      <c r="C33" s="87">
        <f>'Balance Sheet_ Standard Form'!C16/'Balance Sheet_ Standard Form'!C28</f>
        <v>2.0215693108892214</v>
      </c>
      <c r="D33" s="87">
        <f>'Balance Sheet_ Standard Form'!D16/'Balance Sheet_ Standard Form'!D28</f>
        <v>2.1826119243448812</v>
      </c>
      <c r="E33" s="88"/>
      <c r="F33" s="87">
        <f>'Balance Sheet_ Standard Form'!F16/'Balance Sheet_ Standard Form'!F28</f>
        <v>5.3079256138266357</v>
      </c>
      <c r="G33" s="87">
        <f>'Balance Sheet_ Standard Form'!G16/'Balance Sheet_ Standard Form'!G28</f>
        <v>4.9581187550882699</v>
      </c>
      <c r="H33" s="87">
        <f>'Balance Sheet_ Standard Form'!H16/'Balance Sheet_ Standard Form'!H28</f>
        <v>4.5094647602821833</v>
      </c>
      <c r="I33" s="88"/>
      <c r="J33" s="87">
        <f>'Balance Sheet_ Standard Form'!J16/'Balance Sheet_ Standard Form'!J28</f>
        <v>2.732045004080681</v>
      </c>
      <c r="K33" s="87">
        <f>'Balance Sheet_ Standard Form'!K16/'Balance Sheet_ Standard Form'!K28</f>
        <v>3.5145015569798779</v>
      </c>
      <c r="L33" s="87">
        <f>'Balance Sheet_ Standard Form'!L16/'Balance Sheet_ Standard Form'!L28</f>
        <v>3.2807893120393121</v>
      </c>
      <c r="M33" s="88"/>
      <c r="N33" s="87">
        <f>'Balance Sheet_ Standard Form'!N16/'Balance Sheet_ Standard Form'!N28</f>
        <v>3.9267605633802818</v>
      </c>
      <c r="O33" s="87">
        <f>'Balance Sheet_ Standard Form'!O16/'Balance Sheet_ Standard Form'!O28</f>
        <v>3.2108815984879167</v>
      </c>
      <c r="P33" s="87">
        <f>'Balance Sheet_ Standard Form'!P16/'Balance Sheet_ Standard Form'!P28</f>
        <v>2.7999763425597348</v>
      </c>
    </row>
  </sheetData>
  <mergeCells count="4">
    <mergeCell ref="B1:D1"/>
    <mergeCell ref="F1:H1"/>
    <mergeCell ref="J1:L1"/>
    <mergeCell ref="N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3D54-D11D-413A-8C90-4310DDBD222C}">
  <dimension ref="A1:R30"/>
  <sheetViews>
    <sheetView showGridLines="0" zoomScaleNormal="100" workbookViewId="0">
      <selection activeCell="L42" sqref="L42"/>
    </sheetView>
  </sheetViews>
  <sheetFormatPr defaultColWidth="8.85546875" defaultRowHeight="12" x14ac:dyDescent="0.2"/>
  <cols>
    <col min="1" max="1" width="32" style="1" customWidth="1"/>
    <col min="2" max="4" width="12.7109375" style="1" customWidth="1"/>
    <col min="5" max="5" width="5.5703125" style="1" customWidth="1"/>
    <col min="6" max="8" width="12.7109375" style="1" customWidth="1"/>
    <col min="9" max="9" width="5.28515625" style="1" customWidth="1"/>
    <col min="10" max="12" width="12.7109375" style="1" customWidth="1"/>
    <col min="13" max="13" width="5.28515625" style="1" customWidth="1"/>
    <col min="14" max="16" width="12.7109375" style="1" customWidth="1"/>
    <col min="17" max="16384" width="8.85546875" style="1"/>
  </cols>
  <sheetData>
    <row r="1" spans="1:18" ht="13.5" customHeight="1" x14ac:dyDescent="0.2">
      <c r="B1" s="220" t="s">
        <v>31</v>
      </c>
      <c r="C1" s="221"/>
      <c r="D1" s="221"/>
      <c r="E1" s="2"/>
      <c r="F1" s="220" t="s">
        <v>30</v>
      </c>
      <c r="G1" s="221"/>
      <c r="H1" s="221"/>
      <c r="I1" s="2"/>
      <c r="J1" s="220" t="s">
        <v>29</v>
      </c>
      <c r="K1" s="221"/>
      <c r="L1" s="221"/>
      <c r="M1" s="2"/>
      <c r="N1" s="220" t="s">
        <v>28</v>
      </c>
      <c r="O1" s="221"/>
      <c r="P1" s="221"/>
    </row>
    <row r="2" spans="1:18" ht="13.5" customHeight="1" x14ac:dyDescent="0.2">
      <c r="B2" s="82">
        <v>43008</v>
      </c>
      <c r="C2" s="82">
        <v>43372</v>
      </c>
      <c r="D2" s="82" t="s">
        <v>76</v>
      </c>
      <c r="F2" s="82">
        <v>43100</v>
      </c>
      <c r="G2" s="82">
        <v>43465</v>
      </c>
      <c r="H2" s="82">
        <v>43738</v>
      </c>
      <c r="J2" s="83" t="s">
        <v>75</v>
      </c>
      <c r="K2" s="82">
        <v>43465</v>
      </c>
      <c r="L2" s="82">
        <v>43738</v>
      </c>
      <c r="N2" s="82">
        <v>43008</v>
      </c>
      <c r="O2" s="82">
        <v>43373</v>
      </c>
      <c r="P2" s="82">
        <v>43738</v>
      </c>
    </row>
    <row r="3" spans="1:18" ht="13.5" customHeight="1" x14ac:dyDescent="0.2">
      <c r="A3" s="1" t="s">
        <v>141</v>
      </c>
      <c r="B3" s="1">
        <v>102.74</v>
      </c>
      <c r="C3" s="1">
        <v>113.03</v>
      </c>
      <c r="D3" s="1">
        <v>146.93</v>
      </c>
      <c r="F3" s="1">
        <v>195.54</v>
      </c>
      <c r="G3" s="1">
        <v>346.71</v>
      </c>
      <c r="H3" s="1">
        <v>275.3</v>
      </c>
      <c r="J3" s="1">
        <v>36.270000000000003</v>
      </c>
      <c r="K3" s="1">
        <v>35.840000000000003</v>
      </c>
      <c r="L3" s="1">
        <v>44.84</v>
      </c>
      <c r="N3" s="1">
        <v>23.69</v>
      </c>
      <c r="O3" s="1">
        <v>32.99</v>
      </c>
      <c r="P3" s="1">
        <v>22.47</v>
      </c>
    </row>
    <row r="4" spans="1:18" ht="13.5" customHeight="1" x14ac:dyDescent="0.2"/>
    <row r="5" spans="1:18" ht="13.5" customHeight="1" x14ac:dyDescent="0.2">
      <c r="A5" s="1" t="s">
        <v>140</v>
      </c>
      <c r="B5" s="101">
        <f>('Income Statements_Standard Form'!B20/'Income Statements_Standard Form'!B22)</f>
        <v>5.6907477820025347</v>
      </c>
      <c r="C5" s="101">
        <f>('Income Statements_Standard Form'!C20/'Income Statements_Standard Form'!C22)</f>
        <v>8.3596549435965493</v>
      </c>
      <c r="D5" s="101">
        <f>('Income Statements_Standard Form'!D20/'Income Statements_Standard Form'!D22)</f>
        <v>6.6350540216086431</v>
      </c>
      <c r="E5" s="101"/>
      <c r="F5" s="101">
        <f>('Income Statements_Standard Form'!F20/'Income Statements_Standard Form'!F22)</f>
        <v>0.95321439735114588</v>
      </c>
      <c r="G5" s="101">
        <f>('Income Statements_Standard Form'!G20/'Income Statements_Standard Form'!G22)</f>
        <v>2.7819989250621293</v>
      </c>
      <c r="H5" s="101">
        <f>('Income Statements_Standard Form'!H20/'Income Statements_Standard Form'!H22)</f>
        <v>3.2335375217691076</v>
      </c>
      <c r="I5" s="101"/>
      <c r="J5" s="101">
        <f>('Income Statements_Standard Form'!J20/'Income Statements_Standard Form'!J22)</f>
        <v>1.6136363636363635</v>
      </c>
      <c r="K5" s="101">
        <f>('Income Statements_Standard Form'!K20/'Income Statements_Standard Form'!K22)</f>
        <v>2.5591186736474696</v>
      </c>
      <c r="L5" s="101">
        <f>('Income Statements_Standard Form'!L20/'Income Statements_Standard Form'!L22)</f>
        <v>2.7309449122227725</v>
      </c>
      <c r="M5" s="101"/>
      <c r="N5" s="101">
        <f>('Income Statements_Standard Form'!N20/'Income Statements_Standard Form'!N22)</f>
        <v>4.6779830254618071</v>
      </c>
      <c r="O5" s="101">
        <f>('Income Statements_Standard Form'!O20/'Income Statements_Standard Form'!O22)</f>
        <v>4.2655086848635237</v>
      </c>
      <c r="P5" s="101">
        <f>('Income Statements_Standard Form'!P20/'Income Statements_Standard Form'!P22)</f>
        <v>3.8335809806835064</v>
      </c>
      <c r="Q5" s="76"/>
      <c r="R5" s="76"/>
    </row>
    <row r="6" spans="1:18" ht="13.5" customHeight="1" x14ac:dyDescent="0.2">
      <c r="Q6" s="76"/>
      <c r="R6" s="76"/>
    </row>
    <row r="7" spans="1:18" ht="13.5" customHeight="1" x14ac:dyDescent="0.2">
      <c r="B7" s="76"/>
      <c r="C7" s="76"/>
      <c r="D7" s="76"/>
      <c r="E7" s="76"/>
      <c r="F7" s="76"/>
      <c r="G7" s="76"/>
      <c r="H7" s="76"/>
      <c r="I7" s="76"/>
      <c r="J7" s="76"/>
      <c r="K7" s="76"/>
      <c r="L7" s="76"/>
      <c r="M7" s="76"/>
      <c r="N7" s="76"/>
      <c r="O7" s="76"/>
      <c r="P7" s="76"/>
      <c r="Q7" s="76"/>
      <c r="R7" s="76"/>
    </row>
    <row r="8" spans="1:18" ht="13.5" customHeight="1" x14ac:dyDescent="0.2">
      <c r="A8" s="1" t="s">
        <v>139</v>
      </c>
      <c r="B8" s="99">
        <f>'Income Statements_Standard Form'!B22</f>
        <v>1578</v>
      </c>
      <c r="C8" s="99">
        <f>'Income Statements_Standard Form'!C22</f>
        <v>1507</v>
      </c>
      <c r="D8" s="99">
        <f>'Income Statements_Standard Form'!D22</f>
        <v>1666</v>
      </c>
      <c r="E8" s="99"/>
      <c r="F8" s="99">
        <f>'Income Statements_Standard Form'!F22</f>
        <v>431.88499999999999</v>
      </c>
      <c r="G8" s="99">
        <f>'Income Statements_Standard Form'!G22</f>
        <v>435.37400000000002</v>
      </c>
      <c r="H8" s="99">
        <f>'Income Statements_Standard Form'!H22</f>
        <v>437.2595</v>
      </c>
      <c r="I8" s="99"/>
      <c r="J8" s="99">
        <f>'Income Statements_Standard Form'!J22</f>
        <v>4708</v>
      </c>
      <c r="K8" s="99">
        <f>'Income Statements_Standard Form'!K22</f>
        <v>4584</v>
      </c>
      <c r="L8" s="99">
        <f>'Income Statements_Standard Form'!L22</f>
        <v>4542.75</v>
      </c>
      <c r="M8" s="99"/>
      <c r="N8" s="99">
        <f>'Income Statements_Standard Form'!N22</f>
        <v>400.6</v>
      </c>
      <c r="O8" s="99">
        <f>'Income Statements_Standard Form'!O22</f>
        <v>403</v>
      </c>
      <c r="P8" s="99">
        <f>'Income Statements_Standard Form'!P22</f>
        <v>403.8</v>
      </c>
      <c r="Q8" s="76"/>
      <c r="R8" s="76"/>
    </row>
    <row r="9" spans="1:18" ht="13.5" customHeight="1" x14ac:dyDescent="0.2">
      <c r="A9" s="1" t="s">
        <v>138</v>
      </c>
      <c r="B9" s="102">
        <f>B3*B8</f>
        <v>162123.72</v>
      </c>
      <c r="C9" s="102">
        <f>C3*C8</f>
        <v>170336.21</v>
      </c>
      <c r="D9" s="102">
        <f>D3*D8</f>
        <v>244785.38</v>
      </c>
      <c r="E9" s="102"/>
      <c r="F9" s="102">
        <f>F3*F8</f>
        <v>84450.7929</v>
      </c>
      <c r="G9" s="102">
        <f>G3*G8</f>
        <v>150948.51954000001</v>
      </c>
      <c r="H9" s="102">
        <f>H3*H8</f>
        <v>120377.54035000001</v>
      </c>
      <c r="I9" s="102"/>
      <c r="J9" s="102">
        <f>J3*J8</f>
        <v>170759.16</v>
      </c>
      <c r="K9" s="102">
        <f>K3*K8</f>
        <v>164290.56000000003</v>
      </c>
      <c r="L9" s="102">
        <f>L3*L8</f>
        <v>203696.91</v>
      </c>
      <c r="M9" s="102"/>
      <c r="N9" s="102">
        <f>N3*N8</f>
        <v>9490.2140000000018</v>
      </c>
      <c r="O9" s="102">
        <f>O3*O8</f>
        <v>13294.970000000001</v>
      </c>
      <c r="P9" s="102">
        <f>P3*P8</f>
        <v>9073.3860000000004</v>
      </c>
      <c r="Q9" s="76"/>
      <c r="R9" s="76"/>
    </row>
    <row r="10" spans="1:18" ht="13.5" customHeight="1" x14ac:dyDescent="0.2">
      <c r="A10" s="1" t="s">
        <v>137</v>
      </c>
      <c r="B10" s="99">
        <f>'Balance Sheet_ Standard Form'!B28</f>
        <v>41315</v>
      </c>
      <c r="C10" s="99">
        <f>'Balance Sheet_ Standard Form'!C28</f>
        <v>48773</v>
      </c>
      <c r="D10" s="99">
        <f>'Balance Sheet_ Standard Form'!D28</f>
        <v>88877</v>
      </c>
      <c r="E10" s="99"/>
      <c r="F10" s="99">
        <f>'Balance Sheet_ Standard Form'!F28</f>
        <v>3581.9560000000001</v>
      </c>
      <c r="G10" s="99">
        <f>'Balance Sheet_ Standard Form'!G28</f>
        <v>5238.7650000000003</v>
      </c>
      <c r="H10" s="99">
        <f>'Balance Sheet_ Standard Form'!H28</f>
        <v>6861.5050000000001</v>
      </c>
      <c r="I10" s="99"/>
      <c r="J10" s="99">
        <f>'Balance Sheet_ Standard Form'!J28</f>
        <v>68616</v>
      </c>
      <c r="K10" s="99">
        <f>'Balance Sheet_ Standard Form'!K28</f>
        <v>71613</v>
      </c>
      <c r="L10" s="99">
        <f>'Balance Sheet_ Standard Form'!L28</f>
        <v>78144</v>
      </c>
      <c r="M10" s="99"/>
      <c r="N10" s="99">
        <f>'Balance Sheet_ Standard Form'!N28</f>
        <v>6035</v>
      </c>
      <c r="O10" s="99">
        <f>'Balance Sheet_ Standard Form'!O28</f>
        <v>7407</v>
      </c>
      <c r="P10" s="99">
        <f>'Balance Sheet_ Standard Form'!P28</f>
        <v>8454</v>
      </c>
      <c r="Q10" s="76"/>
      <c r="R10" s="76"/>
    </row>
    <row r="11" spans="1:18" ht="13.5" customHeight="1" x14ac:dyDescent="0.2">
      <c r="A11" s="1" t="s">
        <v>136</v>
      </c>
      <c r="B11" s="101">
        <f>B10/B8</f>
        <v>26.181875792141952</v>
      </c>
      <c r="C11" s="101">
        <f>C10/C8</f>
        <v>32.364299933642997</v>
      </c>
      <c r="D11" s="101">
        <f>D10/D8</f>
        <v>53.347539015606245</v>
      </c>
      <c r="E11" s="101"/>
      <c r="F11" s="101">
        <f>F10/F8</f>
        <v>8.2937726478113394</v>
      </c>
      <c r="G11" s="101">
        <f>G10/G8</f>
        <v>12.032792495647421</v>
      </c>
      <c r="H11" s="101">
        <f>H10/H8</f>
        <v>15.692066152936643</v>
      </c>
      <c r="I11" s="101"/>
      <c r="J11" s="101">
        <f>J10/J8</f>
        <v>14.574341546304163</v>
      </c>
      <c r="K11" s="101">
        <f>K10/K8</f>
        <v>15.622382198952879</v>
      </c>
      <c r="L11" s="101">
        <f>L10/L8</f>
        <v>17.201915139508007</v>
      </c>
      <c r="M11" s="101"/>
      <c r="N11" s="101">
        <f>N10/N8</f>
        <v>15.064902646030953</v>
      </c>
      <c r="O11" s="101">
        <f>O10/O8</f>
        <v>18.379652605459057</v>
      </c>
      <c r="P11" s="101">
        <f>P10/P8</f>
        <v>20.936106983655275</v>
      </c>
      <c r="Q11" s="76"/>
      <c r="R11" s="76"/>
    </row>
    <row r="12" spans="1:18" ht="13.5" customHeight="1" x14ac:dyDescent="0.2">
      <c r="A12" s="1" t="s">
        <v>135</v>
      </c>
      <c r="B12" s="100">
        <f>B9/B10</f>
        <v>3.9240885876800196</v>
      </c>
      <c r="C12" s="100">
        <f>C9/C10</f>
        <v>3.4924283927582884</v>
      </c>
      <c r="D12" s="100">
        <f>D9/D10</f>
        <v>2.7542038997715945</v>
      </c>
      <c r="E12" s="100"/>
      <c r="F12" s="100">
        <f>F9/F10</f>
        <v>23.576725370160883</v>
      </c>
      <c r="G12" s="100">
        <f>G9/G10</f>
        <v>28.813760407271563</v>
      </c>
      <c r="H12" s="100">
        <f>H9/H10</f>
        <v>17.543897490419376</v>
      </c>
      <c r="I12" s="100"/>
      <c r="J12" s="100">
        <f>J9/J10</f>
        <v>2.4886201469045122</v>
      </c>
      <c r="K12" s="100">
        <f>K9/K10</f>
        <v>2.2941443592643798</v>
      </c>
      <c r="L12" s="100">
        <f>L9/L10</f>
        <v>2.6066865018427521</v>
      </c>
      <c r="M12" s="100"/>
      <c r="N12" s="100">
        <f>N9/N10</f>
        <v>1.5725292460646234</v>
      </c>
      <c r="O12" s="100">
        <f>O9/O10</f>
        <v>1.7949196705818822</v>
      </c>
      <c r="P12" s="100">
        <f>P9/P10</f>
        <v>1.0732654364797729</v>
      </c>
      <c r="Q12" s="76"/>
      <c r="R12" s="76"/>
    </row>
    <row r="13" spans="1:18" ht="13.5" customHeight="1" x14ac:dyDescent="0.2">
      <c r="A13" s="1" t="s">
        <v>134</v>
      </c>
      <c r="B13" s="99">
        <f>B9+'Balance Sheet_ Standard Form'!B24+'Balance Sheet_ Standard Form'!B30</f>
        <v>188851.72</v>
      </c>
      <c r="C13" s="99">
        <f>C9+'Balance Sheet_ Standard Form'!C24+'Balance Sheet_ Standard Form'!C30</f>
        <v>193607.21</v>
      </c>
      <c r="D13" s="99">
        <f>D9+'Balance Sheet_ Standard Form'!D24+'Balance Sheet_ Standard Form'!D30</f>
        <v>302231.38</v>
      </c>
      <c r="E13" s="99"/>
      <c r="F13" s="99">
        <f>F9+'Balance Sheet_ Standard Form'!F24+'Balance Sheet_ Standard Form'!F30</f>
        <v>90950.224900000001</v>
      </c>
      <c r="G13" s="99">
        <f>G9+'Balance Sheet_ Standard Form'!G24+'Balance Sheet_ Standard Form'!G30</f>
        <v>161308.57754</v>
      </c>
      <c r="H13" s="99">
        <f>H9+'Balance Sheet_ Standard Form'!H24+'Balance Sheet_ Standard Form'!H30</f>
        <v>132803.28635000001</v>
      </c>
      <c r="I13" s="99"/>
      <c r="J13" s="99">
        <f>J9+'Balance Sheet_ Standard Form'!J24+'Balance Sheet_ Standard Form'!J30</f>
        <v>232381.16</v>
      </c>
      <c r="K13" s="99">
        <f>K9+'Balance Sheet_ Standard Form'!K24+'Balance Sheet_ Standard Form'!K30</f>
        <v>273394.56000000006</v>
      </c>
      <c r="L13" s="99">
        <f>L9+'Balance Sheet_ Standard Form'!L24+'Balance Sheet_ Standard Form'!L30</f>
        <v>305927.91000000003</v>
      </c>
      <c r="M13" s="99"/>
      <c r="N13" s="99">
        <f>N9+'Balance Sheet_ Standard Form'!N24+'Balance Sheet_ Standard Form'!N30</f>
        <v>20922.214</v>
      </c>
      <c r="O13" s="99">
        <f>O9+'Balance Sheet_ Standard Form'!O24+'Balance Sheet_ Standard Form'!O30</f>
        <v>23113.97</v>
      </c>
      <c r="P13" s="99">
        <f>P9+'Balance Sheet_ Standard Form'!P24+'Balance Sheet_ Standard Form'!P30</f>
        <v>18020.385999999999</v>
      </c>
      <c r="Q13" s="76"/>
      <c r="R13" s="76"/>
    </row>
    <row r="14" spans="1:18" ht="13.5" customHeight="1" x14ac:dyDescent="0.2">
      <c r="A14" s="1" t="s">
        <v>133</v>
      </c>
      <c r="B14" s="76">
        <f>B13/'Income Statements_Standard Form'!B4</f>
        <v>3.4251359341277183</v>
      </c>
      <c r="C14" s="76">
        <f>C13/'Income Statements_Standard Form'!C4</f>
        <v>3.257516068243766</v>
      </c>
      <c r="D14" s="76">
        <f>D13/'Income Statements_Standard Form'!D4</f>
        <v>4.3442774184274828</v>
      </c>
      <c r="E14" s="76"/>
      <c r="F14" s="76">
        <f>F13/'Income Statements_Standard Form'!F4</f>
        <v>7.7783680228874177</v>
      </c>
      <c r="G14" s="76">
        <f>G13/'Income Statements_Standard Form'!G4</f>
        <v>10.213061598454788</v>
      </c>
      <c r="H14" s="76">
        <f>H13/'Income Statements_Standard Form'!H4</f>
        <v>7.0356173739212018</v>
      </c>
      <c r="I14" s="76"/>
      <c r="J14" s="76">
        <f>J13/'Income Statements_Standard Form'!J4</f>
        <v>2.7329635771325078</v>
      </c>
      <c r="K14" s="76">
        <f>K13/'Income Statements_Standard Form'!K4</f>
        <v>2.8928498418106603</v>
      </c>
      <c r="L14" s="76">
        <f>L13/'Income Statements_Standard Form'!L4</f>
        <v>2.822473567672295</v>
      </c>
      <c r="M14" s="76"/>
      <c r="N14" s="76">
        <f>N13/'Income Statements_Standard Form'!N4</f>
        <v>1.5774872954836765</v>
      </c>
      <c r="O14" s="76">
        <f>O13/'Income Statements_Standard Form'!O4</f>
        <v>1.7858278606196401</v>
      </c>
      <c r="P14" s="76">
        <f>P13/'Income Statements_Standard Form'!P4</f>
        <v>1.4036754946253309</v>
      </c>
      <c r="Q14" s="76"/>
      <c r="R14" s="76"/>
    </row>
    <row r="15" spans="1:18" ht="13.5" customHeight="1" x14ac:dyDescent="0.2">
      <c r="A15" s="1" t="s">
        <v>132</v>
      </c>
      <c r="B15" s="76">
        <f>B13/('Income Statements_Standard Form'!B12+'Income Statements_Standard Form'!B10)</f>
        <v>11.261283243887895</v>
      </c>
      <c r="C15" s="76">
        <f>C13/('Income Statements_Standard Form'!C12+'Income Statements_Standard Form'!C10)</f>
        <v>10.847557709547289</v>
      </c>
      <c r="D15" s="76">
        <f>D13/('Income Statements_Standard Form'!D12+'Income Statements_Standard Form'!D10)</f>
        <v>18.756757192860512</v>
      </c>
      <c r="E15" s="76"/>
      <c r="F15" s="76">
        <f>F13/('Income Statements_Standard Form'!F12+'Income Statements_Standard Form'!F10)</f>
        <v>108.44461933588421</v>
      </c>
      <c r="G15" s="76">
        <f>G13/('Income Statements_Standard Form'!G12+'Income Statements_Standard Form'!G10)</f>
        <v>100.48963668667217</v>
      </c>
      <c r="H15" s="76">
        <f>H13/('Income Statements_Standard Form'!H12+'Income Statements_Standard Form'!H10)</f>
        <v>56.236620885205205</v>
      </c>
      <c r="I15" s="76"/>
      <c r="J15" s="76">
        <f>J13/('Income Statements_Standard Form'!J12+'Income Statements_Standard Form'!J10)</f>
        <v>9.1165617889368384</v>
      </c>
      <c r="K15" s="76">
        <f>K13/('Income Statements_Standard Form'!K12+'Income Statements_Standard Form'!K10)</f>
        <v>10.018856640281445</v>
      </c>
      <c r="L15" s="76">
        <f>L13/('Income Statements_Standard Form'!L12+'Income Statements_Standard Form'!L10)</f>
        <v>10.379585736581395</v>
      </c>
      <c r="M15" s="76"/>
      <c r="N15" s="76">
        <f>N13/('Income Statements_Standard Form'!N12+'Income Statements_Standard Form'!N10)</f>
        <v>7.0540168577208364</v>
      </c>
      <c r="O15" s="76">
        <f>O13/('Income Statements_Standard Form'!O12+'Income Statements_Standard Form'!O10)</f>
        <v>7.6841655585106388</v>
      </c>
      <c r="P15" s="76">
        <f>P13/('Income Statements_Standard Form'!P12+'Income Statements_Standard Form'!P10)</f>
        <v>6.1566060813119226</v>
      </c>
      <c r="Q15" s="76"/>
      <c r="R15" s="76"/>
    </row>
    <row r="16" spans="1:18" ht="13.5" customHeight="1" x14ac:dyDescent="0.2">
      <c r="A16" s="1" t="s">
        <v>131</v>
      </c>
      <c r="B16" s="76">
        <f>B13/'Income Statements_Standard Form'!B12</f>
        <v>13.500980840720617</v>
      </c>
      <c r="C16" s="76">
        <f>C13/'Income Statements_Standard Form'!C12</f>
        <v>13.048945878546876</v>
      </c>
      <c r="D16" s="76">
        <f>D13/'Income Statements_Standard Form'!D12</f>
        <v>25.284558109962184</v>
      </c>
      <c r="E16" s="76"/>
      <c r="F16" s="76">
        <f>F13/'Income Statements_Standard Form'!F12</f>
        <v>108.44461933588421</v>
      </c>
      <c r="G16" s="76">
        <f>G13/'Income Statements_Standard Form'!G12</f>
        <v>100.48963668667217</v>
      </c>
      <c r="H16" s="76">
        <f>H13/'Income Statements_Standard Form'!H12</f>
        <v>56.236620885205205</v>
      </c>
      <c r="I16" s="76"/>
      <c r="J16" s="76">
        <f>J13/'Income Statements_Standard Form'!J12</f>
        <v>13.221504324078289</v>
      </c>
      <c r="K16" s="76">
        <f>K13/'Income Statements_Standard Form'!K12</f>
        <v>14.383888041247964</v>
      </c>
      <c r="L16" s="76">
        <f>L13/'Income Statements_Standard Form'!L12</f>
        <v>14.77769829002029</v>
      </c>
      <c r="M16" s="76"/>
      <c r="N16" s="76">
        <f>N13/'Income Statements_Standard Form'!N12</f>
        <v>7.6274932555596067</v>
      </c>
      <c r="O16" s="76">
        <f>O13/'Income Statements_Standard Form'!O12</f>
        <v>8.269756708407872</v>
      </c>
      <c r="P16" s="76">
        <f>P13/'Income Statements_Standard Form'!P12</f>
        <v>6.6446851032448375</v>
      </c>
      <c r="Q16" s="76"/>
      <c r="R16" s="76"/>
    </row>
    <row r="17" spans="1:18" ht="13.5" customHeight="1" x14ac:dyDescent="0.2">
      <c r="A17" s="1" t="s">
        <v>130</v>
      </c>
      <c r="B17" s="76">
        <f>B3/B5</f>
        <v>18.053866369710466</v>
      </c>
      <c r="C17" s="76">
        <f>C3/C5</f>
        <v>13.520892998888712</v>
      </c>
      <c r="D17" s="76">
        <f>D3/D5</f>
        <v>22.144506965804236</v>
      </c>
      <c r="E17" s="76"/>
      <c r="F17" s="76">
        <f>F3/F5</f>
        <v>205.13748065847437</v>
      </c>
      <c r="G17" s="76">
        <f>G3/G5</f>
        <v>124.6262163786627</v>
      </c>
      <c r="H17" s="76">
        <f>H3/H5</f>
        <v>85.138953281537937</v>
      </c>
      <c r="I17" s="76"/>
      <c r="J17" s="76">
        <f>J3/J5</f>
        <v>22.477183098591553</v>
      </c>
      <c r="K17" s="76">
        <f>K3/K5</f>
        <v>14.004821413349246</v>
      </c>
      <c r="L17" s="76">
        <f>L3/L5</f>
        <v>16.419225374818637</v>
      </c>
      <c r="M17" s="76"/>
      <c r="N17" s="76">
        <f>N3/N5</f>
        <v>5.0641483457844192</v>
      </c>
      <c r="O17" s="76">
        <f>O3/O5</f>
        <v>7.7341303083187904</v>
      </c>
      <c r="P17" s="76">
        <f>P3/P5</f>
        <v>5.8613604651162792</v>
      </c>
      <c r="Q17" s="76"/>
      <c r="R17" s="76"/>
    </row>
    <row r="18" spans="1:18" ht="13.5" customHeight="1" x14ac:dyDescent="0.2">
      <c r="B18" s="76"/>
      <c r="C18" s="76"/>
      <c r="D18" s="76"/>
      <c r="E18" s="76"/>
      <c r="F18" s="76"/>
      <c r="G18" s="76"/>
      <c r="H18" s="76"/>
      <c r="I18" s="76"/>
      <c r="J18" s="76"/>
      <c r="K18" s="76"/>
      <c r="L18" s="76"/>
      <c r="M18" s="76"/>
      <c r="N18" s="76"/>
      <c r="O18" s="76"/>
      <c r="P18" s="76"/>
      <c r="Q18" s="76"/>
      <c r="R18" s="76"/>
    </row>
    <row r="19" spans="1:18" ht="13.5" customHeight="1" x14ac:dyDescent="0.2">
      <c r="A19" s="1" t="s">
        <v>129</v>
      </c>
      <c r="B19" s="98">
        <v>1.0500000000000001E-2</v>
      </c>
      <c r="C19" s="98">
        <v>2.1399999999999999E-2</v>
      </c>
      <c r="D19" s="98">
        <v>1.7600000000000001E-2</v>
      </c>
      <c r="E19" s="76"/>
      <c r="F19" s="76"/>
      <c r="G19" s="76"/>
      <c r="H19" s="76"/>
      <c r="I19" s="76"/>
      <c r="J19" s="76"/>
      <c r="K19" s="76"/>
      <c r="L19" s="76"/>
      <c r="M19" s="76"/>
      <c r="N19" s="76"/>
      <c r="O19" s="76"/>
      <c r="P19" s="76"/>
      <c r="Q19" s="76"/>
      <c r="R19" s="76"/>
    </row>
    <row r="20" spans="1:18" ht="13.5" customHeight="1" x14ac:dyDescent="0.2">
      <c r="A20" s="1" t="s">
        <v>128</v>
      </c>
      <c r="B20" s="98">
        <v>4.1999999999999997E-3</v>
      </c>
      <c r="C20" s="98">
        <v>2.3099999999999999E-2</v>
      </c>
      <c r="D20" s="98">
        <v>1.8499999999999999E-2</v>
      </c>
      <c r="E20" s="76"/>
      <c r="F20" s="76"/>
      <c r="G20" s="76"/>
      <c r="H20" s="76"/>
      <c r="I20" s="76"/>
      <c r="J20" s="76"/>
      <c r="K20" s="76"/>
      <c r="L20" s="76"/>
      <c r="M20" s="76"/>
      <c r="N20" s="76"/>
      <c r="O20" s="76"/>
      <c r="P20" s="76"/>
      <c r="Q20" s="76"/>
      <c r="R20" s="76"/>
    </row>
    <row r="21" spans="1:18" ht="13.5" customHeight="1" x14ac:dyDescent="0.2">
      <c r="A21" s="1" t="s">
        <v>127</v>
      </c>
      <c r="B21" s="98">
        <v>5.7999999999999996E-3</v>
      </c>
      <c r="C21" s="98">
        <v>2.58E-2</v>
      </c>
      <c r="D21" s="98">
        <v>1.78E-2</v>
      </c>
      <c r="E21" s="76"/>
      <c r="F21" s="76"/>
      <c r="G21" s="76"/>
      <c r="H21" s="76"/>
      <c r="I21" s="76"/>
      <c r="J21" s="76"/>
      <c r="K21" s="76"/>
      <c r="L21" s="76"/>
      <c r="M21" s="76"/>
      <c r="N21" s="76"/>
      <c r="O21" s="76"/>
      <c r="P21" s="76"/>
      <c r="Q21" s="76"/>
      <c r="R21" s="76"/>
    </row>
    <row r="22" spans="1:18" ht="13.5" customHeight="1" x14ac:dyDescent="0.2">
      <c r="B22" s="76"/>
      <c r="C22" s="76"/>
      <c r="D22" s="76"/>
      <c r="E22" s="76"/>
      <c r="F22" s="76"/>
      <c r="G22" s="76"/>
      <c r="H22" s="76"/>
      <c r="I22" s="76"/>
      <c r="J22" s="76"/>
      <c r="K22" s="76"/>
      <c r="L22" s="76"/>
      <c r="M22" s="76"/>
      <c r="N22" s="76"/>
      <c r="O22" s="76"/>
      <c r="P22" s="76"/>
      <c r="Q22" s="76"/>
      <c r="R22" s="76"/>
    </row>
    <row r="23" spans="1:18" ht="13.5" customHeight="1" x14ac:dyDescent="0.2">
      <c r="A23" s="1" t="s">
        <v>126</v>
      </c>
      <c r="B23" s="98">
        <v>2.2169999999999999E-2</v>
      </c>
      <c r="C23" s="98">
        <v>2.8570000000000002E-2</v>
      </c>
      <c r="D23" s="76"/>
      <c r="E23" s="76"/>
      <c r="F23" s="76"/>
      <c r="G23" s="76"/>
      <c r="H23" s="76"/>
      <c r="I23" s="76"/>
      <c r="J23" s="76"/>
      <c r="K23" s="76"/>
      <c r="L23" s="76"/>
      <c r="M23" s="76"/>
      <c r="N23" s="76"/>
      <c r="O23" s="76"/>
      <c r="P23" s="76"/>
      <c r="Q23" s="76"/>
      <c r="R23" s="76"/>
    </row>
    <row r="24" spans="1:18" ht="13.5" customHeight="1" x14ac:dyDescent="0.2">
      <c r="B24" s="76"/>
      <c r="C24" s="76"/>
      <c r="D24" s="76"/>
      <c r="E24" s="76"/>
      <c r="F24" s="76"/>
      <c r="G24" s="76"/>
      <c r="H24" s="76"/>
      <c r="I24" s="76"/>
      <c r="J24" s="76"/>
      <c r="K24" s="76"/>
      <c r="L24" s="76"/>
      <c r="M24" s="76"/>
      <c r="N24" s="76"/>
      <c r="O24" s="76"/>
      <c r="P24" s="76"/>
      <c r="Q24" s="76"/>
      <c r="R24" s="76"/>
    </row>
    <row r="25" spans="1:18" ht="13.5" customHeight="1" x14ac:dyDescent="0.2">
      <c r="A25" s="1" t="s">
        <v>125</v>
      </c>
      <c r="B25" s="76"/>
      <c r="C25" s="76"/>
      <c r="D25" s="76"/>
      <c r="E25" s="76"/>
      <c r="F25" s="76"/>
      <c r="G25" s="76"/>
      <c r="H25" s="76"/>
      <c r="I25" s="76"/>
      <c r="J25" s="76"/>
      <c r="K25" s="76"/>
      <c r="L25" s="76"/>
      <c r="M25" s="76"/>
      <c r="N25" s="76"/>
      <c r="O25" s="76"/>
      <c r="P25" s="76"/>
      <c r="Q25" s="76"/>
      <c r="R25" s="76"/>
    </row>
    <row r="26" spans="1:18" ht="13.5" customHeight="1" x14ac:dyDescent="0.2">
      <c r="A26" s="1" t="s">
        <v>124</v>
      </c>
      <c r="B26" s="76">
        <v>23.67</v>
      </c>
      <c r="C26" s="76">
        <v>21.25</v>
      </c>
      <c r="D26" s="76">
        <v>21.7</v>
      </c>
      <c r="E26" s="76"/>
      <c r="F26" s="76"/>
      <c r="G26" s="76"/>
      <c r="H26" s="76"/>
      <c r="I26" s="76"/>
      <c r="J26" s="76"/>
      <c r="K26" s="76"/>
      <c r="L26" s="76"/>
      <c r="M26" s="76"/>
      <c r="N26" s="76"/>
      <c r="O26" s="76"/>
      <c r="P26" s="76"/>
      <c r="Q26" s="76"/>
      <c r="R26" s="76"/>
    </row>
    <row r="27" spans="1:18" ht="13.5" customHeight="1" x14ac:dyDescent="0.2">
      <c r="A27" s="1" t="s">
        <v>123</v>
      </c>
      <c r="B27" s="76">
        <v>49.83</v>
      </c>
      <c r="C27" s="76">
        <v>19.23</v>
      </c>
      <c r="D27" s="76">
        <v>31.5</v>
      </c>
      <c r="E27" s="76"/>
      <c r="F27" s="76"/>
      <c r="G27" s="76"/>
      <c r="H27" s="76"/>
      <c r="I27" s="76"/>
      <c r="J27" s="76"/>
      <c r="K27" s="76"/>
      <c r="L27" s="76"/>
      <c r="M27" s="76"/>
      <c r="N27" s="76"/>
      <c r="O27" s="76"/>
      <c r="P27" s="76"/>
      <c r="Q27" s="76"/>
      <c r="R27" s="76"/>
    </row>
    <row r="29" spans="1:18" x14ac:dyDescent="0.2">
      <c r="B29" s="97"/>
      <c r="C29" s="97"/>
      <c r="D29" s="97"/>
      <c r="E29" s="97"/>
      <c r="F29" s="97"/>
      <c r="G29" s="97"/>
      <c r="H29" s="97"/>
      <c r="I29" s="97"/>
      <c r="J29" s="97"/>
      <c r="K29" s="97"/>
      <c r="L29" s="97"/>
      <c r="M29" s="97"/>
      <c r="N29" s="97"/>
      <c r="O29" s="97"/>
      <c r="P29" s="97"/>
    </row>
    <row r="30" spans="1:18" x14ac:dyDescent="0.2">
      <c r="A30" s="1" t="s">
        <v>122</v>
      </c>
    </row>
  </sheetData>
  <mergeCells count="4">
    <mergeCell ref="B1:D1"/>
    <mergeCell ref="F1:H1"/>
    <mergeCell ref="J1:L1"/>
    <mergeCell ref="N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14</vt:i4>
      </vt:variant>
    </vt:vector>
  </HeadingPairs>
  <TitlesOfParts>
    <vt:vector size="14" baseType="lpstr">
      <vt:lpstr>Copyright</vt:lpstr>
      <vt:lpstr>Balance Sheet_ Standard Form</vt:lpstr>
      <vt:lpstr>Balance Sheet_ Common Size_Corr</vt:lpstr>
      <vt:lpstr>Income Statements_Standard Form</vt:lpstr>
      <vt:lpstr>Income Statements_ Common Size</vt:lpstr>
      <vt:lpstr>Statement of Cash Flows</vt:lpstr>
      <vt:lpstr>Financial Ratio Definitions</vt:lpstr>
      <vt:lpstr>Comparative Financial Ratios</vt:lpstr>
      <vt:lpstr>Comparative Valuation Metrics</vt:lpstr>
      <vt:lpstr>Forecasted revenue and profit g</vt:lpstr>
      <vt:lpstr>Stock Performance</vt:lpstr>
      <vt:lpstr>PEG Ratio</vt:lpstr>
      <vt:lpstr>Segments</vt:lpstr>
      <vt:lpstr>Financial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Queirós</dc:creator>
  <cp:lastModifiedBy>Pedro Queirós</cp:lastModifiedBy>
  <dcterms:created xsi:type="dcterms:W3CDTF">2022-04-20T00:39:38Z</dcterms:created>
  <dcterms:modified xsi:type="dcterms:W3CDTF">2022-04-20T11:26:24Z</dcterms:modified>
</cp:coreProperties>
</file>