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50197965-47EF-43C1-ABD5-4F3495AF087F}" xr6:coauthVersionLast="47" xr6:coauthVersionMax="47" xr10:uidLastSave="{00000000-0000-0000-0000-000000000000}"/>
  <bookViews>
    <workbookView xWindow="-90" yWindow="0" windowWidth="14080" windowHeight="15370" firstSheet="3" activeTab="4" xr2:uid="{01D2C22A-6FDC-4C8A-89EA-CFEF89D4AB13}"/>
  </bookViews>
  <sheets>
    <sheet name="debug" sheetId="1" r:id="rId1"/>
    <sheet name="CHA_RETAU180" sheetId="9" r:id="rId2"/>
    <sheet name="CHA_RETAU550" sheetId="7" r:id="rId3"/>
    <sheet name="CHA_RETAU1000" sheetId="4" r:id="rId4"/>
    <sheet name="CHA_RETAU5200" sheetId="6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6" l="1"/>
  <c r="Q12" i="6"/>
  <c r="R12" i="6" s="1"/>
  <c r="P12" i="6"/>
  <c r="T12" i="6" s="1"/>
  <c r="G12" i="6"/>
  <c r="H12" i="6" s="1"/>
  <c r="M12" i="6" s="1"/>
  <c r="S11" i="6"/>
  <c r="Q11" i="6"/>
  <c r="R11" i="6" s="1"/>
  <c r="P11" i="6"/>
  <c r="T11" i="6" s="1"/>
  <c r="G11" i="6"/>
  <c r="H11" i="6" s="1"/>
  <c r="M11" i="6" s="1"/>
  <c r="S10" i="6"/>
  <c r="Q10" i="6"/>
  <c r="R10" i="6" s="1"/>
  <c r="P10" i="6"/>
  <c r="T10" i="6" s="1"/>
  <c r="G10" i="6"/>
  <c r="H10" i="6" s="1"/>
  <c r="M10" i="6" s="1"/>
  <c r="S9" i="6"/>
  <c r="Q9" i="6"/>
  <c r="R9" i="6" s="1"/>
  <c r="P9" i="6"/>
  <c r="T9" i="6" s="1"/>
  <c r="G9" i="6"/>
  <c r="H9" i="6" s="1"/>
  <c r="M9" i="6" s="1"/>
  <c r="W3" i="7"/>
  <c r="W4" i="7"/>
  <c r="W5" i="7"/>
  <c r="W2" i="7"/>
  <c r="V3" i="7"/>
  <c r="V4" i="7"/>
  <c r="V5" i="7"/>
  <c r="V2" i="7"/>
  <c r="U3" i="7"/>
  <c r="U4" i="7"/>
  <c r="U5" i="7"/>
  <c r="U2" i="7"/>
  <c r="T3" i="7"/>
  <c r="T4" i="7"/>
  <c r="T5" i="7"/>
  <c r="T2" i="7"/>
  <c r="R13" i="7"/>
  <c r="P13" i="7"/>
  <c r="O13" i="7"/>
  <c r="S13" i="7" s="1"/>
  <c r="F13" i="7"/>
  <c r="G13" i="7" s="1"/>
  <c r="L13" i="7" s="1"/>
  <c r="R12" i="7"/>
  <c r="P12" i="7"/>
  <c r="O12" i="7"/>
  <c r="S12" i="7" s="1"/>
  <c r="G12" i="7"/>
  <c r="L12" i="7" s="1"/>
  <c r="F12" i="7"/>
  <c r="R11" i="7"/>
  <c r="P11" i="7"/>
  <c r="Q11" i="7" s="1"/>
  <c r="O11" i="7"/>
  <c r="S11" i="7" s="1"/>
  <c r="F11" i="7"/>
  <c r="G11" i="7" s="1"/>
  <c r="L11" i="7" s="1"/>
  <c r="R10" i="7"/>
  <c r="P10" i="7"/>
  <c r="Q10" i="7" s="1"/>
  <c r="O10" i="7"/>
  <c r="S10" i="7" s="1"/>
  <c r="G10" i="7"/>
  <c r="L10" i="7" s="1"/>
  <c r="F10" i="7"/>
  <c r="U16" i="9"/>
  <c r="T16" i="9"/>
  <c r="R16" i="9"/>
  <c r="P16" i="9"/>
  <c r="Q16" i="9" s="1"/>
  <c r="O16" i="9"/>
  <c r="S16" i="9" s="1"/>
  <c r="F16" i="9"/>
  <c r="V16" i="9" s="1"/>
  <c r="V15" i="9"/>
  <c r="U15" i="9"/>
  <c r="T15" i="9"/>
  <c r="R15" i="9"/>
  <c r="P15" i="9"/>
  <c r="Q15" i="9" s="1"/>
  <c r="O15" i="9"/>
  <c r="S15" i="9" s="1"/>
  <c r="F15" i="9"/>
  <c r="G15" i="9" s="1"/>
  <c r="V14" i="9"/>
  <c r="U14" i="9"/>
  <c r="T14" i="9"/>
  <c r="S14" i="9"/>
  <c r="R14" i="9"/>
  <c r="P14" i="9"/>
  <c r="Q14" i="9" s="1"/>
  <c r="O14" i="9"/>
  <c r="F14" i="9"/>
  <c r="G14" i="9" s="1"/>
  <c r="U13" i="9"/>
  <c r="T13" i="9"/>
  <c r="R13" i="9"/>
  <c r="P13" i="9"/>
  <c r="Q13" i="9" s="1"/>
  <c r="O13" i="9"/>
  <c r="S13" i="9" s="1"/>
  <c r="F13" i="9"/>
  <c r="V13" i="9" s="1"/>
  <c r="W6" i="9"/>
  <c r="V6" i="9"/>
  <c r="U6" i="9"/>
  <c r="T6" i="9"/>
  <c r="W3" i="9"/>
  <c r="W4" i="9"/>
  <c r="W5" i="9"/>
  <c r="V3" i="9"/>
  <c r="V4" i="9"/>
  <c r="V5" i="9"/>
  <c r="U3" i="9"/>
  <c r="U4" i="9"/>
  <c r="U5" i="9"/>
  <c r="T3" i="9"/>
  <c r="T4" i="9"/>
  <c r="T5" i="9"/>
  <c r="W2" i="9"/>
  <c r="V2" i="9"/>
  <c r="U2" i="9"/>
  <c r="T2" i="9"/>
  <c r="S3" i="7"/>
  <c r="S4" i="7"/>
  <c r="S5" i="7"/>
  <c r="S2" i="7"/>
  <c r="S3" i="4"/>
  <c r="S4" i="4"/>
  <c r="S5" i="4"/>
  <c r="S2" i="4"/>
  <c r="S6" i="9"/>
  <c r="Q6" i="9"/>
  <c r="O6" i="9"/>
  <c r="P6" i="9"/>
  <c r="R6" i="9"/>
  <c r="L6" i="9"/>
  <c r="H6" i="9"/>
  <c r="E6" i="9"/>
  <c r="D6" i="9"/>
  <c r="G27" i="9"/>
  <c r="F27" i="9"/>
  <c r="E27" i="9"/>
  <c r="D27" i="9"/>
  <c r="H27" i="9" s="1"/>
  <c r="R5" i="9"/>
  <c r="P5" i="9"/>
  <c r="O5" i="9"/>
  <c r="S5" i="9" s="1"/>
  <c r="F5" i="9"/>
  <c r="G5" i="9" s="1"/>
  <c r="L5" i="9" s="1"/>
  <c r="R4" i="9"/>
  <c r="P4" i="9"/>
  <c r="O4" i="9"/>
  <c r="S4" i="9" s="1"/>
  <c r="F4" i="9"/>
  <c r="G4" i="9" s="1"/>
  <c r="L4" i="9" s="1"/>
  <c r="R3" i="9"/>
  <c r="P3" i="9"/>
  <c r="O3" i="9"/>
  <c r="S3" i="9" s="1"/>
  <c r="F3" i="9"/>
  <c r="G3" i="9" s="1"/>
  <c r="L3" i="9" s="1"/>
  <c r="R2" i="9"/>
  <c r="P2" i="9"/>
  <c r="O2" i="9"/>
  <c r="S2" i="9" s="1"/>
  <c r="F2" i="9"/>
  <c r="G2" i="9" s="1"/>
  <c r="L2" i="9" s="1"/>
  <c r="O3" i="4"/>
  <c r="O4" i="4"/>
  <c r="O5" i="4"/>
  <c r="O2" i="4"/>
  <c r="P2" i="4"/>
  <c r="P3" i="4"/>
  <c r="P4" i="4"/>
  <c r="P5" i="4"/>
  <c r="R2" i="4"/>
  <c r="R3" i="4"/>
  <c r="R4" i="4"/>
  <c r="R5" i="4"/>
  <c r="L5" i="4"/>
  <c r="G5" i="4"/>
  <c r="F5" i="4"/>
  <c r="F4" i="4"/>
  <c r="G4" i="4" s="1"/>
  <c r="L4" i="4" s="1"/>
  <c r="L3" i="4"/>
  <c r="G3" i="4"/>
  <c r="F3" i="4"/>
  <c r="L2" i="4"/>
  <c r="G2" i="4"/>
  <c r="F2" i="4"/>
  <c r="T3" i="6"/>
  <c r="T4" i="6"/>
  <c r="T5" i="6"/>
  <c r="R3" i="7"/>
  <c r="R4" i="7"/>
  <c r="R5" i="7"/>
  <c r="R2" i="7"/>
  <c r="Q3" i="7"/>
  <c r="Q4" i="7"/>
  <c r="Q5" i="7"/>
  <c r="P3" i="7"/>
  <c r="P4" i="7"/>
  <c r="P5" i="7"/>
  <c r="P2" i="7"/>
  <c r="O27" i="9"/>
  <c r="S27" i="9" s="1"/>
  <c r="S3" i="6"/>
  <c r="S4" i="6"/>
  <c r="S5" i="6"/>
  <c r="Q3" i="6"/>
  <c r="R3" i="6" s="1"/>
  <c r="Q4" i="6"/>
  <c r="R4" i="6" s="1"/>
  <c r="Q5" i="6"/>
  <c r="R5" i="6" s="1"/>
  <c r="S2" i="6"/>
  <c r="D29" i="6"/>
  <c r="D30" i="6"/>
  <c r="D28" i="6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Q2" i="6"/>
  <c r="G27" i="6"/>
  <c r="L27" i="6" s="1"/>
  <c r="G3" i="6"/>
  <c r="H3" i="6" s="1"/>
  <c r="M3" i="6" s="1"/>
  <c r="G4" i="6"/>
  <c r="H4" i="6" s="1"/>
  <c r="M4" i="6" s="1"/>
  <c r="G5" i="6"/>
  <c r="H5" i="6" s="1"/>
  <c r="M5" i="6" s="1"/>
  <c r="F28" i="6"/>
  <c r="G28" i="6" s="1"/>
  <c r="L28" i="6" s="1"/>
  <c r="F29" i="6"/>
  <c r="G29" i="6" s="1"/>
  <c r="L29" i="6" s="1"/>
  <c r="F30" i="6"/>
  <c r="G30" i="6" s="1"/>
  <c r="L30" i="6" s="1"/>
  <c r="G2" i="6"/>
  <c r="H2" i="6" s="1"/>
  <c r="M2" i="6" s="1"/>
  <c r="P2" i="6"/>
  <c r="P3" i="6"/>
  <c r="P4" i="6"/>
  <c r="P5" i="6"/>
  <c r="O27" i="6"/>
  <c r="O28" i="6"/>
  <c r="O29" i="6"/>
  <c r="O30" i="6"/>
  <c r="R2" i="6" l="1"/>
  <c r="Q12" i="7"/>
  <c r="Q13" i="7"/>
  <c r="W15" i="9"/>
  <c r="W14" i="9"/>
  <c r="G13" i="9"/>
  <c r="G16" i="9"/>
  <c r="T2" i="6"/>
  <c r="Q5" i="9"/>
  <c r="Q3" i="9"/>
  <c r="Q4" i="9"/>
  <c r="Q2" i="9"/>
  <c r="Q3" i="4"/>
  <c r="Q5" i="4"/>
  <c r="Q4" i="4"/>
  <c r="Q2" i="4"/>
  <c r="Q2" i="7"/>
  <c r="W16" i="9" l="1"/>
  <c r="W13" i="9"/>
</calcChain>
</file>

<file path=xl/sharedStrings.xml><?xml version="1.0" encoding="utf-8"?>
<sst xmlns="http://schemas.openxmlformats.org/spreadsheetml/2006/main" count="396" uniqueCount="124">
  <si>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</si>
  <si>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</si>
  <si>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</si>
  <si>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</si>
  <si>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</si>
  <si>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</si>
  <si>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</si>
  <si>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</si>
  <si>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</si>
  <si>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</si>
  <si>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</si>
  <si>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</si>
  <si>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</si>
  <si>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</si>
  <si>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</si>
  <si>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</si>
  <si>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</si>
  <si>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</si>
  <si>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</si>
  <si>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</si>
  <si>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</si>
  <si>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</si>
  <si>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</si>
  <si>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</si>
  <si>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</si>
  <si>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</si>
  <si>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</si>
  <si>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</si>
  <si>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</si>
  <si>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</si>
  <si>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</si>
  <si>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</si>
  <si>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</si>
  <si>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</si>
  <si>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</si>
  <si>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</si>
  <si>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</si>
  <si>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</si>
  <si>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</si>
  <si>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</si>
  <si>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</si>
  <si>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</si>
  <si>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</si>
  <si>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</si>
  <si>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</si>
  <si>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</si>
  <si>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</si>
  <si>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</si>
  <si>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</si>
  <si>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</si>
  <si>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</si>
  <si>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</si>
  <si>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</si>
  <si>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</si>
  <si>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</si>
  <si>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</si>
  <si>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</si>
  <si>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</si>
  <si>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</si>
  <si>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</si>
  <si>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</si>
  <si>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</si>
  <si>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</si>
  <si>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</si>
  <si>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</si>
  <si>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</si>
  <si>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</si>
  <si>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</si>
  <si>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</si>
  <si>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</si>
  <si>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NOSP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</si>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</sst>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91"/>
  <sheetViews>
    <sheetView topLeftCell="A41" zoomScale="70" zoomScaleNormal="70" workbookViewId="0">
      <selection activeCell="B58" sqref="B58"/>
    </sheetView>
  </sheetViews>
  <sheetFormatPr defaultRowHeight="14.5"/>
  <cols>
    <col min="1" max="1" width="43.26953125" customWidth="1"/>
    <col min="2" max="2" width="98.179687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71</v>
      </c>
      <c r="B29" t="s">
        <v>82</v>
      </c>
    </row>
    <row r="30" spans="1:5">
      <c r="B30" t="s">
        <v>74</v>
      </c>
    </row>
    <row r="31" spans="1:5">
      <c r="B31" t="s">
        <v>73</v>
      </c>
    </row>
    <row r="32" spans="1:5">
      <c r="B32" t="s">
        <v>72</v>
      </c>
    </row>
    <row r="33" spans="2:2">
      <c r="B33" t="s">
        <v>75</v>
      </c>
    </row>
    <row r="34" spans="2:2">
      <c r="B34" t="s">
        <v>77</v>
      </c>
    </row>
    <row r="35" spans="2:2">
      <c r="B35" t="s">
        <v>76</v>
      </c>
    </row>
    <row r="36" spans="2:2">
      <c r="B36" t="s">
        <v>78</v>
      </c>
    </row>
    <row r="38" spans="2:2">
      <c r="B38" t="s">
        <v>81</v>
      </c>
    </row>
    <row r="39" spans="2:2">
      <c r="B39" t="s">
        <v>79</v>
      </c>
    </row>
    <row r="41" spans="2:2">
      <c r="B41" t="s">
        <v>80</v>
      </c>
    </row>
    <row r="42" spans="2:2">
      <c r="B42" t="s">
        <v>83</v>
      </c>
    </row>
    <row r="43" spans="2:2">
      <c r="B43" t="s">
        <v>103</v>
      </c>
    </row>
    <row r="44" spans="2:2">
      <c r="B44" t="s">
        <v>84</v>
      </c>
    </row>
    <row r="46" spans="2:2">
      <c r="B46" s="16" t="s">
        <v>104</v>
      </c>
    </row>
    <row r="47" spans="2:2">
      <c r="B47" s="16" t="s">
        <v>106</v>
      </c>
    </row>
    <row r="48" spans="2:2">
      <c r="B48" s="2" t="s">
        <v>107</v>
      </c>
    </row>
    <row r="49" spans="2:2">
      <c r="B49" s="16" t="s">
        <v>108</v>
      </c>
    </row>
    <row r="50" spans="2:2">
      <c r="B50" s="16" t="s">
        <v>116</v>
      </c>
    </row>
    <row r="51" spans="2:2">
      <c r="B51" s="2" t="s">
        <v>102</v>
      </c>
    </row>
    <row r="52" spans="2:2">
      <c r="B52" s="16" t="s">
        <v>119</v>
      </c>
    </row>
    <row r="53" spans="2:2">
      <c r="B53" s="16" t="s">
        <v>122</v>
      </c>
    </row>
    <row r="54" spans="2:2">
      <c r="B54" s="16" t="s">
        <v>123</v>
      </c>
    </row>
    <row r="57" spans="2:2">
      <c r="B57" t="s">
        <v>105</v>
      </c>
    </row>
    <row r="59" spans="2:2">
      <c r="B59" t="s">
        <v>85</v>
      </c>
    </row>
    <row r="60" spans="2:2">
      <c r="B60" t="s">
        <v>86</v>
      </c>
    </row>
    <row r="61" spans="2:2">
      <c r="B61" t="s">
        <v>87</v>
      </c>
    </row>
    <row r="62" spans="2:2">
      <c r="B62" s="16" t="s">
        <v>98</v>
      </c>
    </row>
    <row r="63" spans="2:2">
      <c r="B63" t="s">
        <v>101</v>
      </c>
    </row>
    <row r="64" spans="2:2">
      <c r="B64" t="s">
        <v>99</v>
      </c>
    </row>
    <row r="65" spans="1:4">
      <c r="B65" t="s">
        <v>100</v>
      </c>
    </row>
    <row r="76" spans="1:4">
      <c r="A76" t="s">
        <v>91</v>
      </c>
      <c r="B76" t="s">
        <v>89</v>
      </c>
      <c r="C76" t="s">
        <v>88</v>
      </c>
      <c r="D76" t="s">
        <v>90</v>
      </c>
    </row>
    <row r="77" spans="1:4">
      <c r="A77" t="s">
        <v>92</v>
      </c>
      <c r="B77" t="s">
        <v>96</v>
      </c>
      <c r="C77" t="s">
        <v>96</v>
      </c>
      <c r="D77" t="s">
        <v>96</v>
      </c>
    </row>
    <row r="78" spans="1:4">
      <c r="A78" s="17" t="s">
        <v>93</v>
      </c>
      <c r="B78" t="s">
        <v>96</v>
      </c>
      <c r="C78" t="s">
        <v>96</v>
      </c>
      <c r="D78" t="s">
        <v>96</v>
      </c>
    </row>
    <row r="79" spans="1:4">
      <c r="A79" s="17" t="s">
        <v>94</v>
      </c>
      <c r="B79" t="s">
        <v>96</v>
      </c>
      <c r="C79" t="s">
        <v>96</v>
      </c>
      <c r="D79" t="s">
        <v>96</v>
      </c>
    </row>
    <row r="80" spans="1:4">
      <c r="A80" t="s">
        <v>95</v>
      </c>
      <c r="B80" t="s">
        <v>97</v>
      </c>
    </row>
    <row r="83" spans="1:3">
      <c r="C83" t="s">
        <v>117</v>
      </c>
    </row>
    <row r="84" spans="1:3">
      <c r="A84" t="s">
        <v>115</v>
      </c>
      <c r="B84" t="s">
        <v>111</v>
      </c>
      <c r="C84" t="s">
        <v>118</v>
      </c>
    </row>
    <row r="85" spans="1:3">
      <c r="B85" t="s">
        <v>109</v>
      </c>
      <c r="C85" t="s">
        <v>118</v>
      </c>
    </row>
    <row r="86" spans="1:3">
      <c r="B86" t="s">
        <v>110</v>
      </c>
      <c r="C86" t="s">
        <v>118</v>
      </c>
    </row>
    <row r="87" spans="1:3">
      <c r="B87" t="s">
        <v>112</v>
      </c>
      <c r="C87" t="s">
        <v>118</v>
      </c>
    </row>
    <row r="89" spans="1:3">
      <c r="A89" t="s">
        <v>113</v>
      </c>
      <c r="B89" t="s">
        <v>111</v>
      </c>
      <c r="C89" t="s">
        <v>118</v>
      </c>
    </row>
    <row r="91" spans="1:3">
      <c r="A91" t="s">
        <v>114</v>
      </c>
      <c r="B91" t="s">
        <v>111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W34"/>
  <sheetViews>
    <sheetView zoomScale="70" zoomScaleNormal="70" workbookViewId="0">
      <selection activeCell="I47" sqref="I47"/>
    </sheetView>
  </sheetViews>
  <sheetFormatPr defaultRowHeight="14.5"/>
  <cols>
    <col min="2" max="2" width="15.6328125" customWidth="1"/>
    <col min="3" max="3" width="13" customWidth="1"/>
    <col min="4" max="4" width="11.08984375" customWidth="1"/>
    <col min="5" max="5" width="11.36328125" customWidth="1"/>
    <col min="6" max="6" width="14.26953125" customWidth="1"/>
    <col min="7" max="7" width="11.90625" customWidth="1"/>
    <col min="8" max="8" width="12.26953125" customWidth="1"/>
    <col min="9" max="9" width="20.7265625" customWidth="1"/>
    <col min="12" max="12" width="10" customWidth="1"/>
    <col min="13" max="13" width="10.90625" customWidth="1"/>
    <col min="17" max="17" width="14.08984375" customWidth="1"/>
    <col min="18" max="18" width="16.08984375" customWidth="1"/>
    <col min="19" max="19" width="13" customWidth="1"/>
    <col min="20" max="20" width="12.1796875" customWidth="1"/>
    <col min="21" max="21" width="11.7265625" customWidth="1"/>
    <col min="22" max="22" width="13" customWidth="1"/>
    <col min="23" max="23" width="13.3632812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5714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180.601843765257</v>
      </c>
      <c r="N2" s="4">
        <v>179.99818440102101</v>
      </c>
      <c r="O2">
        <f>8*(M2/A2)^2</f>
        <v>7.9919705400696046E-3</v>
      </c>
      <c r="P2" s="9">
        <f>8*(N2/A2)^2</f>
        <v>7.9386337085019347E-3</v>
      </c>
      <c r="Q2" s="10">
        <f>(P2-O2)/O2</f>
        <v>-6.6738023245022388E-3</v>
      </c>
      <c r="R2" s="8">
        <f>100*2*N2/A2</f>
        <v>6.3002514666090654</v>
      </c>
      <c r="S2" s="4">
        <f>A2/4*O2</f>
        <v>11.416529916489431</v>
      </c>
      <c r="T2" s="8">
        <f>D2*M2</f>
        <v>18.060184376525701</v>
      </c>
      <c r="U2" s="8">
        <f>E2*N2</f>
        <v>17.9998184401021</v>
      </c>
      <c r="V2" s="8">
        <f>F2*M2</f>
        <v>18.060184376525701</v>
      </c>
      <c r="W2" s="4">
        <f>G2*M2</f>
        <v>4.5150460941314252</v>
      </c>
    </row>
    <row r="3" spans="1:23">
      <c r="A3" s="5">
        <v>5714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180.601843765257</v>
      </c>
      <c r="N3" s="4">
        <v>182.74010750150001</v>
      </c>
      <c r="O3">
        <f>8*(M3/A3)^2</f>
        <v>7.9919705400696046E-3</v>
      </c>
      <c r="P3" s="9">
        <f t="shared" ref="P3:P6" si="1">8*(N3/A3)^2</f>
        <v>8.1823352010309113E-3</v>
      </c>
      <c r="Q3" s="10">
        <f t="shared" ref="Q3:Q6" si="2">(P3-O3)/O3</f>
        <v>2.3819489825052425E-2</v>
      </c>
      <c r="R3" s="8">
        <f t="shared" ref="R3:R6" si="3">100*2*N3/A3</f>
        <v>6.396223573731187</v>
      </c>
      <c r="S3" s="4">
        <f t="shared" ref="S3:S6" si="4">A3/4*O3</f>
        <v>11.416529916489431</v>
      </c>
      <c r="T3" s="8">
        <f t="shared" ref="T3:T6" si="5">D3*M3</f>
        <v>12.10032353227222</v>
      </c>
      <c r="U3" s="8">
        <f t="shared" ref="U3:U6" si="6">E3*N3</f>
        <v>12.243587202600501</v>
      </c>
      <c r="V3" s="8">
        <f t="shared" ref="V3:V6" si="7">F3*M3</f>
        <v>12.10032353227222</v>
      </c>
      <c r="W3" s="4">
        <f t="shared" ref="W3:W6" si="8">G3*M3</f>
        <v>3.0250808830680551</v>
      </c>
    </row>
    <row r="4" spans="1:23">
      <c r="A4" s="5">
        <v>5714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180.601843765257</v>
      </c>
      <c r="N4" s="4">
        <v>183.383339658707</v>
      </c>
      <c r="O4">
        <f>8*(M4/A4)^2</f>
        <v>7.9919705400696046E-3</v>
      </c>
      <c r="P4" s="9">
        <f t="shared" si="1"/>
        <v>8.2400390530784837E-3</v>
      </c>
      <c r="Q4" s="10">
        <f t="shared" si="2"/>
        <v>3.1039718147749643E-2</v>
      </c>
      <c r="R4" s="8">
        <f t="shared" si="3"/>
        <v>6.4187378249459925</v>
      </c>
      <c r="S4" s="4">
        <f t="shared" si="4"/>
        <v>11.416529916489431</v>
      </c>
      <c r="T4" s="8">
        <f t="shared" si="5"/>
        <v>9.0300921882628504</v>
      </c>
      <c r="U4" s="8">
        <f t="shared" si="6"/>
        <v>9.1691669829353497</v>
      </c>
      <c r="V4" s="8">
        <f t="shared" si="7"/>
        <v>9.0300921882628504</v>
      </c>
      <c r="W4" s="4">
        <f t="shared" si="8"/>
        <v>2.2575230470657126</v>
      </c>
    </row>
    <row r="5" spans="1:23">
      <c r="A5" s="5">
        <v>5714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180.601843765257</v>
      </c>
      <c r="N5" s="4">
        <v>183.668368577509</v>
      </c>
      <c r="O5">
        <f>8*(M5/A5)^2</f>
        <v>7.9919705400696046E-3</v>
      </c>
      <c r="P5" s="9">
        <f t="shared" si="1"/>
        <v>8.2656736025973811E-3</v>
      </c>
      <c r="Q5" s="10">
        <f t="shared" si="2"/>
        <v>3.4247256187382384E-2</v>
      </c>
      <c r="R5" s="8">
        <f t="shared" si="3"/>
        <v>6.4287143359296115</v>
      </c>
      <c r="S5" s="4">
        <f t="shared" si="4"/>
        <v>11.416529916489431</v>
      </c>
      <c r="T5" s="8">
        <f t="shared" si="5"/>
        <v>5.9598608442534813</v>
      </c>
      <c r="U5" s="8">
        <f t="shared" si="6"/>
        <v>6.0610561630577973</v>
      </c>
      <c r="V5" s="8">
        <f t="shared" si="7"/>
        <v>5.9598608442534813</v>
      </c>
      <c r="W5" s="4">
        <f t="shared" si="8"/>
        <v>1.4899652110633703</v>
      </c>
    </row>
    <row r="6" spans="1:23">
      <c r="A6" s="5">
        <v>5714</v>
      </c>
      <c r="B6" s="5" t="s">
        <v>59</v>
      </c>
      <c r="C6" s="5" t="s">
        <v>60</v>
      </c>
      <c r="D6">
        <f>18.84/384</f>
        <v>4.9062500000000002E-2</v>
      </c>
      <c r="E6">
        <f>6.28/256</f>
        <v>2.4531250000000001E-2</v>
      </c>
      <c r="F6" s="14">
        <v>2.2990199999999999E-2</v>
      </c>
      <c r="G6" s="14">
        <v>1.5090470000000001E-4</v>
      </c>
      <c r="H6" s="5">
        <f>D6/E6</f>
        <v>2</v>
      </c>
      <c r="I6" s="5" t="s">
        <v>61</v>
      </c>
      <c r="J6" s="5" t="s">
        <v>28</v>
      </c>
      <c r="K6">
        <v>0.1</v>
      </c>
      <c r="L6" s="8">
        <f>K6/G6</f>
        <v>662.66988370806212</v>
      </c>
      <c r="M6" s="13">
        <v>180.601843765257</v>
      </c>
      <c r="N6" s="4">
        <v>183.51840919111899</v>
      </c>
      <c r="O6">
        <f>8*(M6/A6)^2</f>
        <v>7.9919705400696046E-3</v>
      </c>
      <c r="P6" s="9">
        <f t="shared" si="1"/>
        <v>8.2521817929983986E-3</v>
      </c>
      <c r="Q6" s="10">
        <f t="shared" si="2"/>
        <v>3.2559085600248942E-2</v>
      </c>
      <c r="R6" s="8">
        <f t="shared" si="3"/>
        <v>6.4234654949639127</v>
      </c>
      <c r="S6" s="4">
        <f t="shared" si="4"/>
        <v>11.416529916489431</v>
      </c>
      <c r="T6" s="8">
        <f t="shared" si="5"/>
        <v>8.8607779597329213</v>
      </c>
      <c r="U6" s="8">
        <f t="shared" si="6"/>
        <v>4.501935975469638</v>
      </c>
      <c r="V6" s="8">
        <f t="shared" si="7"/>
        <v>4.1520725085320116</v>
      </c>
      <c r="W6" s="4">
        <f t="shared" si="8"/>
        <v>2.7253667052842979E-2</v>
      </c>
    </row>
    <row r="12" spans="1:23">
      <c r="A12" s="5" t="s">
        <v>70</v>
      </c>
    </row>
    <row r="13" spans="1:23">
      <c r="A13" s="5">
        <v>5714</v>
      </c>
      <c r="B13" s="5" t="s">
        <v>39</v>
      </c>
      <c r="C13" s="5" t="s">
        <v>41</v>
      </c>
      <c r="D13" s="5">
        <v>0.1</v>
      </c>
      <c r="E13" s="5">
        <v>0.1</v>
      </c>
      <c r="F13">
        <f>E13</f>
        <v>0.1</v>
      </c>
      <c r="G13" s="5">
        <f>0.25*F13</f>
        <v>2.5000000000000001E-2</v>
      </c>
      <c r="H13" s="5">
        <v>1</v>
      </c>
      <c r="I13" s="5" t="s">
        <v>40</v>
      </c>
      <c r="J13" s="5" t="s">
        <v>28</v>
      </c>
      <c r="K13">
        <v>0</v>
      </c>
      <c r="L13" s="8">
        <v>0</v>
      </c>
      <c r="M13" s="13">
        <v>180.601843765257</v>
      </c>
      <c r="N13" s="4">
        <v>181.51132402826201</v>
      </c>
      <c r="O13">
        <f>8*(M13/A13)^2</f>
        <v>7.9919705400696046E-3</v>
      </c>
      <c r="P13" s="9">
        <f>8*(N13/A13)^2</f>
        <v>8.0726656302520777E-3</v>
      </c>
      <c r="Q13" s="10">
        <f>(P13-O13)/O13</f>
        <v>1.0097020475474653E-2</v>
      </c>
      <c r="R13" s="8">
        <f>100*2*N13/A13</f>
        <v>6.3532140016892553</v>
      </c>
      <c r="S13" s="4">
        <f>A13/4*O13</f>
        <v>11.416529916489431</v>
      </c>
      <c r="T13" s="8">
        <f>D13*M13</f>
        <v>18.060184376525701</v>
      </c>
      <c r="U13" s="8">
        <f>E13*N13</f>
        <v>18.151132402826203</v>
      </c>
      <c r="V13" s="8">
        <f>F13*M13</f>
        <v>18.060184376525701</v>
      </c>
      <c r="W13" s="8">
        <f>G13*M13</f>
        <v>4.5150460941314252</v>
      </c>
    </row>
    <row r="14" spans="1:23">
      <c r="A14" s="5">
        <v>5714</v>
      </c>
      <c r="B14" s="5" t="s">
        <v>39</v>
      </c>
      <c r="C14" s="5" t="s">
        <v>43</v>
      </c>
      <c r="D14" s="5">
        <v>6.7000000000000004E-2</v>
      </c>
      <c r="E14" s="5">
        <v>6.7000000000000004E-2</v>
      </c>
      <c r="F14">
        <f>E14</f>
        <v>6.7000000000000004E-2</v>
      </c>
      <c r="G14" s="5">
        <f>0.25*F14</f>
        <v>1.6750000000000001E-2</v>
      </c>
      <c r="H14" s="5">
        <v>1</v>
      </c>
      <c r="I14" s="5" t="s">
        <v>40</v>
      </c>
      <c r="J14" s="5" t="s">
        <v>28</v>
      </c>
      <c r="K14">
        <v>0</v>
      </c>
      <c r="L14" s="8">
        <v>0</v>
      </c>
      <c r="M14" s="13">
        <v>180.601843765257</v>
      </c>
      <c r="N14" s="4">
        <v>182.633280201991</v>
      </c>
      <c r="O14">
        <f>8*(M14/A14)^2</f>
        <v>7.9919705400696046E-3</v>
      </c>
      <c r="P14" s="9">
        <f t="shared" ref="P14:P16" si="9">8*(N14/A14)^2</f>
        <v>8.1727714408602013E-3</v>
      </c>
      <c r="Q14" s="10">
        <f t="shared" ref="Q14:Q16" si="10">(P14-O14)/O14</f>
        <v>2.2622818725883596E-2</v>
      </c>
      <c r="R14" s="8">
        <f t="shared" ref="R14:R16" si="11">100*2*N14/A14</f>
        <v>6.3924844312912494</v>
      </c>
      <c r="S14" s="4">
        <f t="shared" ref="S14:S16" si="12">A14/4*O14</f>
        <v>11.416529916489431</v>
      </c>
      <c r="T14" s="8">
        <f t="shared" ref="T14:T16" si="13">D14*M14</f>
        <v>12.10032353227222</v>
      </c>
      <c r="U14" s="8">
        <f t="shared" ref="U14:U16" si="14">E14*N14</f>
        <v>12.236429773533398</v>
      </c>
      <c r="V14" s="8">
        <f t="shared" ref="V14:V16" si="15">F14*M14</f>
        <v>12.10032353227222</v>
      </c>
      <c r="W14" s="8">
        <f t="shared" ref="W14:W16" si="16">G14*M14</f>
        <v>3.0250808830680551</v>
      </c>
    </row>
    <row r="15" spans="1:23">
      <c r="A15" s="5">
        <v>5714</v>
      </c>
      <c r="B15" s="5" t="s">
        <v>39</v>
      </c>
      <c r="C15" s="5" t="s">
        <v>44</v>
      </c>
      <c r="D15" s="5">
        <v>0.05</v>
      </c>
      <c r="E15" s="5">
        <v>0.05</v>
      </c>
      <c r="F15">
        <f>E15</f>
        <v>0.05</v>
      </c>
      <c r="G15" s="5">
        <f>0.25*F15</f>
        <v>1.2500000000000001E-2</v>
      </c>
      <c r="H15" s="5">
        <v>1</v>
      </c>
      <c r="I15" s="5" t="s">
        <v>40</v>
      </c>
      <c r="J15" s="5" t="s">
        <v>28</v>
      </c>
      <c r="K15">
        <v>0</v>
      </c>
      <c r="L15" s="8">
        <v>0</v>
      </c>
      <c r="M15" s="13">
        <v>180.601843765257</v>
      </c>
      <c r="N15" s="4">
        <v>181.289661622458</v>
      </c>
      <c r="O15">
        <f>8*(M15/A15)^2</f>
        <v>7.9919705400696046E-3</v>
      </c>
      <c r="P15" s="9">
        <f t="shared" si="9"/>
        <v>8.0529609217001707E-3</v>
      </c>
      <c r="Q15" s="10">
        <f t="shared" si="10"/>
        <v>7.6314572638595908E-3</v>
      </c>
      <c r="R15" s="8">
        <f t="shared" si="11"/>
        <v>6.3454554295575081</v>
      </c>
      <c r="S15" s="4">
        <f t="shared" si="12"/>
        <v>11.416529916489431</v>
      </c>
      <c r="T15" s="8">
        <f t="shared" si="13"/>
        <v>9.0300921882628504</v>
      </c>
      <c r="U15" s="8">
        <f t="shared" si="14"/>
        <v>9.0644830811228996</v>
      </c>
      <c r="V15" s="8">
        <f t="shared" si="15"/>
        <v>9.0300921882628504</v>
      </c>
      <c r="W15" s="8">
        <f t="shared" si="16"/>
        <v>2.2575230470657126</v>
      </c>
    </row>
    <row r="16" spans="1:23">
      <c r="A16" s="5">
        <v>5714</v>
      </c>
      <c r="B16" s="5" t="s">
        <v>39</v>
      </c>
      <c r="C16" s="5" t="s">
        <v>45</v>
      </c>
      <c r="D16" s="5">
        <v>3.3000000000000002E-2</v>
      </c>
      <c r="E16" s="5">
        <v>3.3000000000000002E-2</v>
      </c>
      <c r="F16">
        <f>E16</f>
        <v>3.3000000000000002E-2</v>
      </c>
      <c r="G16" s="5">
        <f>0.25*F16</f>
        <v>8.2500000000000004E-3</v>
      </c>
      <c r="H16" s="5">
        <v>1</v>
      </c>
      <c r="I16" s="5" t="s">
        <v>40</v>
      </c>
      <c r="J16" s="5" t="s">
        <v>28</v>
      </c>
      <c r="K16">
        <v>0</v>
      </c>
      <c r="L16" s="8">
        <v>0</v>
      </c>
      <c r="M16" s="13">
        <v>180.601843765257</v>
      </c>
      <c r="N16" s="4">
        <v>180.70061309741001</v>
      </c>
      <c r="O16">
        <f>8*(M16/A16)^2</f>
        <v>7.9919705400696046E-3</v>
      </c>
      <c r="P16" s="9">
        <f t="shared" si="9"/>
        <v>8.0007143870129832E-3</v>
      </c>
      <c r="Q16" s="10">
        <f t="shared" si="10"/>
        <v>1.0940789758344649E-3</v>
      </c>
      <c r="R16" s="8">
        <f t="shared" si="11"/>
        <v>6.3248377002943652</v>
      </c>
      <c r="S16" s="4">
        <f t="shared" si="12"/>
        <v>11.416529916489431</v>
      </c>
      <c r="T16" s="8">
        <f t="shared" si="13"/>
        <v>5.9598608442534813</v>
      </c>
      <c r="U16" s="8">
        <f t="shared" si="14"/>
        <v>5.9631202322145311</v>
      </c>
      <c r="V16" s="8">
        <f t="shared" si="15"/>
        <v>5.9598608442534813</v>
      </c>
      <c r="W16" s="8">
        <f t="shared" si="16"/>
        <v>1.4899652110633703</v>
      </c>
    </row>
    <row r="25" spans="1:19">
      <c r="A25" s="5" t="s">
        <v>62</v>
      </c>
    </row>
    <row r="26" spans="1:19">
      <c r="A26" s="5" t="s">
        <v>24</v>
      </c>
      <c r="B26" s="5" t="s">
        <v>27</v>
      </c>
      <c r="C26" s="5" t="s">
        <v>26</v>
      </c>
      <c r="D26" s="5" t="s">
        <v>54</v>
      </c>
      <c r="E26" s="5" t="s">
        <v>55</v>
      </c>
      <c r="F26" s="5" t="s">
        <v>57</v>
      </c>
      <c r="G26" s="5" t="s">
        <v>56</v>
      </c>
      <c r="H26" s="5" t="s">
        <v>42</v>
      </c>
      <c r="I26" s="5" t="s">
        <v>50</v>
      </c>
      <c r="J26" s="5" t="s">
        <v>29</v>
      </c>
      <c r="K26" s="5" t="s">
        <v>23</v>
      </c>
      <c r="L26" s="5" t="s">
        <v>53</v>
      </c>
      <c r="M26" s="5" t="s">
        <v>30</v>
      </c>
      <c r="N26" s="5" t="s">
        <v>25</v>
      </c>
      <c r="O26" s="5" t="s">
        <v>32</v>
      </c>
      <c r="P26" s="5" t="s">
        <v>31</v>
      </c>
      <c r="Q26" s="5" t="s">
        <v>33</v>
      </c>
      <c r="R26" s="5" t="s">
        <v>34</v>
      </c>
      <c r="S26" s="5" t="s">
        <v>58</v>
      </c>
    </row>
    <row r="27" spans="1:19">
      <c r="A27" s="5">
        <v>5714</v>
      </c>
      <c r="B27" s="5" t="s">
        <v>59</v>
      </c>
      <c r="C27" s="5" t="s">
        <v>60</v>
      </c>
      <c r="D27" s="8">
        <f>18.84*M27/384</f>
        <v>8.8607779597329213</v>
      </c>
      <c r="E27" s="8">
        <f>6.28*M27/256</f>
        <v>4.4303889798664606</v>
      </c>
      <c r="F27" s="8">
        <f>0.0229902*M27</f>
        <v>4.1520725085320116</v>
      </c>
      <c r="G27" s="4">
        <f>0.0001509047*M27</f>
        <v>2.7253667052842979E-2</v>
      </c>
      <c r="H27" s="4">
        <f>D27/E27</f>
        <v>2</v>
      </c>
      <c r="I27" s="5" t="s">
        <v>61</v>
      </c>
      <c r="J27" s="11" t="s">
        <v>28</v>
      </c>
      <c r="K27">
        <v>0</v>
      </c>
      <c r="L27">
        <v>0</v>
      </c>
      <c r="M27" s="4">
        <v>180.601843765257</v>
      </c>
      <c r="O27">
        <f>8*(M27/A27)^2</f>
        <v>7.9919705400696046E-3</v>
      </c>
      <c r="S27" s="4">
        <f>2857*O27/2</f>
        <v>11.416529916489431</v>
      </c>
    </row>
    <row r="33" spans="1:1">
      <c r="A33" t="s">
        <v>64</v>
      </c>
    </row>
    <row r="34" spans="1:1">
      <c r="A3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W22"/>
  <sheetViews>
    <sheetView zoomScale="55" zoomScaleNormal="55" workbookViewId="0">
      <selection activeCell="K10" sqref="K10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5" customWidth="1"/>
    <col min="19" max="19" width="12.1796875" customWidth="1"/>
    <col min="22" max="22" width="10.7265625" customWidth="1"/>
    <col min="23" max="23" width="11.5429687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20540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551.75</v>
      </c>
      <c r="N2" s="4">
        <v>545.78357335980195</v>
      </c>
      <c r="O2" s="9">
        <f>8*(M2/A2)^2</f>
        <v>5.772630931736967E-3</v>
      </c>
      <c r="P2" s="9">
        <f>8*(N2/A2)^2</f>
        <v>5.648459631799151E-3</v>
      </c>
      <c r="Q2" s="10">
        <f>(P2-O2)/O2</f>
        <v>-2.1510347951597404E-2</v>
      </c>
      <c r="R2" s="8">
        <f>200*2*N2/A2</f>
        <v>10.628696657445024</v>
      </c>
      <c r="S2" s="4">
        <f>A2/4*O2</f>
        <v>29.642459834469324</v>
      </c>
      <c r="T2" s="8">
        <f>D2*M2</f>
        <v>55.175000000000004</v>
      </c>
      <c r="U2" s="8">
        <f>E2*M2</f>
        <v>55.175000000000004</v>
      </c>
      <c r="V2" s="8">
        <f>F2*M2</f>
        <v>55.175000000000004</v>
      </c>
      <c r="W2" s="8">
        <f>G2*M2</f>
        <v>13.793750000000001</v>
      </c>
    </row>
    <row r="3" spans="1:23">
      <c r="A3" s="5">
        <v>20540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551.75</v>
      </c>
      <c r="N3" s="4">
        <v>546.01003637948202</v>
      </c>
      <c r="O3" s="9">
        <f>8*(M3/A3)^2</f>
        <v>5.772630931736967E-3</v>
      </c>
      <c r="P3" s="9">
        <f t="shared" ref="P3:P5" si="1">8*(N3/A3)^2</f>
        <v>5.6531480565552529E-3</v>
      </c>
      <c r="Q3" s="10">
        <f t="shared" ref="Q3:Q5" si="2">(P3-O3)/O3</f>
        <v>-2.0698166329119909E-2</v>
      </c>
      <c r="R3" s="8">
        <f t="shared" ref="R3:R5" si="3">200*2*N3/A3</f>
        <v>10.633106842833145</v>
      </c>
      <c r="S3" s="4">
        <f t="shared" ref="S3:S5" si="4">A3/4*O3</f>
        <v>29.642459834469324</v>
      </c>
      <c r="T3" s="8">
        <f t="shared" ref="T3:T5" si="5">D3*M3</f>
        <v>36.96725</v>
      </c>
      <c r="U3" s="8">
        <f t="shared" ref="U3:U5" si="6">E3*M3</f>
        <v>36.96725</v>
      </c>
      <c r="V3" s="8">
        <f t="shared" ref="V3:V5" si="7">F3*M3</f>
        <v>36.96725</v>
      </c>
      <c r="W3" s="8">
        <f t="shared" ref="W3:W5" si="8">G3*M3</f>
        <v>9.2418125</v>
      </c>
    </row>
    <row r="4" spans="1:23">
      <c r="A4" s="5">
        <v>20540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551.75</v>
      </c>
      <c r="N4" s="4">
        <v>550.69190375916003</v>
      </c>
      <c r="O4" s="9">
        <f>8*(M4/A4)^2</f>
        <v>5.772630931736967E-3</v>
      </c>
      <c r="P4" s="9">
        <f t="shared" si="1"/>
        <v>5.7505117023593354E-3</v>
      </c>
      <c r="Q4" s="10">
        <f t="shared" si="2"/>
        <v>-3.831741477880346E-3</v>
      </c>
      <c r="R4" s="8">
        <f t="shared" si="3"/>
        <v>10.724282449058618</v>
      </c>
      <c r="S4" s="4">
        <f t="shared" si="4"/>
        <v>29.642459834469324</v>
      </c>
      <c r="T4" s="8">
        <f t="shared" si="5"/>
        <v>27.587500000000002</v>
      </c>
      <c r="U4" s="8">
        <f t="shared" si="6"/>
        <v>27.587500000000002</v>
      </c>
      <c r="V4" s="8">
        <f t="shared" si="7"/>
        <v>27.587500000000002</v>
      </c>
      <c r="W4" s="8">
        <f t="shared" si="8"/>
        <v>6.8968750000000005</v>
      </c>
    </row>
    <row r="5" spans="1:23">
      <c r="A5" s="5">
        <v>20540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551.75</v>
      </c>
      <c r="N5" s="4">
        <v>556.05087169541605</v>
      </c>
      <c r="O5" s="9">
        <f>8*(M5/A5)^2</f>
        <v>5.772630931736967E-3</v>
      </c>
      <c r="P5" s="9">
        <f t="shared" si="1"/>
        <v>5.8629765923423373E-3</v>
      </c>
      <c r="Q5" s="10">
        <f t="shared" si="2"/>
        <v>1.5650690590431615E-2</v>
      </c>
      <c r="R5" s="8">
        <f t="shared" si="3"/>
        <v>10.828644044701385</v>
      </c>
      <c r="S5" s="4">
        <f t="shared" si="4"/>
        <v>29.642459834469324</v>
      </c>
      <c r="T5" s="8">
        <f t="shared" si="5"/>
        <v>18.207750000000001</v>
      </c>
      <c r="U5" s="8">
        <f t="shared" si="6"/>
        <v>18.207750000000001</v>
      </c>
      <c r="V5" s="8">
        <f t="shared" si="7"/>
        <v>18.207750000000001</v>
      </c>
      <c r="W5" s="8">
        <f t="shared" si="8"/>
        <v>4.5519375000000002</v>
      </c>
    </row>
    <row r="6" spans="1:23">
      <c r="A6" s="5"/>
      <c r="B6" s="5"/>
      <c r="C6" s="5"/>
      <c r="D6" s="5"/>
      <c r="E6" s="5"/>
      <c r="G6" s="5"/>
      <c r="H6" s="5"/>
      <c r="I6" s="5"/>
      <c r="J6" s="5"/>
      <c r="L6" s="8"/>
      <c r="M6" s="13"/>
      <c r="O6" s="9"/>
      <c r="P6" s="4"/>
    </row>
    <row r="7" spans="1:23">
      <c r="A7" s="5"/>
      <c r="B7" s="5"/>
      <c r="C7" s="5"/>
      <c r="D7" s="5"/>
      <c r="E7" s="5"/>
      <c r="G7" s="5"/>
      <c r="H7" s="5"/>
      <c r="I7" s="5"/>
      <c r="J7" s="5"/>
      <c r="L7" s="8"/>
      <c r="M7" s="13"/>
      <c r="O7" s="9"/>
      <c r="P7" s="4"/>
    </row>
    <row r="8" spans="1:23">
      <c r="A8" s="5"/>
      <c r="B8" s="5"/>
      <c r="C8" s="5"/>
      <c r="D8" s="5"/>
      <c r="E8" s="5"/>
      <c r="G8" s="5"/>
      <c r="H8" s="5"/>
      <c r="I8" s="5"/>
      <c r="J8" s="5"/>
      <c r="L8" s="8"/>
      <c r="M8" s="13"/>
      <c r="O8" s="9"/>
    </row>
    <row r="9" spans="1:23">
      <c r="A9" s="5" t="s">
        <v>70</v>
      </c>
      <c r="B9" s="5"/>
      <c r="D9" s="5"/>
      <c r="E9" s="5"/>
      <c r="G9" s="5"/>
      <c r="H9" s="5"/>
      <c r="I9" s="5"/>
      <c r="J9" s="5"/>
      <c r="L9" s="8"/>
      <c r="M9" s="13"/>
      <c r="O9" s="9"/>
    </row>
    <row r="10" spans="1:23">
      <c r="A10" s="5">
        <v>20540</v>
      </c>
      <c r="B10" s="5" t="s">
        <v>39</v>
      </c>
      <c r="C10" s="5" t="s">
        <v>41</v>
      </c>
      <c r="D10" s="5">
        <v>0.1</v>
      </c>
      <c r="E10" s="5">
        <v>0.1</v>
      </c>
      <c r="F10">
        <f>E10</f>
        <v>0.1</v>
      </c>
      <c r="G10" s="5">
        <f>0.25*F10</f>
        <v>2.5000000000000001E-2</v>
      </c>
      <c r="H10" s="5">
        <v>1</v>
      </c>
      <c r="I10" s="5" t="s">
        <v>40</v>
      </c>
      <c r="J10" s="5" t="s">
        <v>28</v>
      </c>
      <c r="K10">
        <v>0</v>
      </c>
      <c r="L10" s="8">
        <f>K10/G10</f>
        <v>0</v>
      </c>
      <c r="M10" s="13">
        <v>551.75</v>
      </c>
      <c r="N10" s="15">
        <v>560.00502063061197</v>
      </c>
      <c r="O10" s="9">
        <f>8*(M10/A10)^2</f>
        <v>5.772630931736967E-3</v>
      </c>
      <c r="P10" s="9">
        <f>8*(N10/A10)^2</f>
        <v>5.9466578264462649E-3</v>
      </c>
      <c r="Q10" s="10">
        <f>(P10-O10)/O10</f>
        <v>3.0146894330716146E-2</v>
      </c>
      <c r="R10" s="8">
        <f>200*2*N10/A10</f>
        <v>10.905647918804517</v>
      </c>
      <c r="S10" s="4">
        <f>A10/4*O10</f>
        <v>29.642459834469324</v>
      </c>
    </row>
    <row r="11" spans="1:23">
      <c r="A11" s="5">
        <v>20540</v>
      </c>
      <c r="B11" s="5" t="s">
        <v>39</v>
      </c>
      <c r="C11" s="5" t="s">
        <v>43</v>
      </c>
      <c r="D11" s="5">
        <v>6.7000000000000004E-2</v>
      </c>
      <c r="E11" s="5">
        <v>6.7000000000000004E-2</v>
      </c>
      <c r="F11">
        <f>E11</f>
        <v>6.7000000000000004E-2</v>
      </c>
      <c r="G11" s="5">
        <f>0.25*F11</f>
        <v>1.6750000000000001E-2</v>
      </c>
      <c r="H11" s="5">
        <v>1</v>
      </c>
      <c r="I11" s="5" t="s">
        <v>40</v>
      </c>
      <c r="J11" s="5" t="s">
        <v>28</v>
      </c>
      <c r="K11">
        <v>0</v>
      </c>
      <c r="L11" s="8">
        <f t="shared" ref="L11:L13" si="9">K11/G11</f>
        <v>0</v>
      </c>
      <c r="M11" s="13">
        <v>551.75</v>
      </c>
      <c r="N11" s="15">
        <v>564.04199736140004</v>
      </c>
      <c r="O11" s="9">
        <f>8*(M11/A11)^2</f>
        <v>5.772630931736967E-3</v>
      </c>
      <c r="P11" s="9">
        <f t="shared" ref="P11:P13" si="10">8*(N11/A11)^2</f>
        <v>6.032703657288984E-3</v>
      </c>
      <c r="Q11" s="10">
        <f t="shared" ref="Q11:Q13" si="11">(P11-O11)/O11</f>
        <v>4.5052720090276395E-2</v>
      </c>
      <c r="R11" s="8">
        <f t="shared" ref="R11:R13" si="12">200*2*N11/A11</f>
        <v>10.984264797690361</v>
      </c>
      <c r="S11" s="4">
        <f t="shared" ref="S11:S13" si="13">A11/4*O11</f>
        <v>29.642459834469324</v>
      </c>
    </row>
    <row r="12" spans="1:23">
      <c r="A12" s="5">
        <v>20540</v>
      </c>
      <c r="B12" s="5" t="s">
        <v>39</v>
      </c>
      <c r="C12" s="5" t="s">
        <v>44</v>
      </c>
      <c r="D12" s="5">
        <v>0.05</v>
      </c>
      <c r="E12" s="5">
        <v>0.05</v>
      </c>
      <c r="F12">
        <f>E12</f>
        <v>0.05</v>
      </c>
      <c r="G12" s="5">
        <f>0.25*F12</f>
        <v>1.2500000000000001E-2</v>
      </c>
      <c r="H12" s="5">
        <v>1</v>
      </c>
      <c r="I12" s="5" t="s">
        <v>40</v>
      </c>
      <c r="J12" s="5" t="s">
        <v>28</v>
      </c>
      <c r="K12">
        <v>0</v>
      </c>
      <c r="L12" s="8">
        <f t="shared" si="9"/>
        <v>0</v>
      </c>
      <c r="M12" s="13">
        <v>551.75</v>
      </c>
      <c r="N12" s="15">
        <v>578.50252578898403</v>
      </c>
      <c r="O12" s="9">
        <f>8*(M12/A12)^2</f>
        <v>5.772630931736967E-3</v>
      </c>
      <c r="P12" s="9">
        <f t="shared" si="10"/>
        <v>6.3459935650623835E-3</v>
      </c>
      <c r="Q12" s="10">
        <f t="shared" si="11"/>
        <v>9.9324318513619808E-2</v>
      </c>
      <c r="R12" s="8">
        <f t="shared" si="12"/>
        <v>11.265871972521598</v>
      </c>
      <c r="S12" s="4">
        <f t="shared" si="13"/>
        <v>29.642459834469324</v>
      </c>
    </row>
    <row r="13" spans="1:23">
      <c r="A13" s="5">
        <v>20540</v>
      </c>
      <c r="B13" s="5" t="s">
        <v>39</v>
      </c>
      <c r="C13" s="5" t="s">
        <v>45</v>
      </c>
      <c r="D13" s="5">
        <v>3.3000000000000002E-2</v>
      </c>
      <c r="E13" s="5">
        <v>3.3000000000000002E-2</v>
      </c>
      <c r="F13">
        <f>E13</f>
        <v>3.3000000000000002E-2</v>
      </c>
      <c r="G13" s="5">
        <f>0.25*F13</f>
        <v>8.2500000000000004E-3</v>
      </c>
      <c r="H13" s="5">
        <v>1</v>
      </c>
      <c r="I13" s="5" t="s">
        <v>40</v>
      </c>
      <c r="J13" s="5" t="s">
        <v>28</v>
      </c>
      <c r="K13">
        <v>0</v>
      </c>
      <c r="L13" s="8">
        <f t="shared" si="9"/>
        <v>0</v>
      </c>
      <c r="M13" s="13">
        <v>551.75</v>
      </c>
      <c r="N13" s="15">
        <v>582.44997203883202</v>
      </c>
      <c r="O13" s="9">
        <f>8*(M13/A13)^2</f>
        <v>5.772630931736967E-3</v>
      </c>
      <c r="P13" s="9">
        <f t="shared" si="10"/>
        <v>6.4328935665566456E-3</v>
      </c>
      <c r="Q13" s="10">
        <f t="shared" si="11"/>
        <v>0.11437811331219257</v>
      </c>
      <c r="R13" s="8">
        <f t="shared" si="12"/>
        <v>11.342745317211918</v>
      </c>
      <c r="S13" s="4">
        <f t="shared" si="13"/>
        <v>29.642459834469324</v>
      </c>
    </row>
    <row r="14" spans="1: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23">
      <c r="A15" s="5"/>
      <c r="B15" s="5"/>
      <c r="C15" s="5"/>
      <c r="D15" s="12"/>
      <c r="H15" s="4"/>
      <c r="I15" s="5"/>
      <c r="J15" s="11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S10"/>
  <sheetViews>
    <sheetView zoomScale="55" zoomScaleNormal="55" workbookViewId="0">
      <selection activeCell="L43" sqref="L43"/>
    </sheetView>
  </sheetViews>
  <sheetFormatPr defaultRowHeight="14.5"/>
  <cols>
    <col min="1" max="1" width="7.26953125" customWidth="1"/>
    <col min="2" max="2" width="15.08984375" customWidth="1"/>
    <col min="3" max="3" width="13.363281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3.90625" customWidth="1"/>
    <col min="10" max="10" width="12.36328125" customWidth="1"/>
    <col min="11" max="11" width="14.1796875" customWidth="1"/>
    <col min="12" max="12" width="12.453125" customWidth="1"/>
    <col min="13" max="13" width="12.1796875" customWidth="1"/>
    <col min="14" max="14" width="10.54296875" customWidth="1"/>
    <col min="16" max="16" width="10.54296875" customWidth="1"/>
    <col min="17" max="17" width="15.81640625" customWidth="1"/>
    <col min="18" max="18" width="15.54296875" customWidth="1"/>
    <col min="19" max="19" width="11.1796875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</row>
    <row r="2" spans="1:19">
      <c r="A2" s="5">
        <v>40582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1002.1</v>
      </c>
      <c r="N2" s="8">
        <v>991.44275767622696</v>
      </c>
      <c r="O2" s="9">
        <f>8*(M2/A2)^2</f>
        <v>4.8780384385069212E-3</v>
      </c>
      <c r="P2" s="9">
        <f>8*(N2/A2)^2</f>
        <v>4.7748351610169409E-3</v>
      </c>
      <c r="Q2" s="10">
        <f>(P2-O2)/O2</f>
        <v>-2.1156716739929773E-2</v>
      </c>
      <c r="R2" s="8">
        <f>200*2*N2/A2</f>
        <v>9.7722414634687986</v>
      </c>
      <c r="S2" s="4">
        <f>A2/4*O2</f>
        <v>49.490138977871972</v>
      </c>
    </row>
    <row r="3" spans="1:19">
      <c r="A3" s="5">
        <v>40582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1002.1</v>
      </c>
      <c r="N3" s="8">
        <v>967.18605429573699</v>
      </c>
      <c r="O3" s="9">
        <f t="shared" ref="O3:O5" si="1">8*(M3/A3)^2</f>
        <v>4.8780384385069212E-3</v>
      </c>
      <c r="P3" s="9">
        <f t="shared" ref="P3:P5" si="2">8*(N3/A3)^2</f>
        <v>4.5440504628099102E-3</v>
      </c>
      <c r="Q3" s="10">
        <f t="shared" ref="Q3:Q5" si="3">(P3-O3)/O3</f>
        <v>-6.8467680176632364E-2</v>
      </c>
      <c r="R3" s="8">
        <f t="shared" ref="R3:R5" si="4">200*2*N3/A3</f>
        <v>9.5331531644151291</v>
      </c>
      <c r="S3" s="4">
        <f t="shared" ref="S3:S5" si="5">A3/4*O3</f>
        <v>49.490138977871972</v>
      </c>
    </row>
    <row r="4" spans="1:19">
      <c r="A4" s="5">
        <v>40582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1002.1</v>
      </c>
      <c r="N4" s="8">
        <v>978.16635810243804</v>
      </c>
      <c r="O4" s="9">
        <f t="shared" si="1"/>
        <v>4.8780384385069212E-3</v>
      </c>
      <c r="P4" s="9">
        <f t="shared" si="2"/>
        <v>4.6478118426103634E-3</v>
      </c>
      <c r="Q4" s="10">
        <f t="shared" si="3"/>
        <v>-4.7196552220491725E-2</v>
      </c>
      <c r="R4" s="8">
        <f t="shared" si="4"/>
        <v>9.6413814804833482</v>
      </c>
      <c r="S4" s="4">
        <f t="shared" si="5"/>
        <v>49.490138977871972</v>
      </c>
    </row>
    <row r="5" spans="1:19">
      <c r="A5" s="5">
        <v>40582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1002.1</v>
      </c>
      <c r="N5" s="8">
        <v>989.39442504592398</v>
      </c>
      <c r="O5" s="9">
        <f t="shared" si="1"/>
        <v>4.8780384385069212E-3</v>
      </c>
      <c r="P5" s="9">
        <f t="shared" si="2"/>
        <v>4.7551258085106367E-3</v>
      </c>
      <c r="Q5" s="10">
        <f t="shared" si="3"/>
        <v>-2.5197142569853514E-2</v>
      </c>
      <c r="R5" s="8">
        <f t="shared" si="4"/>
        <v>9.7520518953814399</v>
      </c>
      <c r="S5" s="4">
        <f t="shared" si="5"/>
        <v>49.490138977871972</v>
      </c>
    </row>
    <row r="6" spans="1:19">
      <c r="A6" s="5"/>
      <c r="B6" s="5"/>
      <c r="C6" s="6"/>
      <c r="D6" s="5"/>
      <c r="E6" s="5"/>
      <c r="F6" s="5"/>
      <c r="G6" s="5"/>
      <c r="K6" s="7"/>
      <c r="L6" s="4"/>
    </row>
    <row r="7" spans="1:19">
      <c r="A7" s="5"/>
      <c r="B7" s="5"/>
      <c r="C7" s="6"/>
      <c r="D7" s="5"/>
      <c r="E7" s="5"/>
      <c r="F7" s="5"/>
      <c r="G7" s="5"/>
      <c r="K7" s="7"/>
      <c r="L7" s="4"/>
    </row>
    <row r="8" spans="1:19">
      <c r="I8" s="5"/>
    </row>
    <row r="10" spans="1:19">
      <c r="F1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30"/>
  <sheetViews>
    <sheetView tabSelected="1" zoomScale="55" zoomScaleNormal="55" workbookViewId="0">
      <selection activeCell="P20" sqref="P20"/>
    </sheetView>
  </sheetViews>
  <sheetFormatPr defaultRowHeight="14.5"/>
  <cols>
    <col min="1" max="1" width="11.179687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3.36328125" customWidth="1"/>
    <col min="20" max="20" width="11.7265625" customWidth="1"/>
  </cols>
  <sheetData>
    <row r="1" spans="1:20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</row>
    <row r="2" spans="1:20">
      <c r="A2" t="s">
        <v>120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</row>
    <row r="3" spans="1:20">
      <c r="A3" t="s">
        <v>120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</row>
    <row r="4" spans="1:20">
      <c r="A4" t="s">
        <v>120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</row>
    <row r="5" spans="1:20">
      <c r="A5" t="s">
        <v>120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</row>
    <row r="7" spans="1:20">
      <c r="P7" s="4"/>
      <c r="T7" s="6"/>
    </row>
    <row r="8" spans="1:20">
      <c r="T8" s="6"/>
    </row>
    <row r="9" spans="1:20">
      <c r="A9" t="s">
        <v>121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8">
        <v>4862.8822243521199</v>
      </c>
      <c r="P9">
        <f>8*(N9/B9)^2</f>
        <v>3.4423715449099523E-3</v>
      </c>
      <c r="Q9" s="9" t="e">
        <f>8*(#REF!/B9)^2</f>
        <v>#REF!</v>
      </c>
      <c r="R9" s="10" t="e">
        <f>(Q9-P9)/P9</f>
        <v>#REF!</v>
      </c>
      <c r="S9" s="8" t="e">
        <f>100*2*#REF!/B9</f>
        <v>#REF!</v>
      </c>
      <c r="T9" s="4">
        <f>B9/4*P9</f>
        <v>215.14822155687202</v>
      </c>
    </row>
    <row r="10" spans="1:20">
      <c r="A10" t="s">
        <v>121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8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4">(Q10-P10)/P10</f>
        <v>-2.3720870052610196E-2</v>
      </c>
      <c r="S10" s="8">
        <f>100*2*O10/B10</f>
        <v>4.0992166915279924</v>
      </c>
      <c r="T10" s="4">
        <f t="shared" ref="T10:T12" si="5">B10/4*P10</f>
        <v>215.14822155687202</v>
      </c>
    </row>
    <row r="11" spans="1:20">
      <c r="A11" t="s">
        <v>121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8">
        <v>5139.2474953825704</v>
      </c>
      <c r="P11">
        <f>8*(N11/B11)^2</f>
        <v>3.4423715449099523E-3</v>
      </c>
      <c r="Q11" s="9">
        <f t="shared" ref="Q10:Q12" si="6">8*(O11/B11)^2</f>
        <v>3.3807186968058912E-3</v>
      </c>
      <c r="R11" s="10">
        <f t="shared" si="4"/>
        <v>-1.7909992370005439E-2</v>
      </c>
      <c r="S11" s="8">
        <f t="shared" ref="S10:S12" si="7">100*2*O11/B11</f>
        <v>4.1113979963060565</v>
      </c>
      <c r="T11" s="4">
        <f t="shared" si="5"/>
        <v>215.14822155687202</v>
      </c>
    </row>
    <row r="12" spans="1:20">
      <c r="A12" t="s">
        <v>121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8">
        <v>5166.3797844559504</v>
      </c>
      <c r="P12">
        <f>8*(N12/B12)^2</f>
        <v>3.4423715449099523E-3</v>
      </c>
      <c r="Q12" s="9">
        <f t="shared" si="6"/>
        <v>3.4165094498860944E-3</v>
      </c>
      <c r="R12" s="10">
        <f t="shared" si="4"/>
        <v>-7.5128714859669272E-3</v>
      </c>
      <c r="S12" s="8">
        <f t="shared" si="7"/>
        <v>4.13310382756476</v>
      </c>
      <c r="T12" s="4">
        <f t="shared" si="5"/>
        <v>215.14822155687202</v>
      </c>
    </row>
    <row r="27" spans="1:15">
      <c r="A27" s="5">
        <v>250000</v>
      </c>
      <c r="B27" s="5" t="s">
        <v>39</v>
      </c>
      <c r="C27" s="5" t="s">
        <v>46</v>
      </c>
      <c r="D27" s="5">
        <v>0.2</v>
      </c>
      <c r="E27" s="5">
        <v>0.1</v>
      </c>
      <c r="F27">
        <v>0.1</v>
      </c>
      <c r="G27" s="5">
        <f>0.25*F27</f>
        <v>2.5000000000000001E-2</v>
      </c>
      <c r="H27" s="5">
        <v>2</v>
      </c>
      <c r="I27" s="5" t="s">
        <v>40</v>
      </c>
      <c r="J27" s="5" t="s">
        <v>28</v>
      </c>
      <c r="K27">
        <v>0.1</v>
      </c>
      <c r="L27" s="8">
        <f>K27/G27</f>
        <v>4</v>
      </c>
      <c r="M27" s="8">
        <v>5185.8969999999999</v>
      </c>
      <c r="O27">
        <f>8*(M27/A27)^2</f>
        <v>3.4423715449099523E-3</v>
      </c>
    </row>
    <row r="28" spans="1:15">
      <c r="A28" s="5">
        <v>250000</v>
      </c>
      <c r="B28" s="5" t="s">
        <v>39</v>
      </c>
      <c r="C28" s="5" t="s">
        <v>47</v>
      </c>
      <c r="D28" s="5">
        <f>E28*2</f>
        <v>0.13400000000000001</v>
      </c>
      <c r="E28" s="5">
        <v>6.7000000000000004E-2</v>
      </c>
      <c r="F28">
        <f>E28</f>
        <v>6.7000000000000004E-2</v>
      </c>
      <c r="G28" s="5">
        <f>0.25*F28</f>
        <v>1.6750000000000001E-2</v>
      </c>
      <c r="H28" s="5">
        <v>2</v>
      </c>
      <c r="I28" s="5" t="s">
        <v>40</v>
      </c>
      <c r="J28" s="5" t="s">
        <v>28</v>
      </c>
      <c r="K28">
        <v>0.1</v>
      </c>
      <c r="L28" s="8">
        <f>K28/G28</f>
        <v>5.9701492537313436</v>
      </c>
      <c r="M28" s="8">
        <v>5185.8969999999999</v>
      </c>
      <c r="O28">
        <f>8*(M28/A28)^2</f>
        <v>3.4423715449099523E-3</v>
      </c>
    </row>
    <row r="29" spans="1:15">
      <c r="A29" s="5">
        <v>250000</v>
      </c>
      <c r="B29" s="5" t="s">
        <v>39</v>
      </c>
      <c r="C29" s="5" t="s">
        <v>48</v>
      </c>
      <c r="D29" s="5">
        <f t="shared" ref="D29:D30" si="8">E29*2</f>
        <v>0.1</v>
      </c>
      <c r="E29" s="5">
        <v>0.05</v>
      </c>
      <c r="F29">
        <f>E29</f>
        <v>0.05</v>
      </c>
      <c r="G29" s="5">
        <f>0.25*F29</f>
        <v>1.2500000000000001E-2</v>
      </c>
      <c r="H29" s="5">
        <v>2</v>
      </c>
      <c r="I29" s="5" t="s">
        <v>40</v>
      </c>
      <c r="J29" s="5" t="s">
        <v>28</v>
      </c>
      <c r="K29">
        <v>0.1</v>
      </c>
      <c r="L29" s="8">
        <f>K29/G29</f>
        <v>8</v>
      </c>
      <c r="M29" s="8">
        <v>5185.8969999999999</v>
      </c>
      <c r="O29">
        <f>8*(M29/A29)^2</f>
        <v>3.4423715449099523E-3</v>
      </c>
    </row>
    <row r="30" spans="1:15">
      <c r="A30" s="5">
        <v>250000</v>
      </c>
      <c r="B30" s="5" t="s">
        <v>39</v>
      </c>
      <c r="C30" s="5" t="s">
        <v>49</v>
      </c>
      <c r="D30" s="5">
        <f t="shared" si="8"/>
        <v>6.6000000000000003E-2</v>
      </c>
      <c r="E30" s="5">
        <v>3.3000000000000002E-2</v>
      </c>
      <c r="F30">
        <f>E30</f>
        <v>3.3000000000000002E-2</v>
      </c>
      <c r="G30" s="5">
        <f>0.25*F30</f>
        <v>8.2500000000000004E-3</v>
      </c>
      <c r="H30" s="5">
        <v>2</v>
      </c>
      <c r="I30" s="5" t="s">
        <v>40</v>
      </c>
      <c r="J30" s="5" t="s">
        <v>28</v>
      </c>
      <c r="K30">
        <v>0.1</v>
      </c>
      <c r="L30" s="8">
        <f>K30/G30</f>
        <v>12.121212121212121</v>
      </c>
      <c r="M30" s="8">
        <v>5185.8969999999999</v>
      </c>
      <c r="O30">
        <f>8*(M30/A30)^2</f>
        <v>3.4423715449099523E-3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CHA_RETAU180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2024-04-16T21:04:57Z</dcterms:modified>
</cp:coreProperties>
</file>