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wsl.localhost\Ubuntu\home\mchao\code\CaNS\docs\"/>
    </mc:Choice>
  </mc:AlternateContent>
  <xr:revisionPtr revIDLastSave="0" documentId="13_ncr:1_{69B2DE57-4EAE-434D-858C-76F1A50AC6D4}" xr6:coauthVersionLast="47" xr6:coauthVersionMax="47" xr10:uidLastSave="{00000000-0000-0000-0000-000000000000}"/>
  <bookViews>
    <workbookView xWindow="-110" yWindow="-110" windowWidth="25820" windowHeight="15500" tabRatio="781" firstSheet="2" activeTab="7" xr2:uid="{01D2C22A-6FDC-4C8A-89EA-CFEF89D4AB13}"/>
  </bookViews>
  <sheets>
    <sheet name="DIT" sheetId="13" r:id="rId1"/>
    <sheet name="CHA_RETAU180" sheetId="9" r:id="rId2"/>
    <sheet name="CHA_RETAU395" sheetId="10" r:id="rId3"/>
    <sheet name="CHA_RETAU550" sheetId="7" r:id="rId4"/>
    <sheet name="CHA_RETAU1000" sheetId="4" r:id="rId5"/>
    <sheet name="CHA_RETAU5200" sheetId="6" r:id="rId6"/>
    <sheet name="DUC_RETAU150" sheetId="11" r:id="rId7"/>
    <sheet name="DUC_RETAU1000" sheetId="12" r:id="rId8"/>
    <sheet name="GPT cache" sheetId="14" state="very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0" i="12" l="1"/>
  <c r="W20" i="12"/>
  <c r="T20" i="12"/>
  <c r="S20" i="12"/>
  <c r="R20" i="12"/>
  <c r="Q20" i="12"/>
  <c r="P20" i="12"/>
  <c r="H20" i="12"/>
  <c r="G20" i="12"/>
  <c r="F20" i="12"/>
  <c r="V20" i="12" s="1"/>
  <c r="E20" i="12"/>
  <c r="U20" i="12" s="1"/>
  <c r="X19" i="12"/>
  <c r="W19" i="12"/>
  <c r="V19" i="12"/>
  <c r="S19" i="12"/>
  <c r="Q19" i="12"/>
  <c r="R19" i="12" s="1"/>
  <c r="P19" i="12"/>
  <c r="T19" i="12" s="1"/>
  <c r="H19" i="12"/>
  <c r="G19" i="12"/>
  <c r="F19" i="12"/>
  <c r="M19" i="12" s="1"/>
  <c r="E19" i="12"/>
  <c r="U19" i="12" s="1"/>
  <c r="X18" i="12"/>
  <c r="W18" i="12"/>
  <c r="V18" i="12"/>
  <c r="S18" i="12"/>
  <c r="R18" i="12"/>
  <c r="Q18" i="12"/>
  <c r="P18" i="12"/>
  <c r="T18" i="12" s="1"/>
  <c r="M18" i="12"/>
  <c r="H18" i="12"/>
  <c r="G18" i="12"/>
  <c r="F18" i="12"/>
  <c r="E18" i="12"/>
  <c r="U18" i="12" s="1"/>
  <c r="X17" i="12"/>
  <c r="W17" i="12"/>
  <c r="V17" i="12"/>
  <c r="U17" i="12"/>
  <c r="T17" i="12"/>
  <c r="S17" i="12"/>
  <c r="Q17" i="12"/>
  <c r="R17" i="12" s="1"/>
  <c r="P17" i="12"/>
  <c r="H17" i="12"/>
  <c r="G17" i="12"/>
  <c r="F17" i="12"/>
  <c r="M17" i="12" s="1"/>
  <c r="E17" i="12"/>
  <c r="W16" i="12"/>
  <c r="V16" i="12"/>
  <c r="U16" i="12"/>
  <c r="S16" i="12"/>
  <c r="Q16" i="12"/>
  <c r="R16" i="12" s="1"/>
  <c r="P16" i="12"/>
  <c r="T16" i="12" s="1"/>
  <c r="I16" i="12"/>
  <c r="H16" i="12"/>
  <c r="X16" i="12" s="1"/>
  <c r="G16" i="12"/>
  <c r="F16" i="12"/>
  <c r="M16" i="12" s="1"/>
  <c r="T13" i="12"/>
  <c r="S13" i="12"/>
  <c r="R13" i="12"/>
  <c r="Q13" i="12"/>
  <c r="P13" i="12"/>
  <c r="H13" i="12"/>
  <c r="X13" i="12" s="1"/>
  <c r="G13" i="12"/>
  <c r="W13" i="12" s="1"/>
  <c r="F13" i="12"/>
  <c r="V13" i="12" s="1"/>
  <c r="E13" i="12"/>
  <c r="U13" i="12" s="1"/>
  <c r="T12" i="12"/>
  <c r="S12" i="12"/>
  <c r="R12" i="12"/>
  <c r="Q12" i="12"/>
  <c r="P12" i="12"/>
  <c r="H12" i="12"/>
  <c r="X12" i="12" s="1"/>
  <c r="G12" i="12"/>
  <c r="W12" i="12" s="1"/>
  <c r="F12" i="12"/>
  <c r="V12" i="12" s="1"/>
  <c r="E12" i="12"/>
  <c r="U12" i="12" s="1"/>
  <c r="T11" i="12"/>
  <c r="S11" i="12"/>
  <c r="Q11" i="12"/>
  <c r="R11" i="12" s="1"/>
  <c r="P11" i="12"/>
  <c r="H11" i="12"/>
  <c r="X11" i="12" s="1"/>
  <c r="G11" i="12"/>
  <c r="W11" i="12" s="1"/>
  <c r="F11" i="12"/>
  <c r="V11" i="12" s="1"/>
  <c r="E11" i="12"/>
  <c r="U11" i="12" s="1"/>
  <c r="T10" i="12"/>
  <c r="S10" i="12"/>
  <c r="Q10" i="12"/>
  <c r="R10" i="12" s="1"/>
  <c r="P10" i="12"/>
  <c r="H10" i="12"/>
  <c r="X10" i="12" s="1"/>
  <c r="G10" i="12"/>
  <c r="W10" i="12" s="1"/>
  <c r="F10" i="12"/>
  <c r="V10" i="12" s="1"/>
  <c r="E10" i="12"/>
  <c r="U10" i="12" s="1"/>
  <c r="X9" i="12"/>
  <c r="I9" i="12"/>
  <c r="H9" i="12"/>
  <c r="G9" i="12"/>
  <c r="W9" i="12" s="1"/>
  <c r="F9" i="12"/>
  <c r="V9" i="12" s="1"/>
  <c r="U9" i="12"/>
  <c r="M9" i="12"/>
  <c r="S9" i="12"/>
  <c r="R9" i="12"/>
  <c r="Q9" i="12"/>
  <c r="P9" i="12"/>
  <c r="T9" i="12" s="1"/>
  <c r="M6" i="12"/>
  <c r="M3" i="12"/>
  <c r="M4" i="12"/>
  <c r="M5" i="12"/>
  <c r="M2" i="12"/>
  <c r="S149" i="6"/>
  <c r="T161" i="6"/>
  <c r="S161" i="6"/>
  <c r="Q161" i="6"/>
  <c r="R161" i="6" s="1"/>
  <c r="P161" i="6"/>
  <c r="F161" i="6"/>
  <c r="E161" i="6"/>
  <c r="U161" i="6" s="1"/>
  <c r="S160" i="6"/>
  <c r="Q160" i="6"/>
  <c r="P160" i="6"/>
  <c r="T160" i="6" s="1"/>
  <c r="F160" i="6"/>
  <c r="G160" i="6" s="1"/>
  <c r="E160" i="6"/>
  <c r="T159" i="6"/>
  <c r="S159" i="6"/>
  <c r="Q159" i="6"/>
  <c r="P159" i="6"/>
  <c r="F159" i="6"/>
  <c r="G159" i="6" s="1"/>
  <c r="E159" i="6"/>
  <c r="I159" i="6" s="1"/>
  <c r="S158" i="6"/>
  <c r="Q158" i="6"/>
  <c r="P158" i="6"/>
  <c r="T158" i="6" s="1"/>
  <c r="F158" i="6"/>
  <c r="V158" i="6" s="1"/>
  <c r="E158" i="6"/>
  <c r="U158" i="6" s="1"/>
  <c r="X157" i="6"/>
  <c r="S157" i="6"/>
  <c r="Q157" i="6"/>
  <c r="R157" i="6" s="1"/>
  <c r="P157" i="6"/>
  <c r="T157" i="6" s="1"/>
  <c r="M157" i="6"/>
  <c r="F157" i="6"/>
  <c r="G157" i="6" s="1"/>
  <c r="W157" i="6" s="1"/>
  <c r="E157" i="6"/>
  <c r="U157" i="6" s="1"/>
  <c r="X156" i="6"/>
  <c r="S156" i="6"/>
  <c r="Q156" i="6"/>
  <c r="P156" i="6"/>
  <c r="T156" i="6" s="1"/>
  <c r="M156" i="6"/>
  <c r="F156" i="6"/>
  <c r="V156" i="6" s="1"/>
  <c r="E156" i="6"/>
  <c r="U156" i="6" s="1"/>
  <c r="X155" i="6"/>
  <c r="S155" i="6"/>
  <c r="Q155" i="6"/>
  <c r="P155" i="6"/>
  <c r="T155" i="6" s="1"/>
  <c r="M155" i="6"/>
  <c r="F155" i="6"/>
  <c r="V155" i="6" s="1"/>
  <c r="E155" i="6"/>
  <c r="U155" i="6" s="1"/>
  <c r="X154" i="6"/>
  <c r="S154" i="6"/>
  <c r="Q154" i="6"/>
  <c r="P154" i="6"/>
  <c r="T154" i="6" s="1"/>
  <c r="M154" i="6"/>
  <c r="F154" i="6"/>
  <c r="V154" i="6" s="1"/>
  <c r="E154" i="6"/>
  <c r="U154" i="6" s="1"/>
  <c r="X153" i="6"/>
  <c r="V153" i="6"/>
  <c r="U153" i="6"/>
  <c r="S153" i="6"/>
  <c r="Q153" i="6"/>
  <c r="P153" i="6"/>
  <c r="T153" i="6" s="1"/>
  <c r="M153" i="6"/>
  <c r="F153" i="6"/>
  <c r="G153" i="6" s="1"/>
  <c r="W153" i="6" s="1"/>
  <c r="E153" i="6"/>
  <c r="W152" i="6"/>
  <c r="V152" i="6"/>
  <c r="U152" i="6"/>
  <c r="S152" i="6"/>
  <c r="Q152" i="6"/>
  <c r="R152" i="6" s="1"/>
  <c r="P152" i="6"/>
  <c r="T152" i="6" s="1"/>
  <c r="H152" i="6"/>
  <c r="M152" i="6" s="1"/>
  <c r="G152" i="6"/>
  <c r="V151" i="6"/>
  <c r="U151" i="6"/>
  <c r="T151" i="6"/>
  <c r="S151" i="6"/>
  <c r="Q151" i="6"/>
  <c r="P151" i="6"/>
  <c r="G151" i="6"/>
  <c r="W151" i="6" s="1"/>
  <c r="V150" i="6"/>
  <c r="U150" i="6"/>
  <c r="S150" i="6"/>
  <c r="Q150" i="6"/>
  <c r="R150" i="6" s="1"/>
  <c r="P150" i="6"/>
  <c r="T150" i="6" s="1"/>
  <c r="G150" i="6"/>
  <c r="W150" i="6" s="1"/>
  <c r="W149" i="6"/>
  <c r="V149" i="6"/>
  <c r="U149" i="6"/>
  <c r="T149" i="6"/>
  <c r="Q149" i="6"/>
  <c r="P149" i="6"/>
  <c r="G149" i="6"/>
  <c r="H149" i="6" s="1"/>
  <c r="S144" i="6"/>
  <c r="Q144" i="6"/>
  <c r="P144" i="6"/>
  <c r="T144" i="6" s="1"/>
  <c r="F144" i="6"/>
  <c r="G144" i="6" s="1"/>
  <c r="E144" i="6"/>
  <c r="S143" i="6"/>
  <c r="Q143" i="6"/>
  <c r="R143" i="6" s="1"/>
  <c r="P143" i="6"/>
  <c r="T143" i="6" s="1"/>
  <c r="F143" i="6"/>
  <c r="G143" i="6" s="1"/>
  <c r="E143" i="6"/>
  <c r="T142" i="6"/>
  <c r="S142" i="6"/>
  <c r="Q142" i="6"/>
  <c r="P142" i="6"/>
  <c r="F142" i="6"/>
  <c r="V142" i="6" s="1"/>
  <c r="E142" i="6"/>
  <c r="F141" i="6"/>
  <c r="V141" i="6" s="1"/>
  <c r="F168" i="6"/>
  <c r="V168" i="6" s="1"/>
  <c r="F169" i="6"/>
  <c r="V169" i="6" s="1"/>
  <c r="F170" i="6"/>
  <c r="V170" i="6" s="1"/>
  <c r="F171" i="6"/>
  <c r="V171" i="6" s="1"/>
  <c r="F172" i="6"/>
  <c r="V172" i="6" s="1"/>
  <c r="F173" i="6"/>
  <c r="G173" i="6" s="1"/>
  <c r="W173" i="6" s="1"/>
  <c r="F174" i="6"/>
  <c r="G174" i="6" s="1"/>
  <c r="W174" i="6" s="1"/>
  <c r="F175" i="6"/>
  <c r="G175" i="6" s="1"/>
  <c r="W175" i="6" s="1"/>
  <c r="F176" i="6"/>
  <c r="V176" i="6"/>
  <c r="F177" i="6"/>
  <c r="V177" i="6" s="1"/>
  <c r="F178" i="6"/>
  <c r="G178" i="6" s="1"/>
  <c r="F179" i="6"/>
  <c r="G179" i="6" s="1"/>
  <c r="E141" i="6"/>
  <c r="U141" i="6" s="1"/>
  <c r="E168" i="6"/>
  <c r="E169" i="6"/>
  <c r="U169" i="6" s="1"/>
  <c r="E170" i="6"/>
  <c r="U170" i="6" s="1"/>
  <c r="E171" i="6"/>
  <c r="U171" i="6" s="1"/>
  <c r="E172" i="6"/>
  <c r="U172" i="6" s="1"/>
  <c r="E173" i="6"/>
  <c r="E174" i="6"/>
  <c r="U174" i="6" s="1"/>
  <c r="E175" i="6"/>
  <c r="U175" i="6" s="1"/>
  <c r="E176" i="6"/>
  <c r="U176" i="6" s="1"/>
  <c r="U173" i="6"/>
  <c r="E179" i="6"/>
  <c r="U179" i="6" s="1"/>
  <c r="E180" i="6"/>
  <c r="U180" i="6" s="1"/>
  <c r="E178" i="6"/>
  <c r="U178" i="6" s="1"/>
  <c r="S141" i="6"/>
  <c r="Q141" i="6"/>
  <c r="P141" i="6"/>
  <c r="T141" i="6" s="1"/>
  <c r="H12" i="13"/>
  <c r="E12" i="13"/>
  <c r="H11" i="13"/>
  <c r="E2" i="13"/>
  <c r="H6" i="13"/>
  <c r="H9" i="13" s="1"/>
  <c r="H4" i="13"/>
  <c r="H10" i="13"/>
  <c r="E10" i="13"/>
  <c r="E11" i="13"/>
  <c r="B11" i="13"/>
  <c r="B9" i="13"/>
  <c r="B7" i="13"/>
  <c r="B6" i="13"/>
  <c r="E6" i="13" s="1"/>
  <c r="B5" i="13"/>
  <c r="E5" i="13" s="1"/>
  <c r="B4" i="13"/>
  <c r="E4" i="13" s="1"/>
  <c r="E7" i="13" s="1"/>
  <c r="S198" i="6"/>
  <c r="Q198" i="6"/>
  <c r="R198" i="6" s="1"/>
  <c r="P198" i="6"/>
  <c r="T198" i="6" s="1"/>
  <c r="F198" i="6"/>
  <c r="V198" i="6" s="1"/>
  <c r="E198" i="6"/>
  <c r="S197" i="6"/>
  <c r="Q197" i="6"/>
  <c r="R197" i="6" s="1"/>
  <c r="P197" i="6"/>
  <c r="T197" i="6" s="1"/>
  <c r="F197" i="6"/>
  <c r="G197" i="6" s="1"/>
  <c r="E197" i="6"/>
  <c r="S196" i="6"/>
  <c r="Q196" i="6"/>
  <c r="P196" i="6"/>
  <c r="T196" i="6" s="1"/>
  <c r="F196" i="6"/>
  <c r="G196" i="6" s="1"/>
  <c r="E196" i="6"/>
  <c r="U196" i="6" s="1"/>
  <c r="U195" i="6"/>
  <c r="S195" i="6"/>
  <c r="Q195" i="6"/>
  <c r="P195" i="6"/>
  <c r="T195" i="6" s="1"/>
  <c r="F195" i="6"/>
  <c r="V195" i="6" s="1"/>
  <c r="E195" i="6"/>
  <c r="F180" i="6"/>
  <c r="V180" i="6" s="1"/>
  <c r="F186" i="6"/>
  <c r="G186" i="6" s="1"/>
  <c r="F187" i="6"/>
  <c r="G187" i="6" s="1"/>
  <c r="F188" i="6"/>
  <c r="V188" i="6" s="1"/>
  <c r="F189" i="6"/>
  <c r="G189" i="6" s="1"/>
  <c r="F190" i="6"/>
  <c r="G190" i="6" s="1"/>
  <c r="F191" i="6"/>
  <c r="G191" i="6" s="1"/>
  <c r="F192" i="6"/>
  <c r="V192" i="6" s="1"/>
  <c r="F193" i="6"/>
  <c r="G193" i="6" s="1"/>
  <c r="W193" i="6" s="1"/>
  <c r="F194" i="6"/>
  <c r="G194" i="6" s="1"/>
  <c r="E187" i="6"/>
  <c r="U187" i="6" s="1"/>
  <c r="E188" i="6"/>
  <c r="U188" i="6" s="1"/>
  <c r="E189" i="6"/>
  <c r="U189" i="6" s="1"/>
  <c r="E190" i="6"/>
  <c r="U190" i="6" s="1"/>
  <c r="E191" i="6"/>
  <c r="U191" i="6" s="1"/>
  <c r="E192" i="6"/>
  <c r="U192" i="6" s="1"/>
  <c r="E193" i="6"/>
  <c r="U193" i="6" s="1"/>
  <c r="E194" i="6"/>
  <c r="U194" i="6" s="1"/>
  <c r="E186" i="6"/>
  <c r="U186" i="6" s="1"/>
  <c r="S180" i="6"/>
  <c r="Q180" i="6"/>
  <c r="P180" i="6"/>
  <c r="T180" i="6" s="1"/>
  <c r="P178" i="6"/>
  <c r="T178" i="6" s="1"/>
  <c r="Q178" i="6"/>
  <c r="S178" i="6"/>
  <c r="P179" i="6"/>
  <c r="T179" i="6" s="1"/>
  <c r="Q179" i="6"/>
  <c r="S179" i="6"/>
  <c r="G113" i="6"/>
  <c r="H113" i="6" s="1"/>
  <c r="E177" i="6"/>
  <c r="U177" i="6" s="1"/>
  <c r="S177" i="6"/>
  <c r="Q177" i="6"/>
  <c r="P177" i="6"/>
  <c r="T177" i="6" s="1"/>
  <c r="F69" i="7"/>
  <c r="V69" i="7" s="1"/>
  <c r="E69" i="7"/>
  <c r="U69" i="7" s="1"/>
  <c r="F68" i="7"/>
  <c r="V68" i="7" s="1"/>
  <c r="E68" i="7"/>
  <c r="U68" i="7" s="1"/>
  <c r="Q69" i="7"/>
  <c r="P69" i="7"/>
  <c r="T69" i="7" s="1"/>
  <c r="Q68" i="7"/>
  <c r="P68" i="7"/>
  <c r="T68" i="7" s="1"/>
  <c r="Q67" i="7"/>
  <c r="P67" i="7"/>
  <c r="T67" i="7" s="1"/>
  <c r="F67" i="7"/>
  <c r="V67" i="7" s="1"/>
  <c r="E67" i="7"/>
  <c r="U67" i="7" s="1"/>
  <c r="F66" i="7"/>
  <c r="G66" i="7" s="1"/>
  <c r="E66" i="7"/>
  <c r="U66" i="7" s="1"/>
  <c r="F65" i="7"/>
  <c r="V65" i="7" s="1"/>
  <c r="E65" i="7"/>
  <c r="U65" i="7" s="1"/>
  <c r="S66" i="7"/>
  <c r="Q66" i="7"/>
  <c r="P66" i="7"/>
  <c r="T66" i="7" s="1"/>
  <c r="S65" i="7"/>
  <c r="Q65" i="7"/>
  <c r="P65" i="7"/>
  <c r="T65" i="7" s="1"/>
  <c r="S61" i="7"/>
  <c r="V64" i="7"/>
  <c r="U64" i="7"/>
  <c r="S64" i="7"/>
  <c r="Q64" i="7"/>
  <c r="P64" i="7"/>
  <c r="T64" i="7" s="1"/>
  <c r="G64" i="7"/>
  <c r="W64" i="7" s="1"/>
  <c r="V63" i="7"/>
  <c r="U63" i="7"/>
  <c r="S63" i="7"/>
  <c r="Q63" i="7"/>
  <c r="P63" i="7"/>
  <c r="T63" i="7" s="1"/>
  <c r="G63" i="7"/>
  <c r="W63" i="7" s="1"/>
  <c r="V62" i="7"/>
  <c r="U62" i="7"/>
  <c r="S62" i="7"/>
  <c r="Q62" i="7"/>
  <c r="P62" i="7"/>
  <c r="T62" i="7" s="1"/>
  <c r="G62" i="7"/>
  <c r="W62" i="7" s="1"/>
  <c r="V61" i="7"/>
  <c r="U61" i="7"/>
  <c r="Q61" i="7"/>
  <c r="P61" i="7"/>
  <c r="T61" i="7" s="1"/>
  <c r="G61" i="7"/>
  <c r="H61" i="7" s="1"/>
  <c r="S194" i="6"/>
  <c r="Q194" i="6"/>
  <c r="P194" i="6"/>
  <c r="T194" i="6" s="1"/>
  <c r="S193" i="6"/>
  <c r="Q193" i="6"/>
  <c r="P193" i="6"/>
  <c r="T193" i="6" s="1"/>
  <c r="S192" i="6"/>
  <c r="Q192" i="6"/>
  <c r="P192" i="6"/>
  <c r="T192" i="6" s="1"/>
  <c r="S191" i="6"/>
  <c r="Q191" i="6"/>
  <c r="P191" i="6"/>
  <c r="T191" i="6" s="1"/>
  <c r="S190" i="6"/>
  <c r="Q190" i="6"/>
  <c r="P190" i="6"/>
  <c r="T190" i="6" s="1"/>
  <c r="S189" i="6"/>
  <c r="Q189" i="6"/>
  <c r="P189" i="6"/>
  <c r="T189" i="6" s="1"/>
  <c r="S188" i="6"/>
  <c r="Q188" i="6"/>
  <c r="P188" i="6"/>
  <c r="T188" i="6" s="1"/>
  <c r="S187" i="6"/>
  <c r="Q187" i="6"/>
  <c r="P187" i="6"/>
  <c r="T187" i="6" s="1"/>
  <c r="Q186" i="6"/>
  <c r="P186" i="6"/>
  <c r="T186" i="6" s="1"/>
  <c r="F140" i="6"/>
  <c r="G140" i="6" s="1"/>
  <c r="W140" i="6" s="1"/>
  <c r="F139" i="6"/>
  <c r="V139" i="6" s="1"/>
  <c r="F138" i="6"/>
  <c r="V138" i="6" s="1"/>
  <c r="E140" i="6"/>
  <c r="U140" i="6" s="1"/>
  <c r="E139" i="6"/>
  <c r="U139" i="6" s="1"/>
  <c r="E138" i="6"/>
  <c r="U138" i="6" s="1"/>
  <c r="X140" i="6"/>
  <c r="S140" i="6"/>
  <c r="Q140" i="6"/>
  <c r="P140" i="6"/>
  <c r="T140" i="6" s="1"/>
  <c r="M140" i="6"/>
  <c r="X139" i="6"/>
  <c r="S139" i="6"/>
  <c r="Q139" i="6"/>
  <c r="P139" i="6"/>
  <c r="T139" i="6" s="1"/>
  <c r="M139" i="6"/>
  <c r="X138" i="6"/>
  <c r="S138" i="6"/>
  <c r="Q138" i="6"/>
  <c r="P138" i="6"/>
  <c r="T138" i="6" s="1"/>
  <c r="M138" i="6"/>
  <c r="X176" i="6"/>
  <c r="S176" i="6"/>
  <c r="Q176" i="6"/>
  <c r="P176" i="6"/>
  <c r="T176" i="6" s="1"/>
  <c r="M176" i="6"/>
  <c r="X137" i="6"/>
  <c r="M136" i="6"/>
  <c r="M137" i="6"/>
  <c r="M172" i="6"/>
  <c r="M173" i="6"/>
  <c r="M174" i="6"/>
  <c r="M175" i="6"/>
  <c r="X172" i="6"/>
  <c r="X173" i="6"/>
  <c r="X174" i="6"/>
  <c r="X175" i="6"/>
  <c r="V3" i="4"/>
  <c r="V4" i="4"/>
  <c r="V5" i="4"/>
  <c r="V8" i="4"/>
  <c r="V9" i="4"/>
  <c r="V10" i="4"/>
  <c r="V11" i="4"/>
  <c r="V14" i="4"/>
  <c r="V15" i="4"/>
  <c r="V16" i="4"/>
  <c r="V17" i="4"/>
  <c r="V20" i="4"/>
  <c r="V22" i="4"/>
  <c r="V23" i="4"/>
  <c r="V24" i="4"/>
  <c r="V25" i="4"/>
  <c r="V28" i="4"/>
  <c r="V29" i="4"/>
  <c r="V30" i="4"/>
  <c r="V31" i="4"/>
  <c r="V35" i="4"/>
  <c r="V2" i="4"/>
  <c r="V19" i="6"/>
  <c r="V20" i="6"/>
  <c r="V2" i="6"/>
  <c r="V3" i="6"/>
  <c r="V4" i="6"/>
  <c r="V5" i="6"/>
  <c r="V8" i="6"/>
  <c r="V9" i="6"/>
  <c r="V10" i="6"/>
  <c r="V11" i="6"/>
  <c r="V14" i="6"/>
  <c r="V15" i="6"/>
  <c r="V16" i="6"/>
  <c r="V17" i="6"/>
  <c r="V21" i="6"/>
  <c r="V22" i="6"/>
  <c r="V23" i="6"/>
  <c r="V26" i="6"/>
  <c r="V27" i="6"/>
  <c r="V28" i="6"/>
  <c r="V29" i="6"/>
  <c r="V32" i="6"/>
  <c r="V33" i="6"/>
  <c r="V34" i="6"/>
  <c r="V35" i="6"/>
  <c r="V38" i="6"/>
  <c r="V39" i="6"/>
  <c r="V40" i="6"/>
  <c r="V41" i="6"/>
  <c r="V44" i="6"/>
  <c r="V45" i="6"/>
  <c r="V46" i="6"/>
  <c r="V47" i="6"/>
  <c r="V50" i="6"/>
  <c r="V51" i="6"/>
  <c r="V52" i="6"/>
  <c r="V53" i="6"/>
  <c r="V56" i="6"/>
  <c r="V57" i="6"/>
  <c r="V58" i="6"/>
  <c r="V59" i="6"/>
  <c r="V62" i="6"/>
  <c r="V63" i="6"/>
  <c r="V64" i="6"/>
  <c r="V65" i="6"/>
  <c r="V68" i="6"/>
  <c r="V69" i="6"/>
  <c r="V70" i="6"/>
  <c r="V71" i="6"/>
  <c r="V74" i="6"/>
  <c r="V75" i="6"/>
  <c r="V76" i="6"/>
  <c r="V77" i="6"/>
  <c r="V80" i="6"/>
  <c r="V81" i="6"/>
  <c r="V82" i="6"/>
  <c r="V83" i="6"/>
  <c r="V86" i="6"/>
  <c r="V87" i="6"/>
  <c r="V88" i="6"/>
  <c r="V89" i="6"/>
  <c r="V92" i="6"/>
  <c r="V93" i="6"/>
  <c r="V94" i="6"/>
  <c r="V95" i="6"/>
  <c r="V98" i="6"/>
  <c r="V99" i="6"/>
  <c r="V100" i="6"/>
  <c r="V101" i="6"/>
  <c r="V104" i="6"/>
  <c r="V105" i="6"/>
  <c r="V106" i="6"/>
  <c r="V107" i="6"/>
  <c r="V110" i="6"/>
  <c r="V111" i="6"/>
  <c r="V112" i="6"/>
  <c r="V113" i="6"/>
  <c r="V116" i="6"/>
  <c r="V117" i="6"/>
  <c r="V118" i="6"/>
  <c r="V119" i="6"/>
  <c r="V122" i="6"/>
  <c r="V123" i="6"/>
  <c r="V124" i="6"/>
  <c r="V125" i="6"/>
  <c r="V132" i="6"/>
  <c r="V133" i="6"/>
  <c r="V134" i="6"/>
  <c r="V135" i="6"/>
  <c r="U168" i="6"/>
  <c r="F137" i="6"/>
  <c r="V137" i="6" s="1"/>
  <c r="E137" i="6"/>
  <c r="U137" i="6" s="1"/>
  <c r="F136" i="6"/>
  <c r="G136" i="6" s="1"/>
  <c r="W136" i="6" s="1"/>
  <c r="E136" i="6"/>
  <c r="U136" i="6" s="1"/>
  <c r="S172" i="6"/>
  <c r="S173" i="6"/>
  <c r="S174" i="6"/>
  <c r="S175" i="6"/>
  <c r="Q172" i="6"/>
  <c r="Q173" i="6"/>
  <c r="Q174" i="6"/>
  <c r="Q175" i="6"/>
  <c r="P172" i="6"/>
  <c r="T172" i="6" s="1"/>
  <c r="P173" i="6"/>
  <c r="T173" i="6" s="1"/>
  <c r="P174" i="6"/>
  <c r="T174" i="6" s="1"/>
  <c r="P175" i="6"/>
  <c r="T175" i="6" s="1"/>
  <c r="S171" i="6"/>
  <c r="Q171" i="6"/>
  <c r="P171" i="6"/>
  <c r="T171" i="6" s="1"/>
  <c r="S170" i="6"/>
  <c r="Q170" i="6"/>
  <c r="P170" i="6"/>
  <c r="T170" i="6" s="1"/>
  <c r="S169" i="6"/>
  <c r="Q169" i="6"/>
  <c r="P169" i="6"/>
  <c r="T169" i="6" s="1"/>
  <c r="S168" i="6"/>
  <c r="Q168" i="6"/>
  <c r="P168" i="6"/>
  <c r="T168" i="6" s="1"/>
  <c r="S137" i="6"/>
  <c r="Q137" i="6"/>
  <c r="P137" i="6"/>
  <c r="T137" i="6" s="1"/>
  <c r="S136" i="6"/>
  <c r="Q136" i="6"/>
  <c r="P136" i="6"/>
  <c r="T136" i="6" s="1"/>
  <c r="U135" i="6"/>
  <c r="S135" i="6"/>
  <c r="Q135" i="6"/>
  <c r="P135" i="6"/>
  <c r="T135" i="6" s="1"/>
  <c r="G135" i="6"/>
  <c r="W135" i="6" s="1"/>
  <c r="U134" i="6"/>
  <c r="S134" i="6"/>
  <c r="Q134" i="6"/>
  <c r="P134" i="6"/>
  <c r="T134" i="6" s="1"/>
  <c r="G134" i="6"/>
  <c r="H134" i="6" s="1"/>
  <c r="U133" i="6"/>
  <c r="S133" i="6"/>
  <c r="Q133" i="6"/>
  <c r="P133" i="6"/>
  <c r="T133" i="6" s="1"/>
  <c r="G133" i="6"/>
  <c r="H133" i="6" s="1"/>
  <c r="U132" i="6"/>
  <c r="S132" i="6"/>
  <c r="Q132" i="6"/>
  <c r="P132" i="6"/>
  <c r="T132" i="6" s="1"/>
  <c r="G132" i="6"/>
  <c r="H132" i="6" s="1"/>
  <c r="S125" i="6"/>
  <c r="S97" i="7"/>
  <c r="S98" i="7"/>
  <c r="S99" i="7"/>
  <c r="S100" i="7"/>
  <c r="S101" i="7"/>
  <c r="S102" i="7"/>
  <c r="S103" i="7"/>
  <c r="S104" i="7"/>
  <c r="Q101" i="7"/>
  <c r="Q102" i="7"/>
  <c r="Q103" i="7"/>
  <c r="Q104" i="7"/>
  <c r="P101" i="7"/>
  <c r="P102" i="7"/>
  <c r="P103" i="7"/>
  <c r="P104" i="7"/>
  <c r="Q97" i="7"/>
  <c r="Q98" i="7"/>
  <c r="Q99" i="7"/>
  <c r="Q100" i="7"/>
  <c r="W98" i="7"/>
  <c r="W99" i="7"/>
  <c r="W100" i="7"/>
  <c r="X99" i="7"/>
  <c r="X100" i="7"/>
  <c r="X98" i="7"/>
  <c r="P100" i="7"/>
  <c r="F100" i="7"/>
  <c r="V100" i="7" s="1"/>
  <c r="E100" i="7"/>
  <c r="U100" i="7" s="1"/>
  <c r="P98" i="7"/>
  <c r="P99" i="7"/>
  <c r="F99" i="7"/>
  <c r="V99" i="7" s="1"/>
  <c r="E99" i="7"/>
  <c r="U99" i="7" s="1"/>
  <c r="F98" i="7"/>
  <c r="V98" i="7" s="1"/>
  <c r="E98" i="7"/>
  <c r="U98" i="7" s="1"/>
  <c r="X97" i="7"/>
  <c r="W97" i="7"/>
  <c r="F97" i="7"/>
  <c r="V97" i="7" s="1"/>
  <c r="E97" i="7"/>
  <c r="U97" i="7" s="1"/>
  <c r="P97" i="7"/>
  <c r="G6" i="12"/>
  <c r="U125" i="6"/>
  <c r="Q125" i="6"/>
  <c r="P125" i="6"/>
  <c r="T125" i="6" s="1"/>
  <c r="G125" i="6"/>
  <c r="W125" i="6" s="1"/>
  <c r="U124" i="6"/>
  <c r="S124" i="6"/>
  <c r="Q124" i="6"/>
  <c r="P124" i="6"/>
  <c r="T124" i="6" s="1"/>
  <c r="G124" i="6"/>
  <c r="H124" i="6" s="1"/>
  <c r="U123" i="6"/>
  <c r="S123" i="6"/>
  <c r="Q123" i="6"/>
  <c r="P123" i="6"/>
  <c r="T123" i="6" s="1"/>
  <c r="G123" i="6"/>
  <c r="H123" i="6" s="1"/>
  <c r="U122" i="6"/>
  <c r="S122" i="6"/>
  <c r="Q122" i="6"/>
  <c r="P122" i="6"/>
  <c r="T122" i="6" s="1"/>
  <c r="G122" i="6"/>
  <c r="W122" i="6" s="1"/>
  <c r="U113" i="6"/>
  <c r="S113" i="6"/>
  <c r="Q113" i="6"/>
  <c r="P113" i="6"/>
  <c r="T113" i="6" s="1"/>
  <c r="U112" i="6"/>
  <c r="S112" i="6"/>
  <c r="Q112" i="6"/>
  <c r="P112" i="6"/>
  <c r="T112" i="6" s="1"/>
  <c r="G112" i="6"/>
  <c r="W112" i="6" s="1"/>
  <c r="U111" i="6"/>
  <c r="S111" i="6"/>
  <c r="Q111" i="6"/>
  <c r="P111" i="6"/>
  <c r="T111" i="6" s="1"/>
  <c r="G111" i="6"/>
  <c r="H111" i="6" s="1"/>
  <c r="U110" i="6"/>
  <c r="S110" i="6"/>
  <c r="Q110" i="6"/>
  <c r="P110" i="6"/>
  <c r="T110" i="6" s="1"/>
  <c r="G110" i="6"/>
  <c r="W110" i="6" s="1"/>
  <c r="H6" i="12"/>
  <c r="W6" i="12"/>
  <c r="F6" i="12"/>
  <c r="V6" i="12" s="1"/>
  <c r="E6" i="12"/>
  <c r="U6" i="12" s="1"/>
  <c r="X6" i="12"/>
  <c r="T6" i="12"/>
  <c r="S6" i="12"/>
  <c r="Q6" i="12"/>
  <c r="R6" i="12" s="1"/>
  <c r="P6" i="12"/>
  <c r="H3" i="11"/>
  <c r="G3" i="11"/>
  <c r="F3" i="11"/>
  <c r="V3" i="11" s="1"/>
  <c r="E3" i="11"/>
  <c r="S5" i="12"/>
  <c r="Q5" i="12"/>
  <c r="P5" i="12"/>
  <c r="T5" i="12" s="1"/>
  <c r="H5" i="12"/>
  <c r="X5" i="12" s="1"/>
  <c r="G5" i="12"/>
  <c r="W5" i="12" s="1"/>
  <c r="F5" i="12"/>
  <c r="V5" i="12" s="1"/>
  <c r="E5" i="12"/>
  <c r="U5" i="12" s="1"/>
  <c r="W2" i="12"/>
  <c r="S2" i="12"/>
  <c r="Q2" i="12"/>
  <c r="P2" i="12"/>
  <c r="T2" i="12" s="1"/>
  <c r="H2" i="12"/>
  <c r="G2" i="12"/>
  <c r="F2" i="12"/>
  <c r="V2" i="12" s="1"/>
  <c r="E2" i="12"/>
  <c r="U2" i="12" s="1"/>
  <c r="S3" i="12"/>
  <c r="Q3" i="12"/>
  <c r="P3" i="12"/>
  <c r="T3" i="12" s="1"/>
  <c r="H3" i="12"/>
  <c r="G3" i="12"/>
  <c r="W3" i="12" s="1"/>
  <c r="F3" i="12"/>
  <c r="V3" i="12" s="1"/>
  <c r="E3" i="12"/>
  <c r="U3" i="12" s="1"/>
  <c r="S4" i="12"/>
  <c r="Q4" i="12"/>
  <c r="R4" i="12" s="1"/>
  <c r="P4" i="12"/>
  <c r="T4" i="12" s="1"/>
  <c r="H4" i="12"/>
  <c r="X4" i="12" s="1"/>
  <c r="G4" i="12"/>
  <c r="W4" i="12" s="1"/>
  <c r="F4" i="12"/>
  <c r="V4" i="12" s="1"/>
  <c r="E4" i="12"/>
  <c r="U4" i="12" s="1"/>
  <c r="S3" i="11"/>
  <c r="X3" i="11"/>
  <c r="W3" i="11"/>
  <c r="Q3" i="11"/>
  <c r="P3" i="11"/>
  <c r="T3" i="11" s="1"/>
  <c r="U3" i="11"/>
  <c r="X4" i="11"/>
  <c r="W4" i="11"/>
  <c r="S4" i="11"/>
  <c r="R4" i="11"/>
  <c r="Q4" i="11"/>
  <c r="P4" i="11"/>
  <c r="T4" i="11" s="1"/>
  <c r="F4" i="11"/>
  <c r="V4" i="11" s="1"/>
  <c r="E4" i="11"/>
  <c r="U4" i="11" s="1"/>
  <c r="S2" i="11"/>
  <c r="F2" i="11"/>
  <c r="V2" i="11" s="1"/>
  <c r="E2" i="11"/>
  <c r="U2" i="11" s="1"/>
  <c r="X2" i="11"/>
  <c r="W2" i="11"/>
  <c r="Q2" i="11"/>
  <c r="P2" i="11"/>
  <c r="T2" i="11" s="1"/>
  <c r="V58" i="7"/>
  <c r="U58" i="7"/>
  <c r="S58" i="7"/>
  <c r="Q58" i="7"/>
  <c r="P58" i="7"/>
  <c r="T58" i="7" s="1"/>
  <c r="G58" i="7"/>
  <c r="W58" i="7" s="1"/>
  <c r="V57" i="7"/>
  <c r="U57" i="7"/>
  <c r="S57" i="7"/>
  <c r="Q57" i="7"/>
  <c r="P57" i="7"/>
  <c r="T57" i="7" s="1"/>
  <c r="G57" i="7"/>
  <c r="H57" i="7" s="1"/>
  <c r="V56" i="7"/>
  <c r="U56" i="7"/>
  <c r="S56" i="7"/>
  <c r="Q56" i="7"/>
  <c r="P56" i="7"/>
  <c r="T56" i="7" s="1"/>
  <c r="G56" i="7"/>
  <c r="H56" i="7" s="1"/>
  <c r="V55" i="7"/>
  <c r="U55" i="7"/>
  <c r="Q55" i="7"/>
  <c r="P55" i="7"/>
  <c r="T55" i="7" s="1"/>
  <c r="G55" i="7"/>
  <c r="W55" i="7" s="1"/>
  <c r="V52" i="7"/>
  <c r="U52" i="7"/>
  <c r="S52" i="7"/>
  <c r="Q52" i="7"/>
  <c r="P52" i="7"/>
  <c r="T52" i="7" s="1"/>
  <c r="G52" i="7"/>
  <c r="W52" i="7" s="1"/>
  <c r="V51" i="7"/>
  <c r="U51" i="7"/>
  <c r="S51" i="7"/>
  <c r="Q51" i="7"/>
  <c r="P51" i="7"/>
  <c r="T51" i="7" s="1"/>
  <c r="G51" i="7"/>
  <c r="H51" i="7" s="1"/>
  <c r="V50" i="7"/>
  <c r="U50" i="7"/>
  <c r="S50" i="7"/>
  <c r="Q50" i="7"/>
  <c r="P50" i="7"/>
  <c r="T50" i="7" s="1"/>
  <c r="G50" i="7"/>
  <c r="W50" i="7" s="1"/>
  <c r="V49" i="7"/>
  <c r="U49" i="7"/>
  <c r="Q49" i="7"/>
  <c r="P49" i="7"/>
  <c r="T49" i="7" s="1"/>
  <c r="G49" i="7"/>
  <c r="H49" i="7" s="1"/>
  <c r="U119" i="6"/>
  <c r="S119" i="6"/>
  <c r="Q119" i="6"/>
  <c r="P119" i="6"/>
  <c r="T119" i="6" s="1"/>
  <c r="G119" i="6"/>
  <c r="H119" i="6" s="1"/>
  <c r="U118" i="6"/>
  <c r="S118" i="6"/>
  <c r="Q118" i="6"/>
  <c r="P118" i="6"/>
  <c r="T118" i="6" s="1"/>
  <c r="G118" i="6"/>
  <c r="H118" i="6" s="1"/>
  <c r="U117" i="6"/>
  <c r="S117" i="6"/>
  <c r="Q117" i="6"/>
  <c r="P117" i="6"/>
  <c r="T117" i="6" s="1"/>
  <c r="G117" i="6"/>
  <c r="H117" i="6" s="1"/>
  <c r="U116" i="6"/>
  <c r="S116" i="6"/>
  <c r="Q116" i="6"/>
  <c r="P116" i="6"/>
  <c r="T116" i="6" s="1"/>
  <c r="G116" i="6"/>
  <c r="W116" i="6" s="1"/>
  <c r="X45" i="7"/>
  <c r="W45" i="7"/>
  <c r="S45" i="7"/>
  <c r="Q45" i="7"/>
  <c r="P45" i="7"/>
  <c r="T45" i="7" s="1"/>
  <c r="F45" i="7"/>
  <c r="V45" i="7" s="1"/>
  <c r="E45" i="7"/>
  <c r="U45" i="7" s="1"/>
  <c r="U107" i="6"/>
  <c r="S107" i="6"/>
  <c r="Q107" i="6"/>
  <c r="P107" i="6"/>
  <c r="T107" i="6" s="1"/>
  <c r="G107" i="6"/>
  <c r="W107" i="6" s="1"/>
  <c r="U106" i="6"/>
  <c r="S106" i="6"/>
  <c r="Q106" i="6"/>
  <c r="P106" i="6"/>
  <c r="T106" i="6" s="1"/>
  <c r="G106" i="6"/>
  <c r="W106" i="6" s="1"/>
  <c r="U105" i="6"/>
  <c r="S105" i="6"/>
  <c r="Q105" i="6"/>
  <c r="P105" i="6"/>
  <c r="T105" i="6" s="1"/>
  <c r="G105" i="6"/>
  <c r="H105" i="6" s="1"/>
  <c r="U104" i="6"/>
  <c r="S104" i="6"/>
  <c r="Q104" i="6"/>
  <c r="P104" i="6"/>
  <c r="T104" i="6" s="1"/>
  <c r="G104" i="6"/>
  <c r="H104" i="6" s="1"/>
  <c r="U101" i="6"/>
  <c r="S101" i="6"/>
  <c r="Q101" i="6"/>
  <c r="P101" i="6"/>
  <c r="T101" i="6" s="1"/>
  <c r="G101" i="6"/>
  <c r="W101" i="6" s="1"/>
  <c r="U100" i="6"/>
  <c r="S100" i="6"/>
  <c r="Q100" i="6"/>
  <c r="P100" i="6"/>
  <c r="T100" i="6" s="1"/>
  <c r="G100" i="6"/>
  <c r="W100" i="6" s="1"/>
  <c r="U99" i="6"/>
  <c r="S99" i="6"/>
  <c r="Q99" i="6"/>
  <c r="P99" i="6"/>
  <c r="T99" i="6" s="1"/>
  <c r="G99" i="6"/>
  <c r="H99" i="6" s="1"/>
  <c r="U98" i="6"/>
  <c r="S98" i="6"/>
  <c r="Q98" i="6"/>
  <c r="P98" i="6"/>
  <c r="T98" i="6" s="1"/>
  <c r="G98" i="6"/>
  <c r="W98" i="6" s="1"/>
  <c r="U95" i="6"/>
  <c r="S95" i="6"/>
  <c r="Q95" i="6"/>
  <c r="P95" i="6"/>
  <c r="T95" i="6" s="1"/>
  <c r="G95" i="6"/>
  <c r="W95" i="6" s="1"/>
  <c r="U94" i="6"/>
  <c r="S94" i="6"/>
  <c r="Q94" i="6"/>
  <c r="P94" i="6"/>
  <c r="T94" i="6" s="1"/>
  <c r="G94" i="6"/>
  <c r="W94" i="6" s="1"/>
  <c r="U93" i="6"/>
  <c r="S93" i="6"/>
  <c r="Q93" i="6"/>
  <c r="P93" i="6"/>
  <c r="T93" i="6" s="1"/>
  <c r="G93" i="6"/>
  <c r="W93" i="6" s="1"/>
  <c r="U92" i="6"/>
  <c r="S92" i="6"/>
  <c r="Q92" i="6"/>
  <c r="P92" i="6"/>
  <c r="T92" i="6" s="1"/>
  <c r="G92" i="6"/>
  <c r="H92" i="6" s="1"/>
  <c r="U89" i="6"/>
  <c r="S89" i="6"/>
  <c r="Q89" i="6"/>
  <c r="P89" i="6"/>
  <c r="T89" i="6" s="1"/>
  <c r="G89" i="6"/>
  <c r="H89" i="6" s="1"/>
  <c r="U88" i="6"/>
  <c r="S88" i="6"/>
  <c r="Q88" i="6"/>
  <c r="P88" i="6"/>
  <c r="T88" i="6" s="1"/>
  <c r="G88" i="6"/>
  <c r="H88" i="6" s="1"/>
  <c r="U87" i="6"/>
  <c r="S87" i="6"/>
  <c r="Q87" i="6"/>
  <c r="P87" i="6"/>
  <c r="T87" i="6" s="1"/>
  <c r="G87" i="6"/>
  <c r="W87" i="6" s="1"/>
  <c r="U86" i="6"/>
  <c r="S86" i="6"/>
  <c r="Q86" i="6"/>
  <c r="P86" i="6"/>
  <c r="T86" i="6" s="1"/>
  <c r="G86" i="6"/>
  <c r="W86" i="6" s="1"/>
  <c r="U83" i="6"/>
  <c r="S83" i="6"/>
  <c r="Q83" i="6"/>
  <c r="P83" i="6"/>
  <c r="T83" i="6" s="1"/>
  <c r="G83" i="6"/>
  <c r="H83" i="6" s="1"/>
  <c r="U82" i="6"/>
  <c r="S82" i="6"/>
  <c r="Q82" i="6"/>
  <c r="P82" i="6"/>
  <c r="T82" i="6" s="1"/>
  <c r="G82" i="6"/>
  <c r="W82" i="6" s="1"/>
  <c r="U81" i="6"/>
  <c r="S81" i="6"/>
  <c r="Q81" i="6"/>
  <c r="P81" i="6"/>
  <c r="T81" i="6" s="1"/>
  <c r="G81" i="6"/>
  <c r="W81" i="6" s="1"/>
  <c r="U80" i="6"/>
  <c r="S80" i="6"/>
  <c r="Q80" i="6"/>
  <c r="P80" i="6"/>
  <c r="T80" i="6" s="1"/>
  <c r="G80" i="6"/>
  <c r="H80" i="6" s="1"/>
  <c r="X44" i="7"/>
  <c r="W44" i="7"/>
  <c r="S44" i="7"/>
  <c r="Q44" i="7"/>
  <c r="P44" i="7"/>
  <c r="T44" i="7" s="1"/>
  <c r="F44" i="7"/>
  <c r="V44" i="7" s="1"/>
  <c r="E44" i="7"/>
  <c r="U44" i="7" s="1"/>
  <c r="X29" i="7"/>
  <c r="X28" i="7"/>
  <c r="F35" i="4"/>
  <c r="E35" i="4"/>
  <c r="U35" i="4" s="1"/>
  <c r="X35" i="4"/>
  <c r="W35" i="4"/>
  <c r="S35" i="4"/>
  <c r="Q35" i="4"/>
  <c r="R35" i="4" s="1"/>
  <c r="P35" i="4"/>
  <c r="T35" i="4" s="1"/>
  <c r="S34" i="9"/>
  <c r="S35" i="9"/>
  <c r="S36" i="9"/>
  <c r="S37" i="9"/>
  <c r="S29" i="9"/>
  <c r="S30" i="9"/>
  <c r="S31" i="9"/>
  <c r="S28" i="9"/>
  <c r="W37" i="9"/>
  <c r="V37" i="9"/>
  <c r="U37" i="9"/>
  <c r="T37" i="9"/>
  <c r="Q37" i="9"/>
  <c r="R37" i="9" s="1"/>
  <c r="P37" i="9"/>
  <c r="G37" i="9"/>
  <c r="H37" i="9" s="1"/>
  <c r="V36" i="9"/>
  <c r="U36" i="9"/>
  <c r="R36" i="9"/>
  <c r="Q36" i="9"/>
  <c r="P36" i="9"/>
  <c r="T36" i="9" s="1"/>
  <c r="G36" i="9"/>
  <c r="H36" i="9" s="1"/>
  <c r="V35" i="9"/>
  <c r="U35" i="9"/>
  <c r="T35" i="9"/>
  <c r="Q35" i="9"/>
  <c r="R35" i="9" s="1"/>
  <c r="P35" i="9"/>
  <c r="H35" i="9"/>
  <c r="G35" i="9"/>
  <c r="W35" i="9" s="1"/>
  <c r="W34" i="9"/>
  <c r="V34" i="9"/>
  <c r="U34" i="9"/>
  <c r="Q34" i="9"/>
  <c r="R34" i="9" s="1"/>
  <c r="P34" i="9"/>
  <c r="T34" i="9" s="1"/>
  <c r="G34" i="9"/>
  <c r="H34" i="9" s="1"/>
  <c r="V31" i="9"/>
  <c r="U31" i="9"/>
  <c r="T31" i="9"/>
  <c r="R31" i="9"/>
  <c r="Q31" i="9"/>
  <c r="P31" i="9"/>
  <c r="H31" i="9"/>
  <c r="X31" i="9" s="1"/>
  <c r="G31" i="9"/>
  <c r="W31" i="9" s="1"/>
  <c r="W30" i="9"/>
  <c r="V30" i="9"/>
  <c r="U30" i="9"/>
  <c r="Q30" i="9"/>
  <c r="R30" i="9" s="1"/>
  <c r="P30" i="9"/>
  <c r="T30" i="9" s="1"/>
  <c r="H30" i="9"/>
  <c r="X30" i="9" s="1"/>
  <c r="G30" i="9"/>
  <c r="V29" i="9"/>
  <c r="U29" i="9"/>
  <c r="T29" i="9"/>
  <c r="Q29" i="9"/>
  <c r="R29" i="9" s="1"/>
  <c r="P29" i="9"/>
  <c r="G29" i="9"/>
  <c r="W29" i="9" s="1"/>
  <c r="W28" i="9"/>
  <c r="V28" i="9"/>
  <c r="U28" i="9"/>
  <c r="T28" i="9"/>
  <c r="Q28" i="9"/>
  <c r="R28" i="9" s="1"/>
  <c r="P28" i="9"/>
  <c r="G28" i="9"/>
  <c r="H28" i="9" s="1"/>
  <c r="X31" i="4"/>
  <c r="W31" i="4"/>
  <c r="U31" i="4"/>
  <c r="S31" i="4"/>
  <c r="Q31" i="4"/>
  <c r="R31" i="4" s="1"/>
  <c r="P31" i="4"/>
  <c r="T31" i="4" s="1"/>
  <c r="I31" i="4"/>
  <c r="F31" i="4"/>
  <c r="E31" i="4"/>
  <c r="X30" i="4"/>
  <c r="W30" i="4"/>
  <c r="S30" i="4"/>
  <c r="Q30" i="4"/>
  <c r="R30" i="4" s="1"/>
  <c r="P30" i="4"/>
  <c r="T30" i="4" s="1"/>
  <c r="F30" i="4"/>
  <c r="E30" i="4"/>
  <c r="U30" i="4" s="1"/>
  <c r="X28" i="4"/>
  <c r="W28" i="4"/>
  <c r="S28" i="4"/>
  <c r="Q28" i="4"/>
  <c r="R28" i="4" s="1"/>
  <c r="P28" i="4"/>
  <c r="T28" i="4" s="1"/>
  <c r="F28" i="4"/>
  <c r="E28" i="4"/>
  <c r="U28" i="4" s="1"/>
  <c r="F29" i="4"/>
  <c r="E29" i="4"/>
  <c r="U29" i="4"/>
  <c r="X14" i="10"/>
  <c r="W14" i="10"/>
  <c r="T14" i="10"/>
  <c r="S14" i="10"/>
  <c r="Q14" i="10"/>
  <c r="R14" i="10" s="1"/>
  <c r="P14" i="10"/>
  <c r="F14" i="10"/>
  <c r="V14" i="10" s="1"/>
  <c r="E14" i="10"/>
  <c r="U14" i="10" s="1"/>
  <c r="X13" i="10"/>
  <c r="W13" i="10"/>
  <c r="U13" i="10"/>
  <c r="T13" i="10"/>
  <c r="S13" i="10"/>
  <c r="Q13" i="10"/>
  <c r="R13" i="10" s="1"/>
  <c r="P13" i="10"/>
  <c r="F13" i="10"/>
  <c r="I13" i="10" s="1"/>
  <c r="E13" i="10"/>
  <c r="X12" i="10"/>
  <c r="W12" i="10"/>
  <c r="V12" i="10"/>
  <c r="U12" i="10"/>
  <c r="S12" i="10"/>
  <c r="Q12" i="10"/>
  <c r="R12" i="10" s="1"/>
  <c r="P12" i="10"/>
  <c r="T12" i="10" s="1"/>
  <c r="I12" i="10"/>
  <c r="F12" i="10"/>
  <c r="E12" i="10"/>
  <c r="X11" i="10"/>
  <c r="W11" i="10"/>
  <c r="V11" i="10"/>
  <c r="S11" i="10"/>
  <c r="Q11" i="10"/>
  <c r="R11" i="10" s="1"/>
  <c r="P11" i="10"/>
  <c r="T11" i="10" s="1"/>
  <c r="F11" i="10"/>
  <c r="E11" i="10"/>
  <c r="U11" i="10" s="1"/>
  <c r="Q9" i="10"/>
  <c r="Q7" i="10"/>
  <c r="X9" i="10"/>
  <c r="W9" i="10"/>
  <c r="S9" i="10"/>
  <c r="P9" i="10"/>
  <c r="T9" i="10" s="1"/>
  <c r="F9" i="10"/>
  <c r="V9" i="10" s="1"/>
  <c r="E9" i="10"/>
  <c r="U9" i="10" s="1"/>
  <c r="X8" i="10"/>
  <c r="W8" i="10"/>
  <c r="V8" i="10"/>
  <c r="T8" i="10"/>
  <c r="S8" i="10"/>
  <c r="Q8" i="10"/>
  <c r="P8" i="10"/>
  <c r="F8" i="10"/>
  <c r="I8" i="10" s="1"/>
  <c r="E8" i="10"/>
  <c r="U8" i="10" s="1"/>
  <c r="X7" i="10"/>
  <c r="W7" i="10"/>
  <c r="T7" i="10"/>
  <c r="S7" i="10"/>
  <c r="P7" i="10"/>
  <c r="F7" i="10"/>
  <c r="V7" i="10" s="1"/>
  <c r="E7" i="10"/>
  <c r="I7" i="10" s="1"/>
  <c r="X4" i="10"/>
  <c r="W4" i="10"/>
  <c r="S4" i="10"/>
  <c r="Q4" i="10"/>
  <c r="P4" i="10"/>
  <c r="T4" i="10" s="1"/>
  <c r="F4" i="10"/>
  <c r="V4" i="10" s="1"/>
  <c r="E4" i="10"/>
  <c r="U4" i="10" s="1"/>
  <c r="X3" i="10"/>
  <c r="W3" i="10"/>
  <c r="V3" i="10"/>
  <c r="U3" i="10"/>
  <c r="T3" i="10"/>
  <c r="S3" i="10"/>
  <c r="Q3" i="10"/>
  <c r="R3" i="10" s="1"/>
  <c r="P3" i="10"/>
  <c r="F3" i="10"/>
  <c r="I3" i="10" s="1"/>
  <c r="E3" i="10"/>
  <c r="X5" i="10"/>
  <c r="W5" i="10"/>
  <c r="S5" i="10"/>
  <c r="Q5" i="10"/>
  <c r="P5" i="10"/>
  <c r="T5" i="10" s="1"/>
  <c r="F5" i="10"/>
  <c r="V5" i="10" s="1"/>
  <c r="E5" i="10"/>
  <c r="F2" i="10"/>
  <c r="V2" i="10" s="1"/>
  <c r="E2" i="10"/>
  <c r="X29" i="4"/>
  <c r="W29" i="4"/>
  <c r="S29" i="4"/>
  <c r="Q29" i="4"/>
  <c r="R29" i="4" s="1"/>
  <c r="P29" i="4"/>
  <c r="T29" i="4" s="1"/>
  <c r="X2" i="10"/>
  <c r="W2" i="10"/>
  <c r="S2" i="10"/>
  <c r="Q2" i="10"/>
  <c r="P2" i="10"/>
  <c r="T2" i="10" s="1"/>
  <c r="X35" i="7"/>
  <c r="W35" i="7"/>
  <c r="V35" i="7"/>
  <c r="U35" i="7"/>
  <c r="S35" i="7"/>
  <c r="Q35" i="7"/>
  <c r="P35" i="7"/>
  <c r="T35" i="7" s="1"/>
  <c r="I35" i="7"/>
  <c r="X34" i="7"/>
  <c r="W34" i="7"/>
  <c r="V34" i="7"/>
  <c r="U34" i="7"/>
  <c r="Q34" i="7"/>
  <c r="P34" i="7"/>
  <c r="T34" i="7" s="1"/>
  <c r="I34" i="7"/>
  <c r="F33" i="7"/>
  <c r="V33" i="7" s="1"/>
  <c r="E33" i="7"/>
  <c r="U33" i="7" s="1"/>
  <c r="X41" i="7"/>
  <c r="W41" i="7"/>
  <c r="V41" i="7"/>
  <c r="U41" i="7"/>
  <c r="Q41" i="7"/>
  <c r="P41" i="7"/>
  <c r="T41" i="7" s="1"/>
  <c r="I41" i="7"/>
  <c r="X40" i="7"/>
  <c r="W40" i="7"/>
  <c r="V40" i="7"/>
  <c r="U40" i="7"/>
  <c r="Q40" i="7"/>
  <c r="P40" i="7"/>
  <c r="T40" i="7" s="1"/>
  <c r="I40" i="7"/>
  <c r="E32" i="7"/>
  <c r="U32" i="7" s="1"/>
  <c r="F32" i="7"/>
  <c r="V32" i="7" s="1"/>
  <c r="X38" i="7"/>
  <c r="W38" i="7"/>
  <c r="V38" i="7"/>
  <c r="U38" i="7"/>
  <c r="S38" i="7"/>
  <c r="Q38" i="7"/>
  <c r="P38" i="7"/>
  <c r="T38" i="7" s="1"/>
  <c r="I38" i="7"/>
  <c r="X39" i="7"/>
  <c r="W39" i="7"/>
  <c r="V39" i="7"/>
  <c r="U39" i="7"/>
  <c r="Q39" i="7"/>
  <c r="P39" i="7"/>
  <c r="T39" i="7" s="1"/>
  <c r="I39" i="7"/>
  <c r="X33" i="7"/>
  <c r="W33" i="7"/>
  <c r="S33" i="7"/>
  <c r="Q33" i="7"/>
  <c r="P33" i="7"/>
  <c r="T33" i="7" s="1"/>
  <c r="X32" i="7"/>
  <c r="W32" i="7"/>
  <c r="S32" i="7"/>
  <c r="Q32" i="7"/>
  <c r="P32" i="7"/>
  <c r="T32" i="7" s="1"/>
  <c r="X31" i="7"/>
  <c r="W31" i="7"/>
  <c r="S31" i="7"/>
  <c r="Q31" i="7"/>
  <c r="P31" i="7"/>
  <c r="T31" i="7" s="1"/>
  <c r="F31" i="7"/>
  <c r="V31" i="7" s="1"/>
  <c r="E31" i="7"/>
  <c r="U31" i="7" s="1"/>
  <c r="F30" i="7"/>
  <c r="V30" i="7" s="1"/>
  <c r="E30" i="7"/>
  <c r="U30" i="7" s="1"/>
  <c r="X30" i="7"/>
  <c r="W30" i="7"/>
  <c r="S30" i="7"/>
  <c r="Q30" i="7"/>
  <c r="P30" i="7"/>
  <c r="T30" i="7" s="1"/>
  <c r="X22" i="4"/>
  <c r="W22" i="4"/>
  <c r="S22" i="4"/>
  <c r="Q22" i="4"/>
  <c r="P22" i="4"/>
  <c r="T22" i="4" s="1"/>
  <c r="F22" i="4"/>
  <c r="E22" i="4"/>
  <c r="U22" i="4" s="1"/>
  <c r="X23" i="4"/>
  <c r="W23" i="4"/>
  <c r="S23" i="4"/>
  <c r="Q23" i="4"/>
  <c r="P23" i="4"/>
  <c r="T23" i="4" s="1"/>
  <c r="F23" i="4"/>
  <c r="E23" i="4"/>
  <c r="U23" i="4" s="1"/>
  <c r="X24" i="4"/>
  <c r="W24" i="4"/>
  <c r="S24" i="4"/>
  <c r="Q24" i="4"/>
  <c r="P24" i="4"/>
  <c r="T24" i="4" s="1"/>
  <c r="F24" i="4"/>
  <c r="E24" i="4"/>
  <c r="U24" i="4" s="1"/>
  <c r="F25" i="4"/>
  <c r="E25" i="4"/>
  <c r="U25" i="4" s="1"/>
  <c r="X25" i="4"/>
  <c r="W25" i="4"/>
  <c r="S25" i="4"/>
  <c r="Q25" i="4"/>
  <c r="P25" i="4"/>
  <c r="T25" i="4" s="1"/>
  <c r="W29" i="7"/>
  <c r="V29" i="7"/>
  <c r="U29" i="7"/>
  <c r="S29" i="7"/>
  <c r="Q29" i="7"/>
  <c r="P29" i="7"/>
  <c r="T29" i="7" s="1"/>
  <c r="I29" i="7"/>
  <c r="W28" i="7"/>
  <c r="V28" i="7"/>
  <c r="U28" i="7"/>
  <c r="Q28" i="7"/>
  <c r="P28" i="7"/>
  <c r="T28" i="7" s="1"/>
  <c r="I28" i="7"/>
  <c r="X27" i="7"/>
  <c r="W27" i="7"/>
  <c r="V27" i="7"/>
  <c r="U27" i="7"/>
  <c r="S27" i="7"/>
  <c r="Q27" i="7"/>
  <c r="P27" i="7"/>
  <c r="T27" i="7" s="1"/>
  <c r="I27" i="7"/>
  <c r="X26" i="7"/>
  <c r="W26" i="7"/>
  <c r="V26" i="7"/>
  <c r="U26" i="7"/>
  <c r="S26" i="7"/>
  <c r="Q26" i="7"/>
  <c r="P26" i="7"/>
  <c r="T26" i="7" s="1"/>
  <c r="I26" i="7"/>
  <c r="X25" i="7"/>
  <c r="W25" i="7"/>
  <c r="V25" i="7"/>
  <c r="U25" i="7"/>
  <c r="S25" i="7"/>
  <c r="Q25" i="7"/>
  <c r="P25" i="7"/>
  <c r="T25" i="7" s="1"/>
  <c r="I25" i="7"/>
  <c r="X24" i="7"/>
  <c r="W24" i="7"/>
  <c r="V24" i="7"/>
  <c r="U24" i="7"/>
  <c r="S24" i="7"/>
  <c r="Q24" i="7"/>
  <c r="P24" i="7"/>
  <c r="T24" i="7" s="1"/>
  <c r="I24" i="7"/>
  <c r="X23" i="7"/>
  <c r="W23" i="7"/>
  <c r="V23" i="7"/>
  <c r="U23" i="7"/>
  <c r="Q23" i="7"/>
  <c r="P23" i="7"/>
  <c r="T23" i="7" s="1"/>
  <c r="I23" i="7"/>
  <c r="X22" i="7"/>
  <c r="W22" i="7"/>
  <c r="V22" i="7"/>
  <c r="U22" i="7"/>
  <c r="S22" i="7"/>
  <c r="Q22" i="7"/>
  <c r="P22" i="7"/>
  <c r="T22" i="7" s="1"/>
  <c r="I22" i="7"/>
  <c r="X21" i="7"/>
  <c r="W21" i="7"/>
  <c r="V21" i="7"/>
  <c r="U21" i="7"/>
  <c r="S21" i="7"/>
  <c r="Q21" i="7"/>
  <c r="P21" i="7"/>
  <c r="T21" i="7" s="1"/>
  <c r="I21" i="7"/>
  <c r="X20" i="7"/>
  <c r="W20" i="7"/>
  <c r="S20" i="4"/>
  <c r="S20" i="7"/>
  <c r="I20" i="7"/>
  <c r="V20" i="7"/>
  <c r="U20" i="7"/>
  <c r="Q20" i="7"/>
  <c r="P20" i="7"/>
  <c r="T20" i="7" s="1"/>
  <c r="F20" i="4"/>
  <c r="E20" i="4"/>
  <c r="I20" i="4" s="1"/>
  <c r="U20" i="4"/>
  <c r="Q20" i="4"/>
  <c r="R20" i="4" s="1"/>
  <c r="P20" i="4"/>
  <c r="T20" i="4" s="1"/>
  <c r="W20" i="4"/>
  <c r="U58" i="6"/>
  <c r="U59" i="6"/>
  <c r="U62" i="6"/>
  <c r="U63" i="6"/>
  <c r="U64" i="6"/>
  <c r="U65" i="6"/>
  <c r="U68" i="6"/>
  <c r="U69" i="6"/>
  <c r="U70" i="6"/>
  <c r="U71" i="6"/>
  <c r="U74" i="6"/>
  <c r="U75" i="6"/>
  <c r="U76" i="6"/>
  <c r="U77" i="6"/>
  <c r="U32" i="6"/>
  <c r="U33" i="6"/>
  <c r="U34" i="6"/>
  <c r="U35" i="6"/>
  <c r="U38" i="6"/>
  <c r="U39" i="6"/>
  <c r="U40" i="6"/>
  <c r="U41" i="6"/>
  <c r="U44" i="6"/>
  <c r="U45" i="6"/>
  <c r="U46" i="6"/>
  <c r="U47" i="6"/>
  <c r="U50" i="6"/>
  <c r="U51" i="6"/>
  <c r="U52" i="6"/>
  <c r="U53" i="6"/>
  <c r="U56" i="6"/>
  <c r="U57" i="6"/>
  <c r="U3" i="6"/>
  <c r="U4" i="6"/>
  <c r="U5" i="6"/>
  <c r="U8" i="6"/>
  <c r="U9" i="6"/>
  <c r="U10" i="6"/>
  <c r="U11" i="6"/>
  <c r="U14" i="6"/>
  <c r="U15" i="6"/>
  <c r="U16" i="6"/>
  <c r="U17" i="6"/>
  <c r="U20" i="6"/>
  <c r="U21" i="6"/>
  <c r="U22" i="6"/>
  <c r="U23" i="6"/>
  <c r="U26" i="6"/>
  <c r="U27" i="6"/>
  <c r="U28" i="6"/>
  <c r="U29" i="6"/>
  <c r="U2" i="6"/>
  <c r="U14" i="4"/>
  <c r="W15" i="4"/>
  <c r="X15" i="4"/>
  <c r="X8" i="4"/>
  <c r="X9" i="4"/>
  <c r="W8" i="4"/>
  <c r="W9" i="4"/>
  <c r="U8" i="4"/>
  <c r="U9" i="4"/>
  <c r="U17" i="4"/>
  <c r="U16" i="4"/>
  <c r="U15" i="4"/>
  <c r="W11" i="4"/>
  <c r="U11" i="4"/>
  <c r="U10" i="4"/>
  <c r="W5" i="4"/>
  <c r="U5" i="4"/>
  <c r="X4" i="4"/>
  <c r="W4" i="4"/>
  <c r="U4" i="4"/>
  <c r="X3" i="4"/>
  <c r="W3" i="4"/>
  <c r="U3" i="4"/>
  <c r="X2" i="4"/>
  <c r="W2" i="4"/>
  <c r="U2" i="4"/>
  <c r="S17" i="4"/>
  <c r="Q17" i="4"/>
  <c r="P17" i="4"/>
  <c r="T17" i="4" s="1"/>
  <c r="G17" i="4"/>
  <c r="H17" i="4" s="1"/>
  <c r="M17" i="4" s="1"/>
  <c r="S16" i="4"/>
  <c r="Q16" i="4"/>
  <c r="P16" i="4"/>
  <c r="T16" i="4" s="1"/>
  <c r="G16" i="4"/>
  <c r="H16" i="4" s="1"/>
  <c r="M16" i="4" s="1"/>
  <c r="T15" i="4"/>
  <c r="S15" i="4"/>
  <c r="Q15" i="4"/>
  <c r="P15" i="4"/>
  <c r="G15" i="4"/>
  <c r="H15" i="4" s="1"/>
  <c r="M15" i="4" s="1"/>
  <c r="S14" i="4"/>
  <c r="Q14" i="4"/>
  <c r="P14" i="4"/>
  <c r="T14" i="4" s="1"/>
  <c r="G14" i="4"/>
  <c r="H14" i="4" s="1"/>
  <c r="M14" i="4" s="1"/>
  <c r="S11" i="4"/>
  <c r="Q11" i="4"/>
  <c r="P11" i="4"/>
  <c r="T11" i="4" s="1"/>
  <c r="G11" i="4"/>
  <c r="H11" i="4" s="1"/>
  <c r="M11" i="4" s="1"/>
  <c r="S10" i="4"/>
  <c r="Q10" i="4"/>
  <c r="P10" i="4"/>
  <c r="T10" i="4" s="1"/>
  <c r="G10" i="4"/>
  <c r="H10" i="4" s="1"/>
  <c r="M10" i="4" s="1"/>
  <c r="S9" i="4"/>
  <c r="Q9" i="4"/>
  <c r="P9" i="4"/>
  <c r="T9" i="4" s="1"/>
  <c r="G9" i="4"/>
  <c r="H9" i="4" s="1"/>
  <c r="M9" i="4" s="1"/>
  <c r="S8" i="4"/>
  <c r="Q8" i="4"/>
  <c r="P8" i="4"/>
  <c r="T8" i="4" s="1"/>
  <c r="G8" i="4"/>
  <c r="H8" i="4" s="1"/>
  <c r="M8" i="4" s="1"/>
  <c r="V17" i="7"/>
  <c r="U17" i="7"/>
  <c r="S17" i="7"/>
  <c r="Q17" i="7"/>
  <c r="P17" i="7"/>
  <c r="T17" i="7" s="1"/>
  <c r="G17" i="7"/>
  <c r="H17" i="7" s="1"/>
  <c r="V16" i="7"/>
  <c r="U16" i="7"/>
  <c r="S16" i="7"/>
  <c r="Q16" i="7"/>
  <c r="P16" i="7"/>
  <c r="T16" i="7" s="1"/>
  <c r="G16" i="7"/>
  <c r="H16" i="7" s="1"/>
  <c r="V15" i="7"/>
  <c r="U15" i="7"/>
  <c r="S15" i="7"/>
  <c r="Q15" i="7"/>
  <c r="P15" i="7"/>
  <c r="T15" i="7" s="1"/>
  <c r="G15" i="7"/>
  <c r="H15" i="7" s="1"/>
  <c r="V14" i="7"/>
  <c r="U14" i="7"/>
  <c r="S14" i="7"/>
  <c r="Q14" i="7"/>
  <c r="P14" i="7"/>
  <c r="T14" i="7" s="1"/>
  <c r="G14" i="7"/>
  <c r="W14" i="7" s="1"/>
  <c r="V11" i="7"/>
  <c r="U11" i="7"/>
  <c r="S11" i="7"/>
  <c r="Q11" i="7"/>
  <c r="P11" i="7"/>
  <c r="T11" i="7" s="1"/>
  <c r="G11" i="7"/>
  <c r="W11" i="7" s="1"/>
  <c r="V10" i="7"/>
  <c r="U10" i="7"/>
  <c r="S10" i="7"/>
  <c r="Q10" i="7"/>
  <c r="P10" i="7"/>
  <c r="T10" i="7" s="1"/>
  <c r="G10" i="7"/>
  <c r="H10" i="7" s="1"/>
  <c r="V9" i="7"/>
  <c r="U9" i="7"/>
  <c r="S9" i="7"/>
  <c r="Q9" i="7"/>
  <c r="P9" i="7"/>
  <c r="T9" i="7" s="1"/>
  <c r="G9" i="7"/>
  <c r="H9" i="7" s="1"/>
  <c r="V8" i="7"/>
  <c r="U8" i="7"/>
  <c r="Q8" i="7"/>
  <c r="P8" i="7"/>
  <c r="T8" i="7" s="1"/>
  <c r="G8" i="7"/>
  <c r="W8" i="7" s="1"/>
  <c r="S77" i="6"/>
  <c r="Q77" i="6"/>
  <c r="P77" i="6"/>
  <c r="T77" i="6" s="1"/>
  <c r="G77" i="6"/>
  <c r="H77" i="6" s="1"/>
  <c r="M77" i="6" s="1"/>
  <c r="S76" i="6"/>
  <c r="Q76" i="6"/>
  <c r="P76" i="6"/>
  <c r="T76" i="6" s="1"/>
  <c r="G76" i="6"/>
  <c r="H76" i="6" s="1"/>
  <c r="M76" i="6" s="1"/>
  <c r="S75" i="6"/>
  <c r="Q75" i="6"/>
  <c r="P75" i="6"/>
  <c r="T75" i="6" s="1"/>
  <c r="G75" i="6"/>
  <c r="H75" i="6" s="1"/>
  <c r="M75" i="6" s="1"/>
  <c r="S74" i="6"/>
  <c r="Q74" i="6"/>
  <c r="P74" i="6"/>
  <c r="T74" i="6" s="1"/>
  <c r="G74" i="6"/>
  <c r="H74" i="6" s="1"/>
  <c r="M74" i="6" s="1"/>
  <c r="S71" i="6"/>
  <c r="Q71" i="6"/>
  <c r="P71" i="6"/>
  <c r="T71" i="6" s="1"/>
  <c r="G71" i="6"/>
  <c r="H71" i="6" s="1"/>
  <c r="M71" i="6" s="1"/>
  <c r="S70" i="6"/>
  <c r="Q70" i="6"/>
  <c r="P70" i="6"/>
  <c r="T70" i="6" s="1"/>
  <c r="G70" i="6"/>
  <c r="H70" i="6" s="1"/>
  <c r="M70" i="6" s="1"/>
  <c r="S69" i="6"/>
  <c r="Q69" i="6"/>
  <c r="P69" i="6"/>
  <c r="T69" i="6" s="1"/>
  <c r="G69" i="6"/>
  <c r="H69" i="6" s="1"/>
  <c r="M69" i="6" s="1"/>
  <c r="S68" i="6"/>
  <c r="Q68" i="6"/>
  <c r="P68" i="6"/>
  <c r="T68" i="6" s="1"/>
  <c r="G68" i="6"/>
  <c r="H68" i="6" s="1"/>
  <c r="M68" i="6" s="1"/>
  <c r="V24" i="9"/>
  <c r="U24" i="9"/>
  <c r="S24" i="9"/>
  <c r="Q24" i="9"/>
  <c r="R24" i="9" s="1"/>
  <c r="P24" i="9"/>
  <c r="T24" i="9" s="1"/>
  <c r="G24" i="9"/>
  <c r="W24" i="9" s="1"/>
  <c r="W23" i="9"/>
  <c r="V23" i="9"/>
  <c r="U23" i="9"/>
  <c r="S23" i="9"/>
  <c r="Q23" i="9"/>
  <c r="R23" i="9" s="1"/>
  <c r="P23" i="9"/>
  <c r="T23" i="9" s="1"/>
  <c r="G23" i="9"/>
  <c r="H23" i="9" s="1"/>
  <c r="W22" i="9"/>
  <c r="V22" i="9"/>
  <c r="U22" i="9"/>
  <c r="T22" i="9"/>
  <c r="S22" i="9"/>
  <c r="Q22" i="9"/>
  <c r="R22" i="9" s="1"/>
  <c r="P22" i="9"/>
  <c r="G22" i="9"/>
  <c r="H22" i="9" s="1"/>
  <c r="V21" i="9"/>
  <c r="U21" i="9"/>
  <c r="S21" i="9"/>
  <c r="Q21" i="9"/>
  <c r="R21" i="9" s="1"/>
  <c r="P21" i="9"/>
  <c r="T21" i="9" s="1"/>
  <c r="G21" i="9"/>
  <c r="W21" i="9" s="1"/>
  <c r="V18" i="9"/>
  <c r="U18" i="9"/>
  <c r="S18" i="9"/>
  <c r="Q18" i="9"/>
  <c r="R18" i="9" s="1"/>
  <c r="P18" i="9"/>
  <c r="T18" i="9" s="1"/>
  <c r="G18" i="9"/>
  <c r="W18" i="9" s="1"/>
  <c r="W17" i="9"/>
  <c r="V17" i="9"/>
  <c r="U17" i="9"/>
  <c r="T17" i="9"/>
  <c r="S17" i="9"/>
  <c r="Q17" i="9"/>
  <c r="R17" i="9" s="1"/>
  <c r="P17" i="9"/>
  <c r="G17" i="9"/>
  <c r="H17" i="9" s="1"/>
  <c r="W16" i="9"/>
  <c r="V16" i="9"/>
  <c r="U16" i="9"/>
  <c r="S16" i="9"/>
  <c r="Q16" i="9"/>
  <c r="R16" i="9" s="1"/>
  <c r="P16" i="9"/>
  <c r="T16" i="9" s="1"/>
  <c r="G16" i="9"/>
  <c r="H16" i="9" s="1"/>
  <c r="V15" i="9"/>
  <c r="U15" i="9"/>
  <c r="S15" i="9"/>
  <c r="Q15" i="9"/>
  <c r="R15" i="9" s="1"/>
  <c r="P15" i="9"/>
  <c r="T15" i="9" s="1"/>
  <c r="G15" i="9"/>
  <c r="H15" i="9" s="1"/>
  <c r="V9" i="9"/>
  <c r="V10" i="9"/>
  <c r="V11" i="9"/>
  <c r="V12" i="9"/>
  <c r="U12" i="9"/>
  <c r="S12" i="9"/>
  <c r="Q12" i="9"/>
  <c r="P12" i="9"/>
  <c r="T12" i="9" s="1"/>
  <c r="G12" i="9"/>
  <c r="H12" i="9" s="1"/>
  <c r="W11" i="9"/>
  <c r="U11" i="9"/>
  <c r="S11" i="9"/>
  <c r="Q11" i="9"/>
  <c r="P11" i="9"/>
  <c r="T11" i="9" s="1"/>
  <c r="G11" i="9"/>
  <c r="H11" i="9" s="1"/>
  <c r="U10" i="9"/>
  <c r="S10" i="9"/>
  <c r="Q10" i="9"/>
  <c r="P10" i="9"/>
  <c r="T10" i="9" s="1"/>
  <c r="G10" i="9"/>
  <c r="H10" i="9" s="1"/>
  <c r="U9" i="9"/>
  <c r="S9" i="9"/>
  <c r="Q9" i="9"/>
  <c r="P9" i="9"/>
  <c r="T9" i="9" s="1"/>
  <c r="G9" i="9"/>
  <c r="W9" i="9" s="1"/>
  <c r="S65" i="6"/>
  <c r="Q65" i="6"/>
  <c r="P65" i="6"/>
  <c r="T65" i="6" s="1"/>
  <c r="G65" i="6"/>
  <c r="H65" i="6" s="1"/>
  <c r="M65" i="6" s="1"/>
  <c r="S64" i="6"/>
  <c r="Q64" i="6"/>
  <c r="P64" i="6"/>
  <c r="T64" i="6" s="1"/>
  <c r="G64" i="6"/>
  <c r="H64" i="6" s="1"/>
  <c r="M64" i="6" s="1"/>
  <c r="S63" i="6"/>
  <c r="Q63" i="6"/>
  <c r="P63" i="6"/>
  <c r="T63" i="6" s="1"/>
  <c r="G63" i="6"/>
  <c r="H63" i="6" s="1"/>
  <c r="M63" i="6" s="1"/>
  <c r="S62" i="6"/>
  <c r="Q62" i="6"/>
  <c r="P62" i="6"/>
  <c r="T62" i="6" s="1"/>
  <c r="G62" i="6"/>
  <c r="H62" i="6" s="1"/>
  <c r="M62" i="6" s="1"/>
  <c r="S47" i="6"/>
  <c r="Q47" i="6"/>
  <c r="P47" i="6"/>
  <c r="T47" i="6" s="1"/>
  <c r="G47" i="6"/>
  <c r="H47" i="6" s="1"/>
  <c r="M47" i="6" s="1"/>
  <c r="S46" i="6"/>
  <c r="Q46" i="6"/>
  <c r="P46" i="6"/>
  <c r="T46" i="6" s="1"/>
  <c r="G46" i="6"/>
  <c r="H46" i="6" s="1"/>
  <c r="M46" i="6" s="1"/>
  <c r="S45" i="6"/>
  <c r="Q45" i="6"/>
  <c r="P45" i="6"/>
  <c r="T45" i="6" s="1"/>
  <c r="G45" i="6"/>
  <c r="H45" i="6" s="1"/>
  <c r="M45" i="6" s="1"/>
  <c r="S44" i="6"/>
  <c r="Q44" i="6"/>
  <c r="P44" i="6"/>
  <c r="T44" i="6" s="1"/>
  <c r="G44" i="6"/>
  <c r="H44" i="6" s="1"/>
  <c r="M44" i="6" s="1"/>
  <c r="S59" i="6"/>
  <c r="Q59" i="6"/>
  <c r="P59" i="6"/>
  <c r="T59" i="6" s="1"/>
  <c r="G59" i="6"/>
  <c r="H59" i="6" s="1"/>
  <c r="M59" i="6" s="1"/>
  <c r="S58" i="6"/>
  <c r="Q58" i="6"/>
  <c r="P58" i="6"/>
  <c r="T58" i="6" s="1"/>
  <c r="G58" i="6"/>
  <c r="H58" i="6" s="1"/>
  <c r="M58" i="6" s="1"/>
  <c r="S57" i="6"/>
  <c r="Q57" i="6"/>
  <c r="P57" i="6"/>
  <c r="T57" i="6" s="1"/>
  <c r="G57" i="6"/>
  <c r="H57" i="6" s="1"/>
  <c r="M57" i="6" s="1"/>
  <c r="S56" i="6"/>
  <c r="Q56" i="6"/>
  <c r="P56" i="6"/>
  <c r="T56" i="6" s="1"/>
  <c r="G56" i="6"/>
  <c r="H56" i="6" s="1"/>
  <c r="M56" i="6" s="1"/>
  <c r="S53" i="6"/>
  <c r="Q53" i="6"/>
  <c r="P53" i="6"/>
  <c r="T53" i="6" s="1"/>
  <c r="G53" i="6"/>
  <c r="H53" i="6" s="1"/>
  <c r="M53" i="6" s="1"/>
  <c r="S52" i="6"/>
  <c r="Q52" i="6"/>
  <c r="P52" i="6"/>
  <c r="T52" i="6" s="1"/>
  <c r="G52" i="6"/>
  <c r="H52" i="6" s="1"/>
  <c r="M52" i="6" s="1"/>
  <c r="S51" i="6"/>
  <c r="Q51" i="6"/>
  <c r="P51" i="6"/>
  <c r="T51" i="6" s="1"/>
  <c r="G51" i="6"/>
  <c r="H51" i="6" s="1"/>
  <c r="M51" i="6" s="1"/>
  <c r="S50" i="6"/>
  <c r="Q50" i="6"/>
  <c r="P50" i="6"/>
  <c r="T50" i="6" s="1"/>
  <c r="G50" i="6"/>
  <c r="H50" i="6" s="1"/>
  <c r="M50" i="6" s="1"/>
  <c r="S41" i="6"/>
  <c r="Q41" i="6"/>
  <c r="P41" i="6"/>
  <c r="T41" i="6" s="1"/>
  <c r="G41" i="6"/>
  <c r="H41" i="6" s="1"/>
  <c r="M41" i="6" s="1"/>
  <c r="S40" i="6"/>
  <c r="Q40" i="6"/>
  <c r="P40" i="6"/>
  <c r="T40" i="6" s="1"/>
  <c r="G40" i="6"/>
  <c r="H40" i="6" s="1"/>
  <c r="M40" i="6" s="1"/>
  <c r="S39" i="6"/>
  <c r="Q39" i="6"/>
  <c r="P39" i="6"/>
  <c r="T39" i="6" s="1"/>
  <c r="G39" i="6"/>
  <c r="H39" i="6" s="1"/>
  <c r="M39" i="6" s="1"/>
  <c r="S38" i="6"/>
  <c r="Q38" i="6"/>
  <c r="P38" i="6"/>
  <c r="T38" i="6" s="1"/>
  <c r="G38" i="6"/>
  <c r="H38" i="6" s="1"/>
  <c r="M38" i="6" s="1"/>
  <c r="S35" i="6"/>
  <c r="Q35" i="6"/>
  <c r="P35" i="6"/>
  <c r="T35" i="6" s="1"/>
  <c r="G35" i="6"/>
  <c r="H35" i="6" s="1"/>
  <c r="M35" i="6" s="1"/>
  <c r="S34" i="6"/>
  <c r="Q34" i="6"/>
  <c r="P34" i="6"/>
  <c r="T34" i="6" s="1"/>
  <c r="G34" i="6"/>
  <c r="H34" i="6" s="1"/>
  <c r="M34" i="6" s="1"/>
  <c r="S33" i="6"/>
  <c r="Q33" i="6"/>
  <c r="P33" i="6"/>
  <c r="T33" i="6" s="1"/>
  <c r="G33" i="6"/>
  <c r="H33" i="6" s="1"/>
  <c r="M33" i="6" s="1"/>
  <c r="S32" i="6"/>
  <c r="Q32" i="6"/>
  <c r="P32" i="6"/>
  <c r="T32" i="6" s="1"/>
  <c r="G32" i="6"/>
  <c r="H32" i="6" s="1"/>
  <c r="M32" i="6" s="1"/>
  <c r="S29" i="6"/>
  <c r="Q29" i="6"/>
  <c r="P29" i="6"/>
  <c r="T29" i="6" s="1"/>
  <c r="G29" i="6"/>
  <c r="H29" i="6" s="1"/>
  <c r="M29" i="6" s="1"/>
  <c r="S28" i="6"/>
  <c r="Q28" i="6"/>
  <c r="P28" i="6"/>
  <c r="T28" i="6" s="1"/>
  <c r="G28" i="6"/>
  <c r="H28" i="6" s="1"/>
  <c r="M28" i="6" s="1"/>
  <c r="S27" i="6"/>
  <c r="Q27" i="6"/>
  <c r="P27" i="6"/>
  <c r="T27" i="6" s="1"/>
  <c r="G27" i="6"/>
  <c r="H27" i="6" s="1"/>
  <c r="M27" i="6" s="1"/>
  <c r="S26" i="6"/>
  <c r="Q26" i="6"/>
  <c r="P26" i="6"/>
  <c r="T26" i="6" s="1"/>
  <c r="G26" i="6"/>
  <c r="H26" i="6" s="1"/>
  <c r="M26" i="6" s="1"/>
  <c r="S23" i="6"/>
  <c r="Q23" i="6"/>
  <c r="P23" i="6"/>
  <c r="T23" i="6" s="1"/>
  <c r="G23" i="6"/>
  <c r="H23" i="6" s="1"/>
  <c r="M23" i="6" s="1"/>
  <c r="S22" i="6"/>
  <c r="Q22" i="6"/>
  <c r="P22" i="6"/>
  <c r="T22" i="6" s="1"/>
  <c r="G22" i="6"/>
  <c r="H22" i="6" s="1"/>
  <c r="M22" i="6" s="1"/>
  <c r="S21" i="6"/>
  <c r="Q21" i="6"/>
  <c r="P21" i="6"/>
  <c r="T21" i="6" s="1"/>
  <c r="G21" i="6"/>
  <c r="H21" i="6" s="1"/>
  <c r="M21" i="6" s="1"/>
  <c r="S20" i="6"/>
  <c r="Q20" i="6"/>
  <c r="P20" i="6"/>
  <c r="T20" i="6" s="1"/>
  <c r="G20" i="6"/>
  <c r="H20" i="6" s="1"/>
  <c r="M20" i="6" s="1"/>
  <c r="S17" i="6"/>
  <c r="Q17" i="6"/>
  <c r="P17" i="6"/>
  <c r="T17" i="6" s="1"/>
  <c r="G17" i="6"/>
  <c r="H17" i="6" s="1"/>
  <c r="M17" i="6" s="1"/>
  <c r="S16" i="6"/>
  <c r="Q16" i="6"/>
  <c r="P16" i="6"/>
  <c r="T16" i="6" s="1"/>
  <c r="G16" i="6"/>
  <c r="H16" i="6" s="1"/>
  <c r="M16" i="6" s="1"/>
  <c r="S15" i="6"/>
  <c r="Q15" i="6"/>
  <c r="P15" i="6"/>
  <c r="T15" i="6" s="1"/>
  <c r="G15" i="6"/>
  <c r="H15" i="6" s="1"/>
  <c r="M15" i="6" s="1"/>
  <c r="S14" i="6"/>
  <c r="Q14" i="6"/>
  <c r="P14" i="6"/>
  <c r="T14" i="6" s="1"/>
  <c r="G14" i="6"/>
  <c r="H14" i="6" s="1"/>
  <c r="M14" i="6" s="1"/>
  <c r="S9" i="6"/>
  <c r="S10" i="6"/>
  <c r="S11" i="6"/>
  <c r="S8" i="6"/>
  <c r="Q8" i="6"/>
  <c r="Q11" i="6"/>
  <c r="P11" i="6"/>
  <c r="T11" i="6" s="1"/>
  <c r="G11" i="6"/>
  <c r="H11" i="6" s="1"/>
  <c r="M11" i="6" s="1"/>
  <c r="Q10" i="6"/>
  <c r="P10" i="6"/>
  <c r="T10" i="6" s="1"/>
  <c r="G10" i="6"/>
  <c r="H10" i="6" s="1"/>
  <c r="M10" i="6" s="1"/>
  <c r="Q9" i="6"/>
  <c r="P9" i="6"/>
  <c r="T9" i="6" s="1"/>
  <c r="G9" i="6"/>
  <c r="H9" i="6" s="1"/>
  <c r="M9" i="6" s="1"/>
  <c r="P8" i="6"/>
  <c r="T8" i="6" s="1"/>
  <c r="G8" i="6"/>
  <c r="H8" i="6" s="1"/>
  <c r="M8" i="6" s="1"/>
  <c r="V3" i="7"/>
  <c r="V4" i="7"/>
  <c r="V5" i="7"/>
  <c r="V2" i="7"/>
  <c r="U3" i="7"/>
  <c r="U4" i="7"/>
  <c r="U5" i="7"/>
  <c r="U2" i="7"/>
  <c r="X6" i="9"/>
  <c r="W6" i="9"/>
  <c r="X4" i="9"/>
  <c r="W5" i="9"/>
  <c r="V3" i="9"/>
  <c r="V4" i="9"/>
  <c r="V5" i="9"/>
  <c r="U3" i="9"/>
  <c r="U4" i="9"/>
  <c r="U5" i="9"/>
  <c r="V2" i="9"/>
  <c r="U2" i="9"/>
  <c r="T4" i="4"/>
  <c r="T5" i="4"/>
  <c r="T2" i="4"/>
  <c r="P6" i="9"/>
  <c r="T6" i="9" s="1"/>
  <c r="Q6" i="9"/>
  <c r="R6" i="9" s="1"/>
  <c r="S6" i="9"/>
  <c r="M6" i="9"/>
  <c r="F6" i="9"/>
  <c r="V6" i="9" s="1"/>
  <c r="E6" i="9"/>
  <c r="I6" i="9" s="1"/>
  <c r="G56" i="9"/>
  <c r="F56" i="9"/>
  <c r="E56" i="9"/>
  <c r="D56" i="9"/>
  <c r="H56" i="9" s="1"/>
  <c r="S5" i="9"/>
  <c r="Q5" i="9"/>
  <c r="P5" i="9"/>
  <c r="T5" i="9" s="1"/>
  <c r="G5" i="9"/>
  <c r="H5" i="9" s="1"/>
  <c r="M5" i="9" s="1"/>
  <c r="S4" i="9"/>
  <c r="Q4" i="9"/>
  <c r="P4" i="9"/>
  <c r="T4" i="9" s="1"/>
  <c r="G4" i="9"/>
  <c r="H4" i="9" s="1"/>
  <c r="M4" i="9" s="1"/>
  <c r="S3" i="9"/>
  <c r="Q3" i="9"/>
  <c r="P3" i="9"/>
  <c r="T3" i="9" s="1"/>
  <c r="G3" i="9"/>
  <c r="H3" i="9" s="1"/>
  <c r="M3" i="9" s="1"/>
  <c r="S2" i="9"/>
  <c r="Q2" i="9"/>
  <c r="P2" i="9"/>
  <c r="T2" i="9" s="1"/>
  <c r="G2" i="9"/>
  <c r="H2" i="9" s="1"/>
  <c r="M2" i="9" s="1"/>
  <c r="P3" i="4"/>
  <c r="T3" i="4" s="1"/>
  <c r="P4" i="4"/>
  <c r="P5" i="4"/>
  <c r="P2" i="4"/>
  <c r="Q2" i="4"/>
  <c r="Q3" i="4"/>
  <c r="Q4" i="4"/>
  <c r="Q5" i="4"/>
  <c r="S2" i="4"/>
  <c r="S3" i="4"/>
  <c r="S4" i="4"/>
  <c r="S5" i="4"/>
  <c r="G5" i="4"/>
  <c r="H5" i="4" s="1"/>
  <c r="G4" i="4"/>
  <c r="H4" i="4" s="1"/>
  <c r="M4" i="4" s="1"/>
  <c r="G3" i="4"/>
  <c r="H3" i="4" s="1"/>
  <c r="M3" i="4" s="1"/>
  <c r="G2" i="4"/>
  <c r="H2" i="4" s="1"/>
  <c r="M2" i="4" s="1"/>
  <c r="S3" i="7"/>
  <c r="S4" i="7"/>
  <c r="S5" i="7"/>
  <c r="S2" i="7"/>
  <c r="Q3" i="7"/>
  <c r="Q4" i="7"/>
  <c r="Q5" i="7"/>
  <c r="Q2" i="7"/>
  <c r="O56" i="9"/>
  <c r="S56" i="9" s="1"/>
  <c r="S3" i="6"/>
  <c r="S4" i="6"/>
  <c r="S5" i="6"/>
  <c r="Q3" i="6"/>
  <c r="Q4" i="6"/>
  <c r="Q5" i="6"/>
  <c r="S2" i="6"/>
  <c r="P5" i="7"/>
  <c r="G5" i="7"/>
  <c r="H5" i="7" s="1"/>
  <c r="M5" i="7" s="1"/>
  <c r="P4" i="7"/>
  <c r="T4" i="7" s="1"/>
  <c r="G4" i="7"/>
  <c r="H4" i="7" s="1"/>
  <c r="M4" i="7" s="1"/>
  <c r="P3" i="7"/>
  <c r="T3" i="7" s="1"/>
  <c r="G3" i="7"/>
  <c r="H3" i="7" s="1"/>
  <c r="M3" i="7" s="1"/>
  <c r="P2" i="7"/>
  <c r="T2" i="7" s="1"/>
  <c r="G2" i="7"/>
  <c r="H2" i="7" s="1"/>
  <c r="M2" i="7" s="1"/>
  <c r="Q2" i="6"/>
  <c r="G3" i="6"/>
  <c r="H3" i="6" s="1"/>
  <c r="M3" i="6" s="1"/>
  <c r="G4" i="6"/>
  <c r="H4" i="6" s="1"/>
  <c r="M4" i="6" s="1"/>
  <c r="G5" i="6"/>
  <c r="H5" i="6" s="1"/>
  <c r="M5" i="6" s="1"/>
  <c r="G2" i="6"/>
  <c r="H2" i="6" s="1"/>
  <c r="M2" i="6" s="1"/>
  <c r="P2" i="6"/>
  <c r="P3" i="6"/>
  <c r="T3" i="6" s="1"/>
  <c r="P4" i="6"/>
  <c r="T4" i="6" s="1"/>
  <c r="P5" i="6"/>
  <c r="T5" i="6" s="1"/>
  <c r="I20" i="12" l="1"/>
  <c r="I19" i="12"/>
  <c r="M20" i="12"/>
  <c r="I18" i="12"/>
  <c r="I17" i="12"/>
  <c r="M13" i="12"/>
  <c r="I13" i="12"/>
  <c r="I12" i="12"/>
  <c r="M12" i="12"/>
  <c r="I11" i="12"/>
  <c r="M11" i="12"/>
  <c r="I10" i="12"/>
  <c r="M10" i="12"/>
  <c r="I160" i="6"/>
  <c r="R144" i="6"/>
  <c r="G158" i="6"/>
  <c r="G154" i="6"/>
  <c r="W154" i="6" s="1"/>
  <c r="X152" i="6"/>
  <c r="R154" i="6"/>
  <c r="R160" i="6"/>
  <c r="R156" i="6"/>
  <c r="R158" i="6"/>
  <c r="R142" i="6"/>
  <c r="R151" i="6"/>
  <c r="U160" i="6"/>
  <c r="R180" i="6"/>
  <c r="R153" i="6"/>
  <c r="I161" i="6"/>
  <c r="I143" i="6"/>
  <c r="H150" i="6"/>
  <c r="R155" i="6"/>
  <c r="R159" i="6"/>
  <c r="V161" i="6"/>
  <c r="R149" i="6"/>
  <c r="H160" i="6"/>
  <c r="M160" i="6" s="1"/>
  <c r="W160" i="6"/>
  <c r="M149" i="6"/>
  <c r="X149" i="6"/>
  <c r="H159" i="6"/>
  <c r="W159" i="6"/>
  <c r="H151" i="6"/>
  <c r="G156" i="6"/>
  <c r="W156" i="6" s="1"/>
  <c r="U159" i="6"/>
  <c r="V160" i="6"/>
  <c r="V159" i="6"/>
  <c r="G155" i="6"/>
  <c r="W155" i="6" s="1"/>
  <c r="V157" i="6"/>
  <c r="G161" i="6"/>
  <c r="G195" i="6"/>
  <c r="W195" i="6" s="1"/>
  <c r="V194" i="6"/>
  <c r="R195" i="6"/>
  <c r="I144" i="6"/>
  <c r="U144" i="6"/>
  <c r="V144" i="6"/>
  <c r="U143" i="6"/>
  <c r="H143" i="6"/>
  <c r="M143" i="6" s="1"/>
  <c r="W143" i="6"/>
  <c r="H144" i="6"/>
  <c r="M144" i="6" s="1"/>
  <c r="W144" i="6"/>
  <c r="V143" i="6"/>
  <c r="I142" i="6"/>
  <c r="U142" i="6"/>
  <c r="G142" i="6"/>
  <c r="R141" i="6"/>
  <c r="G141" i="6"/>
  <c r="G170" i="6"/>
  <c r="H170" i="6" s="1"/>
  <c r="M170" i="6" s="1"/>
  <c r="G169" i="6"/>
  <c r="H169" i="6" s="1"/>
  <c r="M169" i="6" s="1"/>
  <c r="G171" i="6"/>
  <c r="W171" i="6" s="1"/>
  <c r="G168" i="6"/>
  <c r="W168" i="6" s="1"/>
  <c r="E8" i="13"/>
  <c r="E9" i="13"/>
  <c r="B8" i="13"/>
  <c r="H5" i="13"/>
  <c r="H8" i="13" s="1"/>
  <c r="I196" i="6"/>
  <c r="V196" i="6"/>
  <c r="I197" i="6"/>
  <c r="W196" i="6"/>
  <c r="H196" i="6"/>
  <c r="M196" i="6" s="1"/>
  <c r="U197" i="6"/>
  <c r="V197" i="6"/>
  <c r="R196" i="6"/>
  <c r="H197" i="6"/>
  <c r="M197" i="6" s="1"/>
  <c r="W197" i="6"/>
  <c r="G198" i="6"/>
  <c r="I198" i="6"/>
  <c r="R178" i="6"/>
  <c r="V187" i="6"/>
  <c r="G192" i="6"/>
  <c r="G188" i="6"/>
  <c r="W188" i="6" s="1"/>
  <c r="H189" i="6"/>
  <c r="M189" i="6" s="1"/>
  <c r="H186" i="6"/>
  <c r="X186" i="6" s="1"/>
  <c r="W191" i="6"/>
  <c r="H191" i="6"/>
  <c r="W190" i="6"/>
  <c r="H190" i="6"/>
  <c r="H193" i="6"/>
  <c r="V178" i="6"/>
  <c r="G180" i="6"/>
  <c r="I180" i="6"/>
  <c r="R179" i="6"/>
  <c r="I179" i="6"/>
  <c r="W178" i="6"/>
  <c r="H178" i="6"/>
  <c r="I178" i="6"/>
  <c r="H179" i="6"/>
  <c r="W179" i="6"/>
  <c r="V179" i="6"/>
  <c r="V189" i="6"/>
  <c r="V186" i="6"/>
  <c r="W113" i="6"/>
  <c r="W92" i="6"/>
  <c r="R113" i="6"/>
  <c r="V175" i="6"/>
  <c r="G172" i="6"/>
  <c r="W172" i="6" s="1"/>
  <c r="V174" i="6"/>
  <c r="G137" i="6"/>
  <c r="W137" i="6" s="1"/>
  <c r="R177" i="6"/>
  <c r="V190" i="6"/>
  <c r="W132" i="6"/>
  <c r="R187" i="6"/>
  <c r="G177" i="6"/>
  <c r="R192" i="6"/>
  <c r="R190" i="6"/>
  <c r="R188" i="6"/>
  <c r="R110" i="6"/>
  <c r="W124" i="6"/>
  <c r="R122" i="6"/>
  <c r="R125" i="6"/>
  <c r="R136" i="6"/>
  <c r="R119" i="6"/>
  <c r="W111" i="6"/>
  <c r="H82" i="6"/>
  <c r="M82" i="6" s="1"/>
  <c r="H112" i="6"/>
  <c r="M112" i="6" s="1"/>
  <c r="R137" i="6"/>
  <c r="R194" i="6"/>
  <c r="R123" i="6"/>
  <c r="V173" i="6"/>
  <c r="V140" i="6"/>
  <c r="R189" i="6"/>
  <c r="V136" i="6"/>
  <c r="R193" i="6"/>
  <c r="R117" i="6"/>
  <c r="W123" i="6"/>
  <c r="R134" i="6"/>
  <c r="R191" i="6"/>
  <c r="W189" i="6"/>
  <c r="V193" i="6"/>
  <c r="W99" i="6"/>
  <c r="R111" i="6"/>
  <c r="R124" i="6"/>
  <c r="W117" i="6"/>
  <c r="R132" i="6"/>
  <c r="R135" i="6"/>
  <c r="R186" i="6"/>
  <c r="W20" i="6"/>
  <c r="R112" i="6"/>
  <c r="R133" i="6"/>
  <c r="R102" i="7"/>
  <c r="W15" i="7"/>
  <c r="V66" i="7"/>
  <c r="R11" i="7"/>
  <c r="R28" i="7"/>
  <c r="H50" i="7"/>
  <c r="M50" i="7" s="1"/>
  <c r="R34" i="7"/>
  <c r="W61" i="7"/>
  <c r="H52" i="7"/>
  <c r="X52" i="7" s="1"/>
  <c r="W10" i="7"/>
  <c r="R56" i="7"/>
  <c r="R4" i="7"/>
  <c r="R49" i="7"/>
  <c r="R24" i="7"/>
  <c r="R5" i="7"/>
  <c r="R51" i="7"/>
  <c r="R65" i="7"/>
  <c r="X61" i="7"/>
  <c r="M61" i="7"/>
  <c r="R9" i="7"/>
  <c r="R68" i="7"/>
  <c r="H62" i="7"/>
  <c r="X62" i="7" s="1"/>
  <c r="R101" i="7"/>
  <c r="W4" i="7"/>
  <c r="R17" i="7"/>
  <c r="R22" i="7"/>
  <c r="W3" i="7"/>
  <c r="W49" i="7"/>
  <c r="R8" i="7"/>
  <c r="R44" i="7"/>
  <c r="G67" i="7"/>
  <c r="H63" i="7"/>
  <c r="M63" i="7" s="1"/>
  <c r="H64" i="7"/>
  <c r="X64" i="7" s="1"/>
  <c r="X4" i="7"/>
  <c r="R20" i="7"/>
  <c r="I30" i="7"/>
  <c r="R10" i="7"/>
  <c r="R35" i="7"/>
  <c r="R3" i="7"/>
  <c r="R15" i="7"/>
  <c r="R26" i="7"/>
  <c r="R100" i="7"/>
  <c r="W16" i="7"/>
  <c r="R31" i="7"/>
  <c r="R69" i="7"/>
  <c r="T5" i="7"/>
  <c r="G65" i="7"/>
  <c r="W65" i="7" s="1"/>
  <c r="R27" i="7"/>
  <c r="R50" i="7"/>
  <c r="R104" i="7"/>
  <c r="G69" i="7"/>
  <c r="H69" i="7" s="1"/>
  <c r="R29" i="7"/>
  <c r="R16" i="7"/>
  <c r="R21" i="7"/>
  <c r="R25" i="7"/>
  <c r="R30" i="7"/>
  <c r="R52" i="7"/>
  <c r="W9" i="7"/>
  <c r="R14" i="7"/>
  <c r="R103" i="7"/>
  <c r="R67" i="7"/>
  <c r="R23" i="7"/>
  <c r="W2" i="7"/>
  <c r="W56" i="7"/>
  <c r="R66" i="7"/>
  <c r="G68" i="7"/>
  <c r="W66" i="7"/>
  <c r="H66" i="7"/>
  <c r="R99" i="7"/>
  <c r="R97" i="7"/>
  <c r="R64" i="7"/>
  <c r="R63" i="7"/>
  <c r="R62" i="7"/>
  <c r="R61" i="7"/>
  <c r="M57" i="7"/>
  <c r="X57" i="7"/>
  <c r="W57" i="7"/>
  <c r="R57" i="7"/>
  <c r="R55" i="7"/>
  <c r="R98" i="7"/>
  <c r="W186" i="6"/>
  <c r="V191" i="6"/>
  <c r="R140" i="6"/>
  <c r="R138" i="6"/>
  <c r="R139" i="6"/>
  <c r="G139" i="6"/>
  <c r="W139" i="6" s="1"/>
  <c r="G138" i="6"/>
  <c r="W138" i="6" s="1"/>
  <c r="R172" i="6"/>
  <c r="R173" i="6"/>
  <c r="R174" i="6"/>
  <c r="R168" i="6"/>
  <c r="R170" i="6"/>
  <c r="R176" i="6"/>
  <c r="R175" i="6"/>
  <c r="R171" i="6"/>
  <c r="G176" i="6"/>
  <c r="W176" i="6" s="1"/>
  <c r="X136" i="6"/>
  <c r="R169" i="6"/>
  <c r="M134" i="6"/>
  <c r="X134" i="6"/>
  <c r="X132" i="6"/>
  <c r="M132" i="6"/>
  <c r="M133" i="6"/>
  <c r="X133" i="6"/>
  <c r="W134" i="6"/>
  <c r="H135" i="6"/>
  <c r="W133" i="6"/>
  <c r="R2" i="12"/>
  <c r="R5" i="12"/>
  <c r="R3" i="12"/>
  <c r="M123" i="6"/>
  <c r="X123" i="6"/>
  <c r="M124" i="6"/>
  <c r="X124" i="6"/>
  <c r="H125" i="6"/>
  <c r="H122" i="6"/>
  <c r="R116" i="6"/>
  <c r="W119" i="6"/>
  <c r="M111" i="6"/>
  <c r="X111" i="6"/>
  <c r="H110" i="6"/>
  <c r="R118" i="6"/>
  <c r="I3" i="11"/>
  <c r="R3" i="11"/>
  <c r="I4" i="11"/>
  <c r="I2" i="11"/>
  <c r="R2" i="11"/>
  <c r="M56" i="7"/>
  <c r="X56" i="7"/>
  <c r="H55" i="7"/>
  <c r="R58" i="7"/>
  <c r="H58" i="7"/>
  <c r="X49" i="7"/>
  <c r="M49" i="7"/>
  <c r="M51" i="7"/>
  <c r="X51" i="7"/>
  <c r="W51" i="7"/>
  <c r="M118" i="6"/>
  <c r="X118" i="6"/>
  <c r="X119" i="6"/>
  <c r="M119" i="6"/>
  <c r="M117" i="6"/>
  <c r="X117" i="6"/>
  <c r="W118" i="6"/>
  <c r="H116" i="6"/>
  <c r="X15" i="6"/>
  <c r="R104" i="6"/>
  <c r="R81" i="6"/>
  <c r="W51" i="6"/>
  <c r="X74" i="6"/>
  <c r="X27" i="6"/>
  <c r="H95" i="6"/>
  <c r="M95" i="6" s="1"/>
  <c r="W88" i="6"/>
  <c r="R95" i="6"/>
  <c r="W4" i="6"/>
  <c r="X3" i="6"/>
  <c r="R107" i="6"/>
  <c r="W3" i="6"/>
  <c r="R98" i="6"/>
  <c r="X21" i="6"/>
  <c r="X10" i="6"/>
  <c r="R105" i="6"/>
  <c r="W10" i="6"/>
  <c r="W57" i="6"/>
  <c r="W71" i="6"/>
  <c r="W45" i="6"/>
  <c r="R92" i="6"/>
  <c r="R101" i="6"/>
  <c r="W33" i="6"/>
  <c r="H106" i="6"/>
  <c r="X106" i="6" s="1"/>
  <c r="R100" i="6"/>
  <c r="M104" i="6"/>
  <c r="X104" i="6"/>
  <c r="W35" i="6"/>
  <c r="X65" i="6"/>
  <c r="X23" i="6"/>
  <c r="X4" i="6"/>
  <c r="R88" i="6"/>
  <c r="W104" i="6"/>
  <c r="R99" i="6"/>
  <c r="R86" i="6"/>
  <c r="X41" i="6"/>
  <c r="R82" i="6"/>
  <c r="R89" i="6"/>
  <c r="W47" i="6"/>
  <c r="W39" i="6"/>
  <c r="W77" i="6"/>
  <c r="W69" i="6"/>
  <c r="W80" i="6"/>
  <c r="R87" i="6"/>
  <c r="H100" i="6"/>
  <c r="R80" i="6"/>
  <c r="X29" i="6"/>
  <c r="R93" i="6"/>
  <c r="X47" i="6"/>
  <c r="X17" i="6"/>
  <c r="X82" i="6"/>
  <c r="W105" i="6"/>
  <c r="W89" i="6"/>
  <c r="W41" i="6"/>
  <c r="X68" i="6"/>
  <c r="R3" i="6"/>
  <c r="X53" i="6"/>
  <c r="R83" i="6"/>
  <c r="R94" i="6"/>
  <c r="W53" i="6"/>
  <c r="X35" i="6"/>
  <c r="W75" i="6"/>
  <c r="R106" i="6"/>
  <c r="R45" i="7"/>
  <c r="I45" i="7"/>
  <c r="X105" i="6"/>
  <c r="M105" i="6"/>
  <c r="H107" i="6"/>
  <c r="M99" i="6"/>
  <c r="X99" i="6"/>
  <c r="H101" i="6"/>
  <c r="H98" i="6"/>
  <c r="M92" i="6"/>
  <c r="X92" i="6"/>
  <c r="H94" i="6"/>
  <c r="H93" i="6"/>
  <c r="M88" i="6"/>
  <c r="X88" i="6"/>
  <c r="M89" i="6"/>
  <c r="X89" i="6"/>
  <c r="H86" i="6"/>
  <c r="H87" i="6"/>
  <c r="X80" i="6"/>
  <c r="M80" i="6"/>
  <c r="M83" i="6"/>
  <c r="X83" i="6"/>
  <c r="H81" i="6"/>
  <c r="W83" i="6"/>
  <c r="X11" i="6"/>
  <c r="X5" i="6"/>
  <c r="X56" i="6"/>
  <c r="X50" i="6"/>
  <c r="X44" i="6"/>
  <c r="X38" i="6"/>
  <c r="X32" i="6"/>
  <c r="W29" i="6"/>
  <c r="W23" i="6"/>
  <c r="W17" i="6"/>
  <c r="W11" i="6"/>
  <c r="W5" i="6"/>
  <c r="W56" i="6"/>
  <c r="W50" i="6"/>
  <c r="W44" i="6"/>
  <c r="W38" i="6"/>
  <c r="W74" i="6"/>
  <c r="W68" i="6"/>
  <c r="R4" i="6"/>
  <c r="W8" i="6"/>
  <c r="X28" i="6"/>
  <c r="X22" i="6"/>
  <c r="X16" i="6"/>
  <c r="X77" i="6"/>
  <c r="X71" i="6"/>
  <c r="X59" i="6"/>
  <c r="W59" i="6"/>
  <c r="W65" i="6"/>
  <c r="R76" i="6"/>
  <c r="X58" i="6"/>
  <c r="W64" i="6"/>
  <c r="W22" i="6"/>
  <c r="X9" i="6"/>
  <c r="X52" i="6"/>
  <c r="X46" i="6"/>
  <c r="X40" i="6"/>
  <c r="X34" i="6"/>
  <c r="X76" i="6"/>
  <c r="X64" i="6"/>
  <c r="W27" i="6"/>
  <c r="W21" i="6"/>
  <c r="W15" i="6"/>
  <c r="W9" i="6"/>
  <c r="W52" i="6"/>
  <c r="W46" i="6"/>
  <c r="W40" i="6"/>
  <c r="W34" i="6"/>
  <c r="W76" i="6"/>
  <c r="W70" i="6"/>
  <c r="R77" i="6"/>
  <c r="W58" i="6"/>
  <c r="W14" i="6"/>
  <c r="R74" i="6"/>
  <c r="W28" i="6"/>
  <c r="W16" i="6"/>
  <c r="R8" i="6"/>
  <c r="X70" i="6"/>
  <c r="X26" i="6"/>
  <c r="X20" i="6"/>
  <c r="X14" i="6"/>
  <c r="X8" i="6"/>
  <c r="X57" i="6"/>
  <c r="X51" i="6"/>
  <c r="X45" i="6"/>
  <c r="X39" i="6"/>
  <c r="X33" i="6"/>
  <c r="X75" i="6"/>
  <c r="X69" i="6"/>
  <c r="X63" i="6"/>
  <c r="W63" i="6"/>
  <c r="W2" i="6"/>
  <c r="X2" i="6"/>
  <c r="X62" i="6"/>
  <c r="W26" i="6"/>
  <c r="W32" i="6"/>
  <c r="W62" i="6"/>
  <c r="R75" i="6"/>
  <c r="I44" i="7"/>
  <c r="I35" i="4"/>
  <c r="X36" i="9"/>
  <c r="X34" i="9"/>
  <c r="X37" i="9"/>
  <c r="W36" i="9"/>
  <c r="X35" i="9"/>
  <c r="X28" i="9"/>
  <c r="H29" i="9"/>
  <c r="I30" i="4"/>
  <c r="I28" i="4"/>
  <c r="I29" i="4"/>
  <c r="V13" i="10"/>
  <c r="I11" i="10"/>
  <c r="I14" i="10"/>
  <c r="R2" i="10"/>
  <c r="I5" i="10"/>
  <c r="I9" i="10"/>
  <c r="U7" i="10"/>
  <c r="R9" i="10"/>
  <c r="U5" i="10"/>
  <c r="R4" i="10"/>
  <c r="I4" i="10"/>
  <c r="R8" i="10"/>
  <c r="R7" i="10"/>
  <c r="R5" i="10"/>
  <c r="I2" i="10"/>
  <c r="U2" i="10"/>
  <c r="R41" i="7"/>
  <c r="R40" i="7"/>
  <c r="R39" i="7"/>
  <c r="R32" i="7"/>
  <c r="R38" i="7"/>
  <c r="R33" i="7"/>
  <c r="I33" i="7"/>
  <c r="I32" i="7"/>
  <c r="I31" i="7"/>
  <c r="M5" i="4"/>
  <c r="X5" i="4"/>
  <c r="R10" i="4"/>
  <c r="X10" i="4"/>
  <c r="X17" i="4"/>
  <c r="R25" i="4"/>
  <c r="X14" i="4"/>
  <c r="R8" i="4"/>
  <c r="R14" i="4"/>
  <c r="W14" i="4"/>
  <c r="R9" i="4"/>
  <c r="R16" i="4"/>
  <c r="R23" i="4"/>
  <c r="R11" i="4"/>
  <c r="X16" i="4"/>
  <c r="R17" i="4"/>
  <c r="W16" i="4"/>
  <c r="X11" i="4"/>
  <c r="W17" i="4"/>
  <c r="R15" i="4"/>
  <c r="R24" i="4"/>
  <c r="W10" i="4"/>
  <c r="R22" i="4"/>
  <c r="I22" i="4"/>
  <c r="I23" i="4"/>
  <c r="I24" i="4"/>
  <c r="I25" i="4"/>
  <c r="X20" i="4"/>
  <c r="M16" i="7"/>
  <c r="X16" i="7"/>
  <c r="M15" i="7"/>
  <c r="X15" i="7"/>
  <c r="X17" i="7"/>
  <c r="M17" i="7"/>
  <c r="W17" i="7"/>
  <c r="H14" i="7"/>
  <c r="M10" i="7"/>
  <c r="X10" i="7"/>
  <c r="M9" i="7"/>
  <c r="X9" i="7"/>
  <c r="H8" i="7"/>
  <c r="H11" i="7"/>
  <c r="W5" i="7"/>
  <c r="X2" i="7"/>
  <c r="X5" i="7"/>
  <c r="X3" i="7"/>
  <c r="R38" i="6"/>
  <c r="R10" i="6"/>
  <c r="R64" i="6"/>
  <c r="R29" i="6"/>
  <c r="R46" i="6"/>
  <c r="R27" i="6"/>
  <c r="R33" i="6"/>
  <c r="R44" i="6"/>
  <c r="R62" i="6"/>
  <c r="R16" i="6"/>
  <c r="R22" i="6"/>
  <c r="R28" i="6"/>
  <c r="R45" i="6"/>
  <c r="R63" i="6"/>
  <c r="R17" i="6"/>
  <c r="R34" i="6"/>
  <c r="R23" i="6"/>
  <c r="R39" i="6"/>
  <c r="R40" i="6"/>
  <c r="R11" i="6"/>
  <c r="R14" i="6"/>
  <c r="R20" i="6"/>
  <c r="R35" i="6"/>
  <c r="R9" i="6"/>
  <c r="R26" i="6"/>
  <c r="R32" i="6"/>
  <c r="R41" i="6"/>
  <c r="R47" i="6"/>
  <c r="R5" i="6"/>
  <c r="R15" i="6"/>
  <c r="R21" i="6"/>
  <c r="R65" i="6"/>
  <c r="R69" i="6"/>
  <c r="R70" i="6"/>
  <c r="R68" i="6"/>
  <c r="R71" i="6"/>
  <c r="M23" i="9"/>
  <c r="X23" i="9"/>
  <c r="M22" i="9"/>
  <c r="X22" i="9"/>
  <c r="H21" i="9"/>
  <c r="H24" i="9"/>
  <c r="M17" i="9"/>
  <c r="X17" i="9"/>
  <c r="X15" i="9"/>
  <c r="M15" i="9"/>
  <c r="M16" i="9"/>
  <c r="X16" i="9"/>
  <c r="W15" i="9"/>
  <c r="H18" i="9"/>
  <c r="W10" i="9"/>
  <c r="W4" i="9"/>
  <c r="W3" i="9"/>
  <c r="X5" i="9"/>
  <c r="R11" i="9"/>
  <c r="R9" i="9"/>
  <c r="R12" i="9"/>
  <c r="R10" i="9"/>
  <c r="M11" i="9"/>
  <c r="X11" i="9"/>
  <c r="X12" i="9"/>
  <c r="M12" i="9"/>
  <c r="M10" i="9"/>
  <c r="X10" i="9"/>
  <c r="W12" i="9"/>
  <c r="H9" i="9"/>
  <c r="X3" i="9"/>
  <c r="U6" i="9"/>
  <c r="W2" i="9"/>
  <c r="X2" i="9"/>
  <c r="R51" i="6"/>
  <c r="R56" i="6"/>
  <c r="R57" i="6"/>
  <c r="R52" i="6"/>
  <c r="R58" i="6"/>
  <c r="R53" i="6"/>
  <c r="R50" i="6"/>
  <c r="R59" i="6"/>
  <c r="R2" i="6"/>
  <c r="T2" i="6"/>
  <c r="R5" i="9"/>
  <c r="R3" i="9"/>
  <c r="R4" i="9"/>
  <c r="R2" i="9"/>
  <c r="R3" i="4"/>
  <c r="R5" i="4"/>
  <c r="R4" i="4"/>
  <c r="R2" i="4"/>
  <c r="R2" i="7"/>
  <c r="M150" i="6" l="1"/>
  <c r="X150" i="6"/>
  <c r="X170" i="6"/>
  <c r="H158" i="6"/>
  <c r="W158" i="6"/>
  <c r="X151" i="6"/>
  <c r="M151" i="6"/>
  <c r="H161" i="6"/>
  <c r="M161" i="6" s="1"/>
  <c r="W161" i="6"/>
  <c r="M159" i="6"/>
  <c r="X159" i="6"/>
  <c r="X196" i="6"/>
  <c r="H195" i="6"/>
  <c r="H142" i="6"/>
  <c r="W142" i="6"/>
  <c r="W141" i="6"/>
  <c r="H141" i="6"/>
  <c r="W170" i="6"/>
  <c r="X169" i="6"/>
  <c r="W169" i="6"/>
  <c r="H171" i="6"/>
  <c r="M171" i="6" s="1"/>
  <c r="H168" i="6"/>
  <c r="M168" i="6" s="1"/>
  <c r="W198" i="6"/>
  <c r="H198" i="6"/>
  <c r="M198" i="6" s="1"/>
  <c r="X189" i="6"/>
  <c r="M186" i="6"/>
  <c r="H187" i="6"/>
  <c r="X187" i="6" s="1"/>
  <c r="W187" i="6"/>
  <c r="H188" i="6"/>
  <c r="M188" i="6" s="1"/>
  <c r="W192" i="6"/>
  <c r="H192" i="6"/>
  <c r="X193" i="6"/>
  <c r="M193" i="6"/>
  <c r="M190" i="6"/>
  <c r="X190" i="6"/>
  <c r="X191" i="6"/>
  <c r="M191" i="6"/>
  <c r="W194" i="6"/>
  <c r="H194" i="6"/>
  <c r="H180" i="6"/>
  <c r="M180" i="6" s="1"/>
  <c r="W180" i="6"/>
  <c r="X178" i="6"/>
  <c r="M178" i="6"/>
  <c r="M179" i="6"/>
  <c r="W177" i="6"/>
  <c r="H177" i="6"/>
  <c r="X95" i="6"/>
  <c r="X112" i="6"/>
  <c r="X50" i="7"/>
  <c r="M52" i="7"/>
  <c r="M62" i="7"/>
  <c r="W69" i="7"/>
  <c r="X63" i="7"/>
  <c r="M64" i="7"/>
  <c r="H65" i="7"/>
  <c r="M65" i="7" s="1"/>
  <c r="W67" i="7"/>
  <c r="H67" i="7"/>
  <c r="H68" i="7"/>
  <c r="W68" i="7"/>
  <c r="X69" i="7"/>
  <c r="M69" i="7"/>
  <c r="M66" i="7"/>
  <c r="X66" i="7"/>
  <c r="X135" i="6"/>
  <c r="M135" i="6"/>
  <c r="X122" i="6"/>
  <c r="M122" i="6"/>
  <c r="X125" i="6"/>
  <c r="M125" i="6"/>
  <c r="X113" i="6"/>
  <c r="M113" i="6"/>
  <c r="M110" i="6"/>
  <c r="X110" i="6"/>
  <c r="X58" i="7"/>
  <c r="M58" i="7"/>
  <c r="X55" i="7"/>
  <c r="M55" i="7"/>
  <c r="X116" i="6"/>
  <c r="M116" i="6"/>
  <c r="M106" i="6"/>
  <c r="M100" i="6"/>
  <c r="X100" i="6"/>
  <c r="X107" i="6"/>
  <c r="M107" i="6"/>
  <c r="X98" i="6"/>
  <c r="M98" i="6"/>
  <c r="X101" i="6"/>
  <c r="M101" i="6"/>
  <c r="X93" i="6"/>
  <c r="M93" i="6"/>
  <c r="X94" i="6"/>
  <c r="M94" i="6"/>
  <c r="X87" i="6"/>
  <c r="M87" i="6"/>
  <c r="M86" i="6"/>
  <c r="X86" i="6"/>
  <c r="X81" i="6"/>
  <c r="M81" i="6"/>
  <c r="X29" i="9"/>
  <c r="X14" i="7"/>
  <c r="M14" i="7"/>
  <c r="X11" i="7"/>
  <c r="M11" i="7"/>
  <c r="X8" i="7"/>
  <c r="M8" i="7"/>
  <c r="X24" i="9"/>
  <c r="M24" i="9"/>
  <c r="X21" i="9"/>
  <c r="M21" i="9"/>
  <c r="M18" i="9"/>
  <c r="X18" i="9"/>
  <c r="X9" i="9"/>
  <c r="M9" i="9"/>
  <c r="M158" i="6" l="1"/>
  <c r="X158" i="6"/>
  <c r="M187" i="6"/>
  <c r="X195" i="6"/>
  <c r="M195" i="6"/>
  <c r="M142" i="6"/>
  <c r="X142" i="6"/>
  <c r="X141" i="6"/>
  <c r="M141" i="6"/>
  <c r="X168" i="6"/>
  <c r="X171" i="6"/>
  <c r="X188" i="6"/>
  <c r="M192" i="6"/>
  <c r="X192" i="6"/>
  <c r="X194" i="6"/>
  <c r="M194" i="6"/>
  <c r="M177" i="6"/>
  <c r="X177" i="6"/>
  <c r="X65" i="7"/>
  <c r="M67" i="7"/>
  <c r="X67" i="7"/>
  <c r="M68" i="7"/>
  <c r="X68" i="7"/>
</calcChain>
</file>

<file path=xl/sharedStrings.xml><?xml version="1.0" encoding="utf-8"?>
<sst xmlns="http://schemas.openxmlformats.org/spreadsheetml/2006/main" count="1654" uniqueCount="191">
  <si>
    <t>dx</t>
  </si>
  <si>
    <t>dy</t>
  </si>
  <si>
    <t>Reb</t>
  </si>
  <si>
    <t>Domain</t>
  </si>
  <si>
    <t>Mesh</t>
  </si>
  <si>
    <t>dz_c=dy</t>
  </si>
  <si>
    <t>dz_w≈dz_c/4</t>
  </si>
  <si>
    <t>AR=dx/dy</t>
  </si>
  <si>
    <t>Mesh type (z)</t>
  </si>
  <si>
    <t>CFR/CPG</t>
  </si>
  <si>
    <t>hwm</t>
  </si>
  <si>
    <t>#cells</t>
  </si>
  <si>
    <t>Retau_dns</t>
  </si>
  <si>
    <t>Retau</t>
  </si>
  <si>
    <t>Cf_dns</t>
  </si>
  <si>
    <t>Cf</t>
  </si>
  <si>
    <t>Relative error</t>
  </si>
  <si>
    <t>#ETT averaging</t>
  </si>
  <si>
    <t>du/dz_dns</t>
  </si>
  <si>
    <t>dx+_dns</t>
  </si>
  <si>
    <t>dy+_dns</t>
  </si>
  <si>
    <t>dz_c+_dns</t>
  </si>
  <si>
    <t>dz_w+_dns</t>
  </si>
  <si>
    <t>WM</t>
  </si>
  <si>
    <t>12.8×4.8×2.0</t>
  </si>
  <si>
    <t>128×48×32</t>
  </si>
  <si>
    <t>stretching</t>
  </si>
  <si>
    <t>CFR</t>
  </si>
  <si>
    <t>192×72×48</t>
  </si>
  <si>
    <t>256×96×64</t>
  </si>
  <si>
    <t>384×144×96</t>
  </si>
  <si>
    <t>18.84×6.28×2.0</t>
  </si>
  <si>
    <t>384×256×144</t>
  </si>
  <si>
    <t>natural stretching</t>
  </si>
  <si>
    <t>WM+SMAG</t>
  </si>
  <si>
    <t>WM+SMAG+ACC</t>
  </si>
  <si>
    <t>WM+SMAG+CFL0.5</t>
  </si>
  <si>
    <t>NOSLIP+SMAG+NODAMP</t>
  </si>
  <si>
    <t>NA</t>
  </si>
  <si>
    <t>NOSLIP+SMAG</t>
  </si>
  <si>
    <t>DNS</t>
  </si>
  <si>
    <t>dx+</t>
  </si>
  <si>
    <t>dy+</t>
  </si>
  <si>
    <t>dz_c+</t>
  </si>
  <si>
    <t>dz_w+</t>
  </si>
  <si>
    <t>The WMLES results show about 3% difference from the DNS results</t>
  </si>
  <si>
    <t>DNS results "Direct numerical simulation of one-sided forced thermal convection in plane channels". Velocity profiles "Moser, 2015", which will be replaced by the results of Pirozzoli</t>
  </si>
  <si>
    <t>NOSLIP+SMAG+SMALL</t>
  </si>
  <si>
    <t>6.4×2.4×2.0</t>
  </si>
  <si>
    <t>64×48×48</t>
  </si>
  <si>
    <t>(gtype,gr)=(1,5)</t>
  </si>
  <si>
    <t>64×48×64</t>
  </si>
  <si>
    <t>64×48×72</t>
  </si>
  <si>
    <t>64×48×96</t>
  </si>
  <si>
    <t>NOSLIP+SMAG+SMALL+CS0</t>
  </si>
  <si>
    <t>NOSLIP+SMAG+SMALL+CS0.1</t>
  </si>
  <si>
    <t>NOSLIP+SMAG+SMALL+CS0.18</t>
  </si>
  <si>
    <t>NOSLIP+DSMAG+SMALL</t>
  </si>
  <si>
    <t xml:space="preserve"> 192×128×128</t>
  </si>
  <si>
    <t>NOSLIP+SMAG+SMALL+EXP</t>
  </si>
  <si>
    <t>NOSLIP+SMAG+SMALL+CS0.2</t>
  </si>
  <si>
    <t>NOSLIP+SMAG+SMALL+CS0.16</t>
  </si>
  <si>
    <t>NOSLIP+SMAG+SMALL+CS0.15</t>
  </si>
  <si>
    <t>(gtype,gr)=(1,4)</t>
  </si>
  <si>
    <t>NOSLIP+SMAG+SMALL+NEWS</t>
  </si>
  <si>
    <t>NOSLIP+DSMAG+SMALL+ALPH4</t>
  </si>
  <si>
    <t>NOSLIP+DSMAG+SMALL+FILTER2D</t>
  </si>
  <si>
    <t>ONESIDE</t>
  </si>
  <si>
    <t>WM+SMAG+SMALL</t>
  </si>
  <si>
    <t>WM+DSMAG+SMALL</t>
  </si>
  <si>
    <t>328×256×196</t>
  </si>
  <si>
    <t>6.28×2.355×2.0</t>
  </si>
  <si>
    <t>64×64×96</t>
  </si>
  <si>
    <t>(gtype,gr)=(1,4.3)</t>
  </si>
  <si>
    <t>NOSLIP+SMAG+CS0</t>
  </si>
  <si>
    <t>NOSLIP+SMAG+CS0.1</t>
  </si>
  <si>
    <t>NOSLIP+SMAG+CS0.18</t>
  </si>
  <si>
    <t>192×128×128</t>
  </si>
  <si>
    <t>192×128×256</t>
  </si>
  <si>
    <t>WM+SMAG+KAP0.4187</t>
  </si>
  <si>
    <t>WM+SMAG+CS0.05</t>
  </si>
  <si>
    <t>WM+SMAG+CS0.2</t>
  </si>
  <si>
    <t>WM+SMAG+VISSIMPLE</t>
  </si>
  <si>
    <t>WM+SMAG+CFL0.25</t>
  </si>
  <si>
    <t>WM+SMAG+NODAMP</t>
  </si>
  <si>
    <t>WM+SMAG+LARGE</t>
  </si>
  <si>
    <t>25.6×9.6×2.0</t>
  </si>
  <si>
    <t>WM+SMAG+NEWS</t>
  </si>
  <si>
    <t>WM+SMAG+SMALL+ONESIDE</t>
  </si>
  <si>
    <t>WM+SMAG+SMALL+ONESIDE+2ND</t>
  </si>
  <si>
    <t>WM+SMAG+SMALL+MOV</t>
  </si>
  <si>
    <t>dz_w=dy</t>
  </si>
  <si>
    <t>12.8×2.0×2.0</t>
  </si>
  <si>
    <t xml:space="preserve"> 384×128×128</t>
  </si>
  <si>
    <t>uniform</t>
  </si>
  <si>
    <t>DNS+REFINE</t>
  </si>
  <si>
    <t xml:space="preserve"> 576×192×192</t>
  </si>
  <si>
    <t>DNS+SMALL</t>
  </si>
  <si>
    <t>6.4×2.0×2.0</t>
  </si>
  <si>
    <t>256×80×80</t>
  </si>
  <si>
    <t>128×80×80</t>
  </si>
  <si>
    <t>64×80×80</t>
  </si>
  <si>
    <t>384×120×120</t>
  </si>
  <si>
    <t>512×160×160</t>
  </si>
  <si>
    <t>NX512_NY192_NZ128</t>
  </si>
  <si>
    <t>NX256_NY192_NZ128</t>
  </si>
  <si>
    <t>NX320_NY240_NZ160</t>
  </si>
  <si>
    <t>NX384_NY288_NZ192</t>
  </si>
  <si>
    <t>NX448_NY336_NZ224</t>
  </si>
  <si>
    <t>NX768_NY288_NZ192</t>
  </si>
  <si>
    <t>NX896_NY336_NZ224</t>
  </si>
  <si>
    <t>NX1024_NY384_NZ256</t>
  </si>
  <si>
    <t>WM+DSMAG</t>
  </si>
  <si>
    <t>NX448_NY168_NZ224</t>
  </si>
  <si>
    <t>NX512_NY192_NZ256</t>
  </si>
  <si>
    <t>NX384_NY144_NZ192</t>
  </si>
  <si>
    <t>NX128_NY48_NZ32</t>
  </si>
  <si>
    <t>NX192_NY72_NZ48</t>
  </si>
  <si>
    <t>NX256_NY96_NZ64</t>
  </si>
  <si>
    <t>NX384_NY144_NZ96</t>
  </si>
  <si>
    <t>NX192_NY128_NZ128</t>
  </si>
  <si>
    <t>NX96_NY64_NZ128</t>
  </si>
  <si>
    <t>NX192_NY128_NZ192</t>
  </si>
  <si>
    <t>NX96_NY64_NZ64</t>
  </si>
  <si>
    <t>NX192_NY128_NZ256</t>
  </si>
  <si>
    <t>NX384_NY256_NZ512</t>
  </si>
  <si>
    <t>NX384_NY256_NZ256</t>
  </si>
  <si>
    <t>NX64_NY24_NZ32</t>
  </si>
  <si>
    <t>NX96_NY36_NZ48</t>
  </si>
  <si>
    <t>NX128_NY48_NZ64</t>
  </si>
  <si>
    <t>NX192_NY72_NZ96</t>
  </si>
  <si>
    <t>NX256_NY96_NZ128</t>
  </si>
  <si>
    <t>NX320_NY120_NZ160</t>
  </si>
  <si>
    <t>NX256_NY96_NZ32</t>
  </si>
  <si>
    <t>NX384_NY144_NZ48</t>
  </si>
  <si>
    <t>NX512_NY192_NZ64</t>
  </si>
  <si>
    <t>NX768_NY288_NZ96</t>
  </si>
  <si>
    <t>NX640_NY240_NZ160</t>
  </si>
  <si>
    <t>NX64_NY48_NZ32</t>
  </si>
  <si>
    <t>NX96_NY72_NZ48</t>
  </si>
  <si>
    <t>NX128_NY96_NZ64</t>
  </si>
  <si>
    <t>NX192_NY144_NZ96</t>
  </si>
  <si>
    <t>NX512_NY384_NZ256</t>
  </si>
  <si>
    <t>NX768_NY576_NZ384</t>
  </si>
  <si>
    <t>NX512_NY384_NZ512</t>
  </si>
  <si>
    <t>NX1024_NY768_NZ1024</t>
  </si>
  <si>
    <t>NX1536_NY1152_NZ1536</t>
  </si>
  <si>
    <t>Err_u</t>
  </si>
  <si>
    <t>Err_uu</t>
  </si>
  <si>
    <t>Err_vv</t>
  </si>
  <si>
    <t>Err_ww</t>
  </si>
  <si>
    <t>Err_uw</t>
  </si>
  <si>
    <t>M(m)</t>
  </si>
  <si>
    <t>U_ref(m/s)</t>
  </si>
  <si>
    <t>Time 1</t>
  </si>
  <si>
    <t>Time 2</t>
  </si>
  <si>
    <t>Time 3</t>
  </si>
  <si>
    <t>Time 1/s</t>
  </si>
  <si>
    <t>Time 2/s</t>
  </si>
  <si>
    <t>Time 3/s</t>
  </si>
  <si>
    <t>L_ref (m)</t>
  </si>
  <si>
    <t>Corrected Time 1/s</t>
  </si>
  <si>
    <t>Corrected Time 2/s</t>
  </si>
  <si>
    <t>Corrected Time 3/s</t>
  </si>
  <si>
    <t>Corrected Time 1</t>
  </si>
  <si>
    <t>Corrected Time 2</t>
  </si>
  <si>
    <t>Corrected Time 3</t>
  </si>
  <si>
    <t>Re=U_ref*M/nu</t>
  </si>
  <si>
    <t>nu</t>
  </si>
  <si>
    <t>nu (m^2/s)</t>
  </si>
  <si>
    <t>Re=U_ref*L_ref/nu</t>
  </si>
  <si>
    <t>L_cube (m)</t>
  </si>
  <si>
    <t>U_tke(m/s)=sqrt(3*u1^2/2)</t>
  </si>
  <si>
    <t>Re=U_tke*L_cube/nu</t>
  </si>
  <si>
    <t>Experiment</t>
  </si>
  <si>
    <t>Equivalent experiment</t>
  </si>
  <si>
    <t>Solver</t>
  </si>
  <si>
    <t>dt</t>
  </si>
  <si>
    <t>dt(s)</t>
  </si>
  <si>
    <t>NX1536_NY576_NZ256</t>
  </si>
  <si>
    <t>NX1024_NY384_NZ512</t>
  </si>
  <si>
    <t>NX2048_NY768_NZ1024</t>
  </si>
  <si>
    <t>NX3072_NY1152_NZ1536</t>
  </si>
  <si>
    <t>NX128_NY80_NZ80</t>
  </si>
  <si>
    <t>{"hash":"7b87b46cbb8b8f3bbc78b50e9dd9ad134ba8c12cc80e7d1ccab87ec71d5afbf4","version":1,"value":"[[\"\\\"LX\\\" and \\\"NX\\\" can refer to different things depending on the context. Here are some common interpretations:\\n\\n### LX\\n1. **Lexus LX**: A luxury SUV produced by Lexus, the luxury vehicle division of Toyota.\\n2. **Linux**: Sometimes abbreviated as \\\"LX\\\" in certain contexts.\\n3. **Roman Numerals**: LX represents the number 60.\\n4. **LX (Lighting)**: In theater and stage production, \\\"LX\\\" is shorthand for lighting.\\n\\n### NX\\n1. **Lexus NX**: A compact luxury crossover SUV produced by Lexus.\\n2. **Nissan NX**: A model of car produced by Nissan.\\n3. **Siemens NX**: A high-end CAD/CAM/CAE software suite developed by Siemens PLM Software.\\n4. **Nintendo NX**: The codename for the Nintendo Switch during its development phase.\\n5. **Network Exchange (NX)**: In telecommunications, it can refer to network exchange points.\\n\\nIf you have a specific context in mind, please provide more details so I can give a more precise explanation.\"]]"}</t>
  </si>
  <si>
    <t>{"hash":"f5ca07d99f9d99bcf62fd69b9f1dc8a5fdd5242a2f8429d9cc181876de246d13","version":1,"value":"[[\"It looks like you're referring to cell references in a spreadsheet, possibly in Microsoft Excel or Google Sheets. Here's a breakdown of what you might be trying to achieve:\\n\\n- **LX/NX**: This seems to be a formula where you want to divide the value in cell LX by the value in cell NX.\\n- **LX is contained in C9**: This suggests that the value or reference for LX is stored in cell C9.\\n- **NX is contained in D9**: This suggests that the value or reference for NX is stored in cell D9.\\n\\nTo create a formula that divides the value in the cell referenced by C9 by the value in the cell referenced by D9, you can use the `INDIRECT` function. The `INDIRECT` function returns the reference specified by a text string.\\n\\nHere’s how you can set it up:\\n\\n1. **Assume C9 contains \\\"A1\\\"** (which means LX refers to cell A1).\\n2. **Assume D9 contains \\\"B1\\\"** (which means NX refers to cell B1).\\n\\nYou can use the following formula to perform the division:\\n\\n```excel\\n=INDIRECT(C9) / INDIRECT(D9)\\n```\\n\\nThis formula will:\\n\\n1. Use `INDIRECT(C9)` to get the value from the cell reference specified in C9 (e.g., A1).\\n2. Use `INDIRECT(D9)` to get the value from the cell reference specified in D9 (e.g., B1).\\n3. Divide the value obtained from the first step by the value obtained from the second step.\\n\\nMake sure that the cells referenced by C9 and D9 contain valid cell references and that the cells they point to contain numerical values to avoid errors.\"]]"}</t>
  </si>
  <si>
    <t>LX12.8_LY2.0_LZ2.0</t>
  </si>
  <si>
    <t>NX256_NY80_NZ80</t>
  </si>
  <si>
    <t>NX512_NY80_NZ80</t>
  </si>
  <si>
    <t>NX768_NY120_NZ120</t>
  </si>
  <si>
    <t>NX1024_NY160_NZ160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</si>
</sst>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00"/>
    <numFmt numFmtId="167" formatCode="0.0000"/>
  </numFmts>
  <fonts count="6">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8"/>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38">
    <xf numFmtId="0" fontId="0" fillId="0" borderId="0" xfId="0"/>
    <xf numFmtId="0" fontId="1" fillId="0" borderId="0" xfId="0" applyFont="1"/>
    <xf numFmtId="2" fontId="0" fillId="0" borderId="0" xfId="0" applyNumberFormat="1"/>
    <xf numFmtId="0" fontId="0" fillId="0" borderId="0" xfId="0" applyAlignment="1">
      <alignment horizontal="right"/>
    </xf>
    <xf numFmtId="1" fontId="0" fillId="0" borderId="0" xfId="0" applyNumberFormat="1" applyAlignment="1">
      <alignment horizontal="right"/>
    </xf>
    <xf numFmtId="10" fontId="2" fillId="0" borderId="0" xfId="1" applyNumberFormat="1" applyFont="1"/>
    <xf numFmtId="164" fontId="0" fillId="0" borderId="0" xfId="0" applyNumberFormat="1"/>
    <xf numFmtId="165" fontId="0" fillId="0" borderId="0" xfId="0" applyNumberFormat="1"/>
    <xf numFmtId="10" fontId="0" fillId="0" borderId="0" xfId="1" applyNumberFormat="1" applyFont="1"/>
    <xf numFmtId="0" fontId="0" fillId="0" borderId="0" xfId="0" applyAlignment="1">
      <alignment horizontal="right" indent="1"/>
    </xf>
    <xf numFmtId="2" fontId="0" fillId="0" borderId="0" xfId="0" applyNumberFormat="1" applyAlignment="1">
      <alignment horizontal="right"/>
    </xf>
    <xf numFmtId="11" fontId="0" fillId="0" borderId="0" xfId="0" applyNumberFormat="1"/>
    <xf numFmtId="2" fontId="1" fillId="0" borderId="0" xfId="0" applyNumberFormat="1" applyFont="1"/>
    <xf numFmtId="11" fontId="0" fillId="0" borderId="0" xfId="0" applyNumberFormat="1" applyAlignment="1">
      <alignment horizontal="right"/>
    </xf>
    <xf numFmtId="166" fontId="0" fillId="0" borderId="0" xfId="0" applyNumberFormat="1" applyAlignment="1">
      <alignment horizontal="right"/>
    </xf>
    <xf numFmtId="164" fontId="0" fillId="0" borderId="0" xfId="0" applyNumberFormat="1" applyAlignment="1">
      <alignment horizontal="right"/>
    </xf>
    <xf numFmtId="166" fontId="0" fillId="0" borderId="0" xfId="0" applyNumberFormat="1"/>
    <xf numFmtId="167" fontId="0" fillId="0" borderId="0" xfId="0" applyNumberFormat="1" applyAlignment="1">
      <alignment horizontal="right"/>
    </xf>
    <xf numFmtId="0" fontId="3" fillId="0" borderId="0" xfId="0" applyFont="1"/>
    <xf numFmtId="0" fontId="3" fillId="0" borderId="0" xfId="0" applyFont="1" applyAlignment="1">
      <alignment horizontal="right"/>
    </xf>
    <xf numFmtId="166" fontId="3" fillId="0" borderId="0" xfId="0" applyNumberFormat="1" applyFont="1" applyAlignment="1">
      <alignment horizontal="right"/>
    </xf>
    <xf numFmtId="167" fontId="3" fillId="0" borderId="0" xfId="0" applyNumberFormat="1" applyFont="1" applyAlignment="1">
      <alignment horizontal="right"/>
    </xf>
    <xf numFmtId="11" fontId="3" fillId="0" borderId="0" xfId="0" applyNumberFormat="1" applyFont="1"/>
    <xf numFmtId="164" fontId="3" fillId="0" borderId="0" xfId="0" applyNumberFormat="1" applyFont="1" applyAlignment="1">
      <alignment horizontal="right"/>
    </xf>
    <xf numFmtId="2" fontId="3" fillId="0" borderId="0" xfId="0" applyNumberFormat="1" applyFont="1" applyAlignment="1">
      <alignment horizontal="right"/>
    </xf>
    <xf numFmtId="165" fontId="3" fillId="0" borderId="0" xfId="0" applyNumberFormat="1" applyFont="1"/>
    <xf numFmtId="10" fontId="3" fillId="0" borderId="0" xfId="1" applyNumberFormat="1" applyFont="1"/>
    <xf numFmtId="164" fontId="3" fillId="0" borderId="0" xfId="0" applyNumberFormat="1" applyFont="1"/>
    <xf numFmtId="2" fontId="3" fillId="0" borderId="0" xfId="0" applyNumberFormat="1" applyFont="1"/>
    <xf numFmtId="166" fontId="3" fillId="0" borderId="0" xfId="0" applyNumberFormat="1" applyFont="1"/>
    <xf numFmtId="11" fontId="3" fillId="0" borderId="0" xfId="0" applyNumberFormat="1" applyFont="1" applyAlignment="1">
      <alignment horizontal="right"/>
    </xf>
    <xf numFmtId="165" fontId="0" fillId="0" borderId="0" xfId="0" applyNumberFormat="1" applyAlignment="1">
      <alignment horizontal="right"/>
    </xf>
    <xf numFmtId="167" fontId="0" fillId="0" borderId="0" xfId="0" applyNumberFormat="1"/>
    <xf numFmtId="1" fontId="0" fillId="0" borderId="0" xfId="0" applyNumberFormat="1"/>
    <xf numFmtId="11" fontId="0" fillId="0" borderId="0" xfId="1" applyNumberFormat="1" applyFont="1"/>
    <xf numFmtId="0" fontId="1" fillId="0" borderId="0" xfId="0" applyFont="1" applyAlignment="1">
      <alignment horizontal="right"/>
    </xf>
    <xf numFmtId="0" fontId="5" fillId="0" borderId="0" xfId="0" applyFont="1" applyAlignment="1">
      <alignment vertical="center"/>
    </xf>
    <xf numFmtId="166" fontId="5" fillId="0" borderId="0" xfId="0" applyNumberFormat="1" applyFont="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WM+SMAG (AR=2)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CHA_RETAU5200!$F$168:$F$180</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CHA_RETAU5200!$R$168:$R$180</c:f>
              <c:numCache>
                <c:formatCode>0.00%</c:formatCode>
                <c:ptCount val="13"/>
                <c:pt idx="0">
                  <c:v>1.6013025685317126E-2</c:v>
                </c:pt>
                <c:pt idx="1">
                  <c:v>5.8500017131820667E-2</c:v>
                </c:pt>
                <c:pt idx="2">
                  <c:v>6.2778911264314799E-2</c:v>
                </c:pt>
                <c:pt idx="3">
                  <c:v>5.443612964938397E-2</c:v>
                </c:pt>
                <c:pt idx="4">
                  <c:v>3.051391755326071E-2</c:v>
                </c:pt>
                <c:pt idx="5">
                  <c:v>8.8185124937926827E-3</c:v>
                </c:pt>
                <c:pt idx="6">
                  <c:v>-1.2448585384450362E-2</c:v>
                </c:pt>
                <c:pt idx="7">
                  <c:v>-2.7811164914811191E-2</c:v>
                </c:pt>
                <c:pt idx="8">
                  <c:v>-4.2023750684543643E-2</c:v>
                </c:pt>
                <c:pt idx="9">
                  <c:v>-4.8780412130750003E-2</c:v>
                </c:pt>
                <c:pt idx="10">
                  <c:v>-7.8551048009982034E-3</c:v>
                </c:pt>
                <c:pt idx="11">
                  <c:v>4.2427896975116407E-3</c:v>
                </c:pt>
                <c:pt idx="12">
                  <c:v>2.5744718710933633E-3</c:v>
                </c:pt>
              </c:numCache>
            </c:numRef>
          </c:yVal>
          <c:smooth val="0"/>
          <c:extLst>
            <c:ext xmlns:c16="http://schemas.microsoft.com/office/drawing/2014/chart" uri="{C3380CC4-5D6E-409C-BE32-E72D297353CC}">
              <c16:uniqueId val="{00000000-6E85-4A61-9ECC-EBE13C0CABC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CHA_RETAU5200!$F$168:$F$180</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CHA_RETAU5200!$Z$168:$Z$180</c:f>
              <c:numCache>
                <c:formatCode>0.00%</c:formatCode>
                <c:ptCount val="13"/>
                <c:pt idx="0">
                  <c:v>8.1374458436640901E-3</c:v>
                </c:pt>
                <c:pt idx="1">
                  <c:v>1.0291700344364401E-2</c:v>
                </c:pt>
                <c:pt idx="2">
                  <c:v>9.6418369512758593E-3</c:v>
                </c:pt>
                <c:pt idx="3">
                  <c:v>6.6498161606922896E-3</c:v>
                </c:pt>
                <c:pt idx="4">
                  <c:v>5.3619806784573803E-3</c:v>
                </c:pt>
                <c:pt idx="5">
                  <c:v>9.3760902893943697E-3</c:v>
                </c:pt>
                <c:pt idx="6">
                  <c:v>1.47744676482963E-2</c:v>
                </c:pt>
                <c:pt idx="7">
                  <c:v>1.83050915479127E-2</c:v>
                </c:pt>
                <c:pt idx="8">
                  <c:v>2.1919296820855399E-2</c:v>
                </c:pt>
                <c:pt idx="9">
                  <c:v>1.9057241727905301E-2</c:v>
                </c:pt>
                <c:pt idx="10">
                  <c:v>6.2920106128129096E-3</c:v>
                </c:pt>
                <c:pt idx="11">
                  <c:v>3.0434460612171399E-3</c:v>
                </c:pt>
                <c:pt idx="12">
                  <c:v>4.8797389508992497E-3</c:v>
                </c:pt>
              </c:numCache>
            </c:numRef>
          </c:yVal>
          <c:smooth val="0"/>
          <c:extLst>
            <c:ext xmlns:c16="http://schemas.microsoft.com/office/drawing/2014/chart" uri="{C3380CC4-5D6E-409C-BE32-E72D297353CC}">
              <c16:uniqueId val="{00000018-6E85-4A61-9ECC-EBE13C0CABCA}"/>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CHA_RETAU5200!$F$168:$F$180</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CHA_RETAU5200!$AA$168:$AA$180</c:f>
              <c:numCache>
                <c:formatCode>0.00%</c:formatCode>
                <c:ptCount val="13"/>
                <c:pt idx="0">
                  <c:v>0.14030277531862001</c:v>
                </c:pt>
                <c:pt idx="1">
                  <c:v>0.12140688794154</c:v>
                </c:pt>
                <c:pt idx="2">
                  <c:v>0.17867225185386301</c:v>
                </c:pt>
                <c:pt idx="3">
                  <c:v>0.27874295635731899</c:v>
                </c:pt>
                <c:pt idx="4">
                  <c:v>0.31400954594295499</c:v>
                </c:pt>
                <c:pt idx="5">
                  <c:v>0.34486050425797399</c:v>
                </c:pt>
                <c:pt idx="6">
                  <c:v>0.36103220760070998</c:v>
                </c:pt>
                <c:pt idx="7">
                  <c:v>0.34868459120323803</c:v>
                </c:pt>
                <c:pt idx="8">
                  <c:v>0.34288459480380201</c:v>
                </c:pt>
                <c:pt idx="9">
                  <c:v>0.12797959577268</c:v>
                </c:pt>
                <c:pt idx="10">
                  <c:v>7.6028399316397405E-2</c:v>
                </c:pt>
                <c:pt idx="11">
                  <c:v>0.12108583834994199</c:v>
                </c:pt>
                <c:pt idx="12">
                  <c:v>7.5309130077987604E-2</c:v>
                </c:pt>
              </c:numCache>
            </c:numRef>
          </c:yVal>
          <c:smooth val="0"/>
          <c:extLst>
            <c:ext xmlns:c16="http://schemas.microsoft.com/office/drawing/2014/chart" uri="{C3380CC4-5D6E-409C-BE32-E72D297353CC}">
              <c16:uniqueId val="{00000019-6E85-4A61-9ECC-EBE13C0CABCA}"/>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CHA_RETAU5200!$F$168:$F$180</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CHA_RETAU5200!$AB$168:$AB$180</c:f>
              <c:numCache>
                <c:formatCode>0.00%</c:formatCode>
                <c:ptCount val="13"/>
                <c:pt idx="0">
                  <c:v>0.40911936641124003</c:v>
                </c:pt>
                <c:pt idx="1">
                  <c:v>0.34015502480290399</c:v>
                </c:pt>
                <c:pt idx="2">
                  <c:v>0.30049271312956399</c:v>
                </c:pt>
                <c:pt idx="3">
                  <c:v>0.247018909134438</c:v>
                </c:pt>
                <c:pt idx="4">
                  <c:v>0.23701064085808099</c:v>
                </c:pt>
                <c:pt idx="5">
                  <c:v>0.23155067801601401</c:v>
                </c:pt>
                <c:pt idx="6">
                  <c:v>0.232246384611588</c:v>
                </c:pt>
                <c:pt idx="7">
                  <c:v>0.23130428870365199</c:v>
                </c:pt>
                <c:pt idx="8">
                  <c:v>0.225745523324139</c:v>
                </c:pt>
                <c:pt idx="9">
                  <c:v>0.188559927251852</c:v>
                </c:pt>
                <c:pt idx="10">
                  <c:v>0.12162269818152199</c:v>
                </c:pt>
                <c:pt idx="11">
                  <c:v>7.0555853391586501E-2</c:v>
                </c:pt>
                <c:pt idx="12">
                  <c:v>2.1459005741361201E-2</c:v>
                </c:pt>
              </c:numCache>
            </c:numRef>
          </c:yVal>
          <c:smooth val="0"/>
          <c:extLst>
            <c:ext xmlns:c16="http://schemas.microsoft.com/office/drawing/2014/chart" uri="{C3380CC4-5D6E-409C-BE32-E72D297353CC}">
              <c16:uniqueId val="{0000001A-6E85-4A61-9ECC-EBE13C0CABCA}"/>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CHA_RETAU5200!$F$168:$F$180</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CHA_RETAU5200!$AC$168:$AC$180</c:f>
              <c:numCache>
                <c:formatCode>0.00%</c:formatCode>
                <c:ptCount val="13"/>
                <c:pt idx="0">
                  <c:v>0.47761534608803402</c:v>
                </c:pt>
                <c:pt idx="1">
                  <c:v>0.333198110825904</c:v>
                </c:pt>
                <c:pt idx="2">
                  <c:v>0.27356908176942601</c:v>
                </c:pt>
                <c:pt idx="3">
                  <c:v>0.18033203385498001</c:v>
                </c:pt>
                <c:pt idx="4">
                  <c:v>0.15694826468314099</c:v>
                </c:pt>
                <c:pt idx="5">
                  <c:v>0.15233581973381799</c:v>
                </c:pt>
                <c:pt idx="6">
                  <c:v>0.15903044654883</c:v>
                </c:pt>
                <c:pt idx="7">
                  <c:v>0.162731357871821</c:v>
                </c:pt>
                <c:pt idx="8">
                  <c:v>0.160732243097053</c:v>
                </c:pt>
                <c:pt idx="9">
                  <c:v>0.131245505104197</c:v>
                </c:pt>
                <c:pt idx="10">
                  <c:v>6.4232377979066904E-2</c:v>
                </c:pt>
                <c:pt idx="11">
                  <c:v>4.95550437514383E-2</c:v>
                </c:pt>
                <c:pt idx="12">
                  <c:v>2.5919183798633599E-2</c:v>
                </c:pt>
              </c:numCache>
            </c:numRef>
          </c:yVal>
          <c:smooth val="0"/>
          <c:extLst>
            <c:ext xmlns:c16="http://schemas.microsoft.com/office/drawing/2014/chart" uri="{C3380CC4-5D6E-409C-BE32-E72D297353CC}">
              <c16:uniqueId val="{0000001B-6E85-4A61-9ECC-EBE13C0CABCA}"/>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CHA_RETAU5200!$F$168:$F$180</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CHA_RETAU5200!$AD$168:$AD$180</c:f>
              <c:numCache>
                <c:formatCode>0.00%</c:formatCode>
                <c:ptCount val="13"/>
                <c:pt idx="0">
                  <c:v>6.8425867151283695E-2</c:v>
                </c:pt>
                <c:pt idx="1">
                  <c:v>3.4836067306288701E-2</c:v>
                </c:pt>
                <c:pt idx="2">
                  <c:v>4.74540475432213E-2</c:v>
                </c:pt>
                <c:pt idx="3">
                  <c:v>4.5830604060374099E-2</c:v>
                </c:pt>
                <c:pt idx="4">
                  <c:v>2.8926251203706999E-2</c:v>
                </c:pt>
                <c:pt idx="5">
                  <c:v>5.94708062103018E-3</c:v>
                </c:pt>
                <c:pt idx="6">
                  <c:v>1.53269903148251E-2</c:v>
                </c:pt>
                <c:pt idx="7">
                  <c:v>3.1556433917629897E-2</c:v>
                </c:pt>
                <c:pt idx="8">
                  <c:v>4.2612260090280997E-2</c:v>
                </c:pt>
                <c:pt idx="9">
                  <c:v>5.75133962105095E-2</c:v>
                </c:pt>
                <c:pt idx="10">
                  <c:v>6.25038811576449E-3</c:v>
                </c:pt>
                <c:pt idx="11">
                  <c:v>1.7983353464293399E-2</c:v>
                </c:pt>
                <c:pt idx="12">
                  <c:v>1.3654431269561999E-2</c:v>
                </c:pt>
              </c:numCache>
            </c:numRef>
          </c:yVal>
          <c:smooth val="0"/>
          <c:extLst>
            <c:ext xmlns:c16="http://schemas.microsoft.com/office/drawing/2014/chart" uri="{C3380CC4-5D6E-409C-BE32-E72D297353CC}">
              <c16:uniqueId val="{0000001C-6E85-4A61-9ECC-EBE13C0CABCA}"/>
            </c:ext>
          </c:extLst>
        </c:ser>
        <c:dLbls>
          <c:showLegendKey val="0"/>
          <c:showVal val="0"/>
          <c:showCatName val="0"/>
          <c:showSerName val="0"/>
          <c:showPercent val="0"/>
          <c:showBubbleSize val="0"/>
        </c:dLbls>
        <c:axId val="1014872560"/>
        <c:axId val="1014873040"/>
      </c:scatterChart>
      <c:valAx>
        <c:axId val="10148725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73040"/>
        <c:crosses val="autoZero"/>
        <c:crossBetween val="midCat"/>
      </c:valAx>
      <c:valAx>
        <c:axId val="1014873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72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WM+DSMAG (AR=2)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CHA_RETAU5200!$F$186:$F$198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CHA_RETAU5200!$R$186:$R$198</c:f>
              <c:numCache>
                <c:formatCode>0.00%</c:formatCode>
                <c:ptCount val="13"/>
                <c:pt idx="0">
                  <c:v>6.8302776473775417E-2</c:v>
                </c:pt>
                <c:pt idx="1">
                  <c:v>6.6860778208692406E-2</c:v>
                </c:pt>
                <c:pt idx="2">
                  <c:v>6.6489708021980135E-2</c:v>
                </c:pt>
                <c:pt idx="3">
                  <c:v>5.9633836849215673E-2</c:v>
                </c:pt>
                <c:pt idx="4">
                  <c:v>4.218232348862571E-2</c:v>
                </c:pt>
                <c:pt idx="5">
                  <c:v>2.2675020653809809E-2</c:v>
                </c:pt>
                <c:pt idx="6">
                  <c:v>2.6804269482594871E-3</c:v>
                </c:pt>
                <c:pt idx="7">
                  <c:v>-1.6650500846790883E-2</c:v>
                </c:pt>
                <c:pt idx="8">
                  <c:v>-2.85138451996991E-2</c:v>
                </c:pt>
                <c:pt idx="9">
                  <c:v>-4.5480315911212876E-2</c:v>
                </c:pt>
                <c:pt idx="10">
                  <c:v>-1.7215062741492232E-2</c:v>
                </c:pt>
                <c:pt idx="11">
                  <c:v>7.3799940295308552E-3</c:v>
                </c:pt>
                <c:pt idx="12">
                  <c:v>1.2995455309943555E-2</c:v>
                </c:pt>
              </c:numCache>
            </c:numRef>
          </c:yVal>
          <c:smooth val="0"/>
          <c:extLst>
            <c:ext xmlns:c16="http://schemas.microsoft.com/office/drawing/2014/chart" uri="{C3380CC4-5D6E-409C-BE32-E72D297353CC}">
              <c16:uniqueId val="{00000000-76DD-4F61-AD49-0A0E73B0B55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CHA_RETAU5200!$F$186:$F$198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CHA_RETAU5200!$Z$186:$Z$198</c:f>
              <c:numCache>
                <c:formatCode>0.00%</c:formatCode>
                <c:ptCount val="13"/>
                <c:pt idx="0">
                  <c:v>1.03148227504835E-2</c:v>
                </c:pt>
                <c:pt idx="1">
                  <c:v>1.3180893836384801E-2</c:v>
                </c:pt>
                <c:pt idx="2">
                  <c:v>1.28247699060928E-2</c:v>
                </c:pt>
                <c:pt idx="3">
                  <c:v>9.2375510133383496E-3</c:v>
                </c:pt>
                <c:pt idx="4">
                  <c:v>5.1662576224237797E-3</c:v>
                </c:pt>
                <c:pt idx="5">
                  <c:v>6.2592707258047799E-3</c:v>
                </c:pt>
                <c:pt idx="6">
                  <c:v>1.11844516140229E-2</c:v>
                </c:pt>
                <c:pt idx="7">
                  <c:v>1.6361924251962E-2</c:v>
                </c:pt>
                <c:pt idx="8">
                  <c:v>1.9045134676378899E-2</c:v>
                </c:pt>
                <c:pt idx="9">
                  <c:v>2.0861014188066102E-2</c:v>
                </c:pt>
                <c:pt idx="10">
                  <c:v>9.4730747786901E-3</c:v>
                </c:pt>
                <c:pt idx="11">
                  <c:v>2.4572638248141101E-3</c:v>
                </c:pt>
                <c:pt idx="12">
                  <c:v>1.48479590161571E-3</c:v>
                </c:pt>
              </c:numCache>
            </c:numRef>
          </c:yVal>
          <c:smooth val="0"/>
          <c:extLst>
            <c:ext xmlns:c16="http://schemas.microsoft.com/office/drawing/2014/chart" uri="{C3380CC4-5D6E-409C-BE32-E72D297353CC}">
              <c16:uniqueId val="{00000006-76DD-4F61-AD49-0A0E73B0B55A}"/>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CHA_RETAU5200!$F$186:$F$198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CHA_RETAU5200!$AA$186:$AA$198</c:f>
              <c:numCache>
                <c:formatCode>0.00%</c:formatCode>
                <c:ptCount val="13"/>
                <c:pt idx="0">
                  <c:v>6.6279102401767598E-2</c:v>
                </c:pt>
                <c:pt idx="1">
                  <c:v>0.16415314824883401</c:v>
                </c:pt>
                <c:pt idx="2">
                  <c:v>0.211556266088582</c:v>
                </c:pt>
                <c:pt idx="3">
                  <c:v>0.28758830191032903</c:v>
                </c:pt>
                <c:pt idx="4">
                  <c:v>0.33484486289657001</c:v>
                </c:pt>
                <c:pt idx="5">
                  <c:v>0.34965921357218099</c:v>
                </c:pt>
                <c:pt idx="6">
                  <c:v>0.352383873471389</c:v>
                </c:pt>
                <c:pt idx="7">
                  <c:v>0.34894761299317201</c:v>
                </c:pt>
                <c:pt idx="8">
                  <c:v>0.32773518603321</c:v>
                </c:pt>
                <c:pt idx="9">
                  <c:v>0.16617709650318099</c:v>
                </c:pt>
                <c:pt idx="10">
                  <c:v>5.6949281753083399E-2</c:v>
                </c:pt>
                <c:pt idx="11">
                  <c:v>0.14156581511096999</c:v>
                </c:pt>
                <c:pt idx="12">
                  <c:v>0.118369543574586</c:v>
                </c:pt>
              </c:numCache>
            </c:numRef>
          </c:yVal>
          <c:smooth val="0"/>
          <c:extLst>
            <c:ext xmlns:c16="http://schemas.microsoft.com/office/drawing/2014/chart" uri="{C3380CC4-5D6E-409C-BE32-E72D297353CC}">
              <c16:uniqueId val="{00000007-76DD-4F61-AD49-0A0E73B0B55A}"/>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CHA_RETAU5200!$F$186:$F$198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CHA_RETAU5200!$AB$186:$AB$198</c:f>
              <c:numCache>
                <c:formatCode>0.00%</c:formatCode>
                <c:ptCount val="13"/>
                <c:pt idx="0">
                  <c:v>0.28789746728961402</c:v>
                </c:pt>
                <c:pt idx="1">
                  <c:v>0.26941368914218899</c:v>
                </c:pt>
                <c:pt idx="2">
                  <c:v>0.25442455042245998</c:v>
                </c:pt>
                <c:pt idx="3">
                  <c:v>0.22269440890061701</c:v>
                </c:pt>
                <c:pt idx="4">
                  <c:v>0.210289907590618</c:v>
                </c:pt>
                <c:pt idx="5">
                  <c:v>0.204986395580354</c:v>
                </c:pt>
                <c:pt idx="6">
                  <c:v>0.208213615227759</c:v>
                </c:pt>
                <c:pt idx="7">
                  <c:v>0.21113308793844099</c:v>
                </c:pt>
                <c:pt idx="8">
                  <c:v>0.20508736040085501</c:v>
                </c:pt>
                <c:pt idx="9">
                  <c:v>0.183545647760917</c:v>
                </c:pt>
                <c:pt idx="10">
                  <c:v>0.123804493175297</c:v>
                </c:pt>
                <c:pt idx="11">
                  <c:v>5.4548654797481E-2</c:v>
                </c:pt>
                <c:pt idx="12">
                  <c:v>3.1007325283773899E-2</c:v>
                </c:pt>
              </c:numCache>
            </c:numRef>
          </c:yVal>
          <c:smooth val="0"/>
          <c:extLst>
            <c:ext xmlns:c16="http://schemas.microsoft.com/office/drawing/2014/chart" uri="{C3380CC4-5D6E-409C-BE32-E72D297353CC}">
              <c16:uniqueId val="{00000008-76DD-4F61-AD49-0A0E73B0B55A}"/>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CHA_RETAU5200!$F$186:$F$198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CHA_RETAU5200!$AC$186:$AC$198</c:f>
              <c:numCache>
                <c:formatCode>0.00%</c:formatCode>
                <c:ptCount val="13"/>
                <c:pt idx="0">
                  <c:v>0.37615722733354401</c:v>
                </c:pt>
                <c:pt idx="1">
                  <c:v>0.29809316987139101</c:v>
                </c:pt>
                <c:pt idx="2">
                  <c:v>0.24132019963708601</c:v>
                </c:pt>
                <c:pt idx="3">
                  <c:v>0.165454466165911</c:v>
                </c:pt>
                <c:pt idx="4">
                  <c:v>0.131817394897843</c:v>
                </c:pt>
                <c:pt idx="5">
                  <c:v>0.12728669931883599</c:v>
                </c:pt>
                <c:pt idx="6">
                  <c:v>0.137463007526332</c:v>
                </c:pt>
                <c:pt idx="7">
                  <c:v>0.14336424096939299</c:v>
                </c:pt>
                <c:pt idx="8">
                  <c:v>0.14525371174290999</c:v>
                </c:pt>
                <c:pt idx="9">
                  <c:v>0.13207916778945</c:v>
                </c:pt>
                <c:pt idx="10">
                  <c:v>7.4501054774877506E-2</c:v>
                </c:pt>
                <c:pt idx="11">
                  <c:v>3.7969154877548199E-2</c:v>
                </c:pt>
                <c:pt idx="12">
                  <c:v>3.9104640700481898E-2</c:v>
                </c:pt>
              </c:numCache>
            </c:numRef>
          </c:yVal>
          <c:smooth val="0"/>
          <c:extLst>
            <c:ext xmlns:c16="http://schemas.microsoft.com/office/drawing/2014/chart" uri="{C3380CC4-5D6E-409C-BE32-E72D297353CC}">
              <c16:uniqueId val="{00000009-76DD-4F61-AD49-0A0E73B0B55A}"/>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CHA_RETAU5200!$F$186:$F$198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CHA_RETAU5200!$AD$186:$AD$198</c:f>
              <c:numCache>
                <c:formatCode>0.00%</c:formatCode>
                <c:ptCount val="13"/>
                <c:pt idx="0">
                  <c:v>3.4691826658924299E-2</c:v>
                </c:pt>
                <c:pt idx="1">
                  <c:v>3.3047473005200001E-2</c:v>
                </c:pt>
                <c:pt idx="2">
                  <c:v>4.3844540495885299E-2</c:v>
                </c:pt>
                <c:pt idx="3">
                  <c:v>4.2515544510483803E-2</c:v>
                </c:pt>
                <c:pt idx="4">
                  <c:v>3.06828031128147E-2</c:v>
                </c:pt>
                <c:pt idx="5">
                  <c:v>1.7175086005431401E-2</c:v>
                </c:pt>
                <c:pt idx="6">
                  <c:v>6.20207391333769E-3</c:v>
                </c:pt>
                <c:pt idx="7">
                  <c:v>2.0215732655441E-2</c:v>
                </c:pt>
                <c:pt idx="8">
                  <c:v>3.0582859037274899E-2</c:v>
                </c:pt>
                <c:pt idx="9">
                  <c:v>4.4177224802906798E-2</c:v>
                </c:pt>
                <c:pt idx="10">
                  <c:v>2.3234664080195401E-2</c:v>
                </c:pt>
                <c:pt idx="11">
                  <c:v>1.0713799547549E-2</c:v>
                </c:pt>
                <c:pt idx="12">
                  <c:v>2.65281907941304E-2</c:v>
                </c:pt>
              </c:numCache>
            </c:numRef>
          </c:yVal>
          <c:smooth val="0"/>
          <c:extLst>
            <c:ext xmlns:c16="http://schemas.microsoft.com/office/drawing/2014/chart" uri="{C3380CC4-5D6E-409C-BE32-E72D297353CC}">
              <c16:uniqueId val="{0000000A-76DD-4F61-AD49-0A0E73B0B55A}"/>
            </c:ext>
          </c:extLst>
        </c:ser>
        <c:dLbls>
          <c:showLegendKey val="0"/>
          <c:showVal val="0"/>
          <c:showCatName val="0"/>
          <c:showSerName val="0"/>
          <c:showPercent val="0"/>
          <c:showBubbleSize val="0"/>
        </c:dLbls>
        <c:axId val="1046714656"/>
        <c:axId val="1046715136"/>
      </c:scatterChart>
      <c:valAx>
        <c:axId val="1046714656"/>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15136"/>
        <c:crosses val="autoZero"/>
        <c:crossBetween val="midCat"/>
      </c:valAx>
      <c:valAx>
        <c:axId val="1046715136"/>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14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WM+SMAG (AR=1)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CHA_RETAU5200!$F$132:$F$140</c:f>
              <c:numCache>
                <c:formatCode>General</c:formatCode>
                <c:ptCount val="9"/>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numCache>
            </c:numRef>
          </c:xVal>
          <c:yVal>
            <c:numRef>
              <c:f>CHA_RETAU5200!$R$132:$R$140</c:f>
              <c:numCache>
                <c:formatCode>0.00%</c:formatCode>
                <c:ptCount val="9"/>
                <c:pt idx="0">
                  <c:v>-8.0599109250677758E-3</c:v>
                </c:pt>
                <c:pt idx="1">
                  <c:v>-1.1725483792676317E-2</c:v>
                </c:pt>
                <c:pt idx="2">
                  <c:v>-2.6994493157851468E-3</c:v>
                </c:pt>
                <c:pt idx="3">
                  <c:v>-1.4843456049206283E-2</c:v>
                </c:pt>
                <c:pt idx="4">
                  <c:v>-2.687154271486572E-2</c:v>
                </c:pt>
                <c:pt idx="5">
                  <c:v>-3.2220244202841239E-2</c:v>
                </c:pt>
                <c:pt idx="6">
                  <c:v>-3.3976875961109237E-2</c:v>
                </c:pt>
                <c:pt idx="7">
                  <c:v>-2.9078906820864777E-2</c:v>
                </c:pt>
                <c:pt idx="8">
                  <c:v>-2.4649987789377912E-2</c:v>
                </c:pt>
              </c:numCache>
            </c:numRef>
          </c:yVal>
          <c:smooth val="0"/>
          <c:extLst>
            <c:ext xmlns:c16="http://schemas.microsoft.com/office/drawing/2014/chart" uri="{C3380CC4-5D6E-409C-BE32-E72D297353CC}">
              <c16:uniqueId val="{00000000-5B0A-4F55-BE85-D54CFC19503E}"/>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CHA_RETAU5200!$F$132:$F$140</c:f>
              <c:numCache>
                <c:formatCode>General</c:formatCode>
                <c:ptCount val="9"/>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numCache>
            </c:numRef>
          </c:xVal>
          <c:yVal>
            <c:numRef>
              <c:f>CHA_RETAU5200!$Z$132:$Z$140</c:f>
              <c:numCache>
                <c:formatCode>0.00%</c:formatCode>
                <c:ptCount val="9"/>
                <c:pt idx="0">
                  <c:v>7.3167247469515797E-3</c:v>
                </c:pt>
                <c:pt idx="1">
                  <c:v>1.4469765475114599E-2</c:v>
                </c:pt>
                <c:pt idx="2">
                  <c:v>1.12326989897336E-2</c:v>
                </c:pt>
                <c:pt idx="3">
                  <c:v>1.31309924180197E-2</c:v>
                </c:pt>
                <c:pt idx="4">
                  <c:v>1.4478700239500901E-2</c:v>
                </c:pt>
                <c:pt idx="5">
                  <c:v>1.40712418746334E-2</c:v>
                </c:pt>
                <c:pt idx="6">
                  <c:v>1.38004344764709E-2</c:v>
                </c:pt>
                <c:pt idx="7">
                  <c:v>1.17681346669277E-2</c:v>
                </c:pt>
                <c:pt idx="8">
                  <c:v>9.4429832359676103E-3</c:v>
                </c:pt>
              </c:numCache>
            </c:numRef>
          </c:yVal>
          <c:smooth val="0"/>
          <c:extLst>
            <c:ext xmlns:c16="http://schemas.microsoft.com/office/drawing/2014/chart" uri="{C3380CC4-5D6E-409C-BE32-E72D297353CC}">
              <c16:uniqueId val="{00000001-5B0A-4F55-BE85-D54CFC19503E}"/>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CHA_RETAU5200!$F$132:$F$140</c:f>
              <c:numCache>
                <c:formatCode>General</c:formatCode>
                <c:ptCount val="9"/>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numCache>
            </c:numRef>
          </c:xVal>
          <c:yVal>
            <c:numRef>
              <c:f>CHA_RETAU5200!$AA$132:$AA$140</c:f>
              <c:numCache>
                <c:formatCode>0.00%</c:formatCode>
                <c:ptCount val="9"/>
                <c:pt idx="0">
                  <c:v>9.5714586961079207E-2</c:v>
                </c:pt>
                <c:pt idx="1">
                  <c:v>0.17246220609205901</c:v>
                </c:pt>
                <c:pt idx="2">
                  <c:v>0.16408139593351101</c:v>
                </c:pt>
                <c:pt idx="3">
                  <c:v>0.221314019463107</c:v>
                </c:pt>
                <c:pt idx="4">
                  <c:v>0.22120343499338699</c:v>
                </c:pt>
                <c:pt idx="5">
                  <c:v>0.19164930841876299</c:v>
                </c:pt>
                <c:pt idx="6">
                  <c:v>0.136417063264792</c:v>
                </c:pt>
                <c:pt idx="7">
                  <c:v>0.130512012078184</c:v>
                </c:pt>
                <c:pt idx="8">
                  <c:v>7.2235462387153601E-2</c:v>
                </c:pt>
              </c:numCache>
            </c:numRef>
          </c:yVal>
          <c:smooth val="0"/>
          <c:extLst>
            <c:ext xmlns:c16="http://schemas.microsoft.com/office/drawing/2014/chart" uri="{C3380CC4-5D6E-409C-BE32-E72D297353CC}">
              <c16:uniqueId val="{00000002-5B0A-4F55-BE85-D54CFC19503E}"/>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CHA_RETAU5200!$F$132:$F$140</c:f>
              <c:numCache>
                <c:formatCode>General</c:formatCode>
                <c:ptCount val="9"/>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numCache>
            </c:numRef>
          </c:xVal>
          <c:yVal>
            <c:numRef>
              <c:f>CHA_RETAU5200!$AB$132:$AB$140</c:f>
              <c:numCache>
                <c:formatCode>0.00%</c:formatCode>
                <c:ptCount val="9"/>
                <c:pt idx="0">
                  <c:v>0.31662384790013698</c:v>
                </c:pt>
                <c:pt idx="1">
                  <c:v>0.33519288482166099</c:v>
                </c:pt>
                <c:pt idx="2">
                  <c:v>0.31769899238410398</c:v>
                </c:pt>
                <c:pt idx="3">
                  <c:v>0.27411859428271801</c:v>
                </c:pt>
                <c:pt idx="4">
                  <c:v>0.24578556933496901</c:v>
                </c:pt>
                <c:pt idx="5">
                  <c:v>0.22151711119856701</c:v>
                </c:pt>
                <c:pt idx="6">
                  <c:v>0.19491862395951401</c:v>
                </c:pt>
                <c:pt idx="7">
                  <c:v>0.166543495577127</c:v>
                </c:pt>
                <c:pt idx="8">
                  <c:v>0.148906236029998</c:v>
                </c:pt>
              </c:numCache>
            </c:numRef>
          </c:yVal>
          <c:smooth val="0"/>
          <c:extLst>
            <c:ext xmlns:c16="http://schemas.microsoft.com/office/drawing/2014/chart" uri="{C3380CC4-5D6E-409C-BE32-E72D297353CC}">
              <c16:uniqueId val="{00000003-5B0A-4F55-BE85-D54CFC19503E}"/>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CHA_RETAU5200!$F$132:$F$140</c:f>
              <c:numCache>
                <c:formatCode>General</c:formatCode>
                <c:ptCount val="9"/>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numCache>
            </c:numRef>
          </c:xVal>
          <c:yVal>
            <c:numRef>
              <c:f>CHA_RETAU5200!$AC$132:$AC$140</c:f>
              <c:numCache>
                <c:formatCode>0.00%</c:formatCode>
                <c:ptCount val="9"/>
                <c:pt idx="0">
                  <c:v>0.372967190313931</c:v>
                </c:pt>
                <c:pt idx="1">
                  <c:v>0.343528951580715</c:v>
                </c:pt>
                <c:pt idx="2">
                  <c:v>0.32493435310961299</c:v>
                </c:pt>
                <c:pt idx="3">
                  <c:v>0.26780792890357802</c:v>
                </c:pt>
                <c:pt idx="4">
                  <c:v>0.23240961725786199</c:v>
                </c:pt>
                <c:pt idx="5">
                  <c:v>0.20553601940539201</c:v>
                </c:pt>
                <c:pt idx="6">
                  <c:v>0.180107532137495</c:v>
                </c:pt>
                <c:pt idx="7">
                  <c:v>0.15587975717806099</c:v>
                </c:pt>
                <c:pt idx="8">
                  <c:v>0.13744580484449601</c:v>
                </c:pt>
              </c:numCache>
            </c:numRef>
          </c:yVal>
          <c:smooth val="0"/>
          <c:extLst>
            <c:ext xmlns:c16="http://schemas.microsoft.com/office/drawing/2014/chart" uri="{C3380CC4-5D6E-409C-BE32-E72D297353CC}">
              <c16:uniqueId val="{00000004-5B0A-4F55-BE85-D54CFC19503E}"/>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CHA_RETAU5200!$F$132:$F$140</c:f>
              <c:numCache>
                <c:formatCode>General</c:formatCode>
                <c:ptCount val="9"/>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numCache>
            </c:numRef>
          </c:xVal>
          <c:yVal>
            <c:numRef>
              <c:f>CHA_RETAU5200!$AD$132:$AD$140</c:f>
              <c:numCache>
                <c:formatCode>0.00%</c:formatCode>
                <c:ptCount val="9"/>
                <c:pt idx="0">
                  <c:v>6.17754278824484E-2</c:v>
                </c:pt>
                <c:pt idx="1">
                  <c:v>3.7429761154987397E-2</c:v>
                </c:pt>
                <c:pt idx="2">
                  <c:v>1.9606840620253901E-2</c:v>
                </c:pt>
                <c:pt idx="3">
                  <c:v>2.56377764201987E-2</c:v>
                </c:pt>
                <c:pt idx="4">
                  <c:v>3.0572328426302399E-2</c:v>
                </c:pt>
                <c:pt idx="5">
                  <c:v>3.2962170379586798E-2</c:v>
                </c:pt>
                <c:pt idx="6">
                  <c:v>3.4703259803877902E-2</c:v>
                </c:pt>
                <c:pt idx="7">
                  <c:v>2.6045947140261001E-2</c:v>
                </c:pt>
                <c:pt idx="8">
                  <c:v>2.5018446155003999E-2</c:v>
                </c:pt>
              </c:numCache>
            </c:numRef>
          </c:yVal>
          <c:smooth val="0"/>
          <c:extLst>
            <c:ext xmlns:c16="http://schemas.microsoft.com/office/drawing/2014/chart" uri="{C3380CC4-5D6E-409C-BE32-E72D297353CC}">
              <c16:uniqueId val="{00000005-5B0A-4F55-BE85-D54CFC19503E}"/>
            </c:ext>
          </c:extLst>
        </c:ser>
        <c:dLbls>
          <c:showLegendKey val="0"/>
          <c:showVal val="0"/>
          <c:showCatName val="0"/>
          <c:showSerName val="0"/>
          <c:showPercent val="0"/>
          <c:showBubbleSize val="0"/>
        </c:dLbls>
        <c:axId val="1177116160"/>
        <c:axId val="1177114720"/>
      </c:scatterChart>
      <c:valAx>
        <c:axId val="11771161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14720"/>
        <c:crosses val="autoZero"/>
        <c:crossBetween val="midCat"/>
      </c:valAx>
      <c:valAx>
        <c:axId val="1177114720"/>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16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587383</xdr:colOff>
      <xdr:row>205</xdr:row>
      <xdr:rowOff>163939</xdr:rowOff>
    </xdr:from>
    <xdr:to>
      <xdr:col>17</xdr:col>
      <xdr:colOff>118349</xdr:colOff>
      <xdr:row>220</xdr:row>
      <xdr:rowOff>130457</xdr:rowOff>
    </xdr:to>
    <xdr:graphicFrame macro="">
      <xdr:nvGraphicFramePr>
        <xdr:cNvPr id="2" name="Chart 1">
          <a:extLst>
            <a:ext uri="{FF2B5EF4-FFF2-40B4-BE49-F238E27FC236}">
              <a16:creationId xmlns:a16="http://schemas.microsoft.com/office/drawing/2014/main" id="{E0582851-A25E-49BF-614B-4A16D237A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300190</xdr:colOff>
      <xdr:row>205</xdr:row>
      <xdr:rowOff>171154</xdr:rowOff>
    </xdr:from>
    <xdr:to>
      <xdr:col>22</xdr:col>
      <xdr:colOff>160202</xdr:colOff>
      <xdr:row>220</xdr:row>
      <xdr:rowOff>149218</xdr:rowOff>
    </xdr:to>
    <xdr:graphicFrame macro="">
      <xdr:nvGraphicFramePr>
        <xdr:cNvPr id="3" name="Chart 2">
          <a:extLst>
            <a:ext uri="{FF2B5EF4-FFF2-40B4-BE49-F238E27FC236}">
              <a16:creationId xmlns:a16="http://schemas.microsoft.com/office/drawing/2014/main" id="{D6278ED0-97D9-C955-257C-025B0BDD6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205</xdr:row>
      <xdr:rowOff>150958</xdr:rowOff>
    </xdr:from>
    <xdr:to>
      <xdr:col>10</xdr:col>
      <xdr:colOff>304512</xdr:colOff>
      <xdr:row>220</xdr:row>
      <xdr:rowOff>123249</xdr:rowOff>
    </xdr:to>
    <xdr:graphicFrame macro="">
      <xdr:nvGraphicFramePr>
        <xdr:cNvPr id="4" name="Chart 3">
          <a:extLst>
            <a:ext uri="{FF2B5EF4-FFF2-40B4-BE49-F238E27FC236}">
              <a16:creationId xmlns:a16="http://schemas.microsoft.com/office/drawing/2014/main" id="{CCD6DF89-0062-11F0-D2FB-E8226E3B9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6F6C20D-5E3D-4F22-8B7E-516755350520}">
  <we:reference id="wa200005502" version="1.0.0.11" store="en-US" storeType="OMEX"/>
  <we:alternateReferences>
    <we:reference id="wa200005502" version="1.0.0.11" store="wa200005502" storeType="OMEX"/>
  </we:alternateReferences>
  <we:properties>
    <we:property name="docId" value="&quot;wzXl2YbojozxBp3r-YSfv&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CF98-1AEF-4377-B501-C5B0D920E7E8}">
  <dimension ref="A1:H12"/>
  <sheetViews>
    <sheetView workbookViewId="0">
      <selection activeCell="D21" sqref="D21"/>
    </sheetView>
  </sheetViews>
  <sheetFormatPr defaultRowHeight="14.5"/>
  <cols>
    <col min="1" max="1" width="17.453125" customWidth="1"/>
    <col min="2" max="2" width="12.26953125" customWidth="1"/>
    <col min="4" max="4" width="27" customWidth="1"/>
    <col min="5" max="5" width="12.81640625" customWidth="1"/>
    <col min="7" max="7" width="19.453125" customWidth="1"/>
    <col min="8" max="8" width="19.6328125" customWidth="1"/>
  </cols>
  <sheetData>
    <row r="1" spans="1:8">
      <c r="A1" t="s">
        <v>174</v>
      </c>
      <c r="D1" t="s">
        <v>175</v>
      </c>
      <c r="G1" t="s">
        <v>176</v>
      </c>
    </row>
    <row r="2" spans="1:8">
      <c r="A2" t="s">
        <v>152</v>
      </c>
      <c r="B2">
        <v>5.0799999999999998E-2</v>
      </c>
      <c r="D2" t="s">
        <v>171</v>
      </c>
      <c r="E2" s="16">
        <f>9*2*3.1415/100</f>
        <v>0.56547000000000003</v>
      </c>
      <c r="G2" t="s">
        <v>160</v>
      </c>
      <c r="H2">
        <v>1</v>
      </c>
    </row>
    <row r="3" spans="1:8">
      <c r="A3" t="s">
        <v>153</v>
      </c>
      <c r="B3">
        <v>10</v>
      </c>
      <c r="D3" t="s">
        <v>172</v>
      </c>
      <c r="E3">
        <v>0.27189999999999998</v>
      </c>
      <c r="G3" t="s">
        <v>153</v>
      </c>
      <c r="H3">
        <v>1</v>
      </c>
    </row>
    <row r="4" spans="1:8">
      <c r="A4" t="s">
        <v>157</v>
      </c>
      <c r="B4">
        <f>42*B$2/B$3</f>
        <v>0.21335999999999999</v>
      </c>
      <c r="D4" t="s">
        <v>154</v>
      </c>
      <c r="E4">
        <f>$B4*E$3/E$2</f>
        <v>0.10259179797336727</v>
      </c>
      <c r="G4" t="s">
        <v>154</v>
      </c>
      <c r="H4">
        <f>$B4*H$3/H$2</f>
        <v>0.21335999999999999</v>
      </c>
    </row>
    <row r="5" spans="1:8">
      <c r="A5" t="s">
        <v>158</v>
      </c>
      <c r="B5">
        <f>98*B$2/B$3</f>
        <v>0.49783999999999995</v>
      </c>
      <c r="D5" t="s">
        <v>155</v>
      </c>
      <c r="E5">
        <f t="shared" ref="E5:E6" si="0">$B5*E$3/E$2</f>
        <v>0.23938086193785696</v>
      </c>
      <c r="G5" t="s">
        <v>155</v>
      </c>
      <c r="H5">
        <f t="shared" ref="H5:H6" si="1">$B5*H$3/H$2</f>
        <v>0.49783999999999995</v>
      </c>
    </row>
    <row r="6" spans="1:8">
      <c r="A6" t="s">
        <v>159</v>
      </c>
      <c r="B6">
        <f>171*B$2/B$3</f>
        <v>0.86868000000000001</v>
      </c>
      <c r="D6" t="s">
        <v>156</v>
      </c>
      <c r="E6">
        <f t="shared" si="0"/>
        <v>0.41769517746299528</v>
      </c>
      <c r="G6" t="s">
        <v>156</v>
      </c>
      <c r="H6">
        <f t="shared" si="1"/>
        <v>0.86868000000000001</v>
      </c>
    </row>
    <row r="7" spans="1:8">
      <c r="A7" t="s">
        <v>161</v>
      </c>
      <c r="B7">
        <f>B4-B$4</f>
        <v>0</v>
      </c>
      <c r="D7" t="s">
        <v>164</v>
      </c>
      <c r="E7">
        <f>E4-E$4</f>
        <v>0</v>
      </c>
      <c r="G7" t="s">
        <v>164</v>
      </c>
      <c r="H7">
        <v>0</v>
      </c>
    </row>
    <row r="8" spans="1:8">
      <c r="A8" t="s">
        <v>162</v>
      </c>
      <c r="B8">
        <f t="shared" ref="B8:B9" si="2">B5-B$4</f>
        <v>0.28447999999999996</v>
      </c>
      <c r="D8" t="s">
        <v>165</v>
      </c>
      <c r="E8">
        <f t="shared" ref="E8:E9" si="3">E5-E$4</f>
        <v>0.1367890639644897</v>
      </c>
      <c r="G8" t="s">
        <v>165</v>
      </c>
      <c r="H8" s="16">
        <f t="shared" ref="H8:H9" si="4">H5-H$4</f>
        <v>0.28447999999999996</v>
      </c>
    </row>
    <row r="9" spans="1:8">
      <c r="A9" t="s">
        <v>163</v>
      </c>
      <c r="B9">
        <f t="shared" si="2"/>
        <v>0.65532000000000001</v>
      </c>
      <c r="D9" t="s">
        <v>166</v>
      </c>
      <c r="E9">
        <f t="shared" si="3"/>
        <v>0.31510337948962802</v>
      </c>
      <c r="G9" t="s">
        <v>166</v>
      </c>
      <c r="H9" s="16">
        <f t="shared" si="4"/>
        <v>0.65532000000000001</v>
      </c>
    </row>
    <row r="10" spans="1:8">
      <c r="A10" t="s">
        <v>167</v>
      </c>
      <c r="B10">
        <v>34000</v>
      </c>
      <c r="D10" t="s">
        <v>173</v>
      </c>
      <c r="E10" s="33">
        <f>E3*E2/E11</f>
        <v>10290.440870078739</v>
      </c>
      <c r="G10" t="s">
        <v>170</v>
      </c>
      <c r="H10" s="33">
        <f>H2*H3/E11</f>
        <v>66929.133858267713</v>
      </c>
    </row>
    <row r="11" spans="1:8">
      <c r="A11" t="s">
        <v>169</v>
      </c>
      <c r="B11">
        <f>B3*B2/B10</f>
        <v>1.4941176470588235E-5</v>
      </c>
      <c r="D11" t="s">
        <v>169</v>
      </c>
      <c r="E11">
        <f>B11</f>
        <v>1.4941176470588235E-5</v>
      </c>
      <c r="G11" t="s">
        <v>168</v>
      </c>
      <c r="H11">
        <f>E11/(H2*H3)</f>
        <v>1.4941176470588235E-5</v>
      </c>
    </row>
    <row r="12" spans="1:8">
      <c r="D12" t="s">
        <v>178</v>
      </c>
      <c r="E12" s="7">
        <f>0.00159*E2/E3</f>
        <v>3.3067204854726009E-3</v>
      </c>
      <c r="G12" t="s">
        <v>177</v>
      </c>
      <c r="H12" s="7">
        <f>E12*H3/H2</f>
        <v>3.3067204854726009E-3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B825A-8F5D-4559-BC02-F7413FCCDF08}">
  <dimension ref="A1:X59"/>
  <sheetViews>
    <sheetView topLeftCell="A10" zoomScale="55" zoomScaleNormal="55" workbookViewId="0">
      <selection activeCell="J50" sqref="J50"/>
    </sheetView>
  </sheetViews>
  <sheetFormatPr defaultRowHeight="14.5"/>
  <cols>
    <col min="1" max="1" width="25.7265625" customWidth="1"/>
    <col min="2" max="2" width="17.54296875" customWidth="1"/>
    <col min="3" max="3" width="15.54296875" customWidth="1"/>
    <col min="4" max="4" width="13" customWidth="1"/>
    <col min="5" max="5" width="11.1796875" customWidth="1"/>
    <col min="6" max="6" width="11.453125" customWidth="1"/>
    <col min="7" max="7" width="14.26953125" customWidth="1"/>
    <col min="8" max="8" width="11.81640625" customWidth="1"/>
    <col min="9" max="9" width="12.26953125" customWidth="1"/>
    <col min="10" max="10" width="20.7265625" customWidth="1"/>
    <col min="13" max="13" width="10" customWidth="1"/>
    <col min="14" max="14" width="10.81640625" customWidth="1"/>
    <col min="15" max="15" width="11.453125" customWidth="1"/>
    <col min="16" max="16" width="12.54296875" customWidth="1"/>
    <col min="18" max="18" width="14.1796875" customWidth="1"/>
    <col min="19" max="19" width="16.1796875" customWidth="1"/>
    <col min="20" max="20" width="13" customWidth="1"/>
    <col min="21" max="21" width="12.1796875" customWidth="1"/>
    <col min="22" max="22" width="11.7265625" customWidth="1"/>
    <col min="23" max="23" width="13" customWidth="1"/>
    <col min="24" max="24" width="13.453125" customWidth="1"/>
  </cols>
  <sheetData>
    <row r="1" spans="1:24">
      <c r="B1" s="3" t="s">
        <v>2</v>
      </c>
      <c r="C1" s="3" t="s">
        <v>3</v>
      </c>
      <c r="D1" s="3" t="s">
        <v>4</v>
      </c>
      <c r="E1" s="3" t="s">
        <v>0</v>
      </c>
      <c r="F1" s="3" t="s">
        <v>1</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row>
    <row r="2" spans="1:24">
      <c r="A2" t="s">
        <v>23</v>
      </c>
      <c r="B2" s="3">
        <v>5714</v>
      </c>
      <c r="C2" s="3" t="s">
        <v>24</v>
      </c>
      <c r="D2" s="3" t="s">
        <v>25</v>
      </c>
      <c r="E2" s="3">
        <v>0.1</v>
      </c>
      <c r="F2" s="3">
        <v>0.1</v>
      </c>
      <c r="G2">
        <f>F2</f>
        <v>0.1</v>
      </c>
      <c r="H2" s="3">
        <f>0.25*G2</f>
        <v>2.5000000000000001E-2</v>
      </c>
      <c r="I2" s="3">
        <v>1</v>
      </c>
      <c r="J2" s="3" t="s">
        <v>26</v>
      </c>
      <c r="K2" s="3" t="s">
        <v>27</v>
      </c>
      <c r="L2">
        <v>0.1</v>
      </c>
      <c r="M2" s="6">
        <f>L2/H2</f>
        <v>4</v>
      </c>
      <c r="N2" s="10">
        <v>180.601843765257</v>
      </c>
      <c r="O2" s="2">
        <v>179.99818440102101</v>
      </c>
      <c r="P2">
        <f>8*(N2/B2)^2</f>
        <v>7.9919705400696046E-3</v>
      </c>
      <c r="Q2" s="7">
        <f>8*(O2/B2)^2</f>
        <v>7.9386337085019347E-3</v>
      </c>
      <c r="R2" s="8">
        <f>(Q2-P2)/P2</f>
        <v>-6.6738023245022388E-3</v>
      </c>
      <c r="S2" s="6">
        <f>100*2*O2/B2</f>
        <v>6.3002514666090654</v>
      </c>
      <c r="T2" s="2">
        <f>B2/4*P2</f>
        <v>11.416529916489431</v>
      </c>
      <c r="U2" s="6">
        <f>E2*N2</f>
        <v>18.060184376525701</v>
      </c>
      <c r="V2" s="6">
        <f>F2*O2</f>
        <v>17.9998184401021</v>
      </c>
      <c r="W2" s="6">
        <f>G2*N2</f>
        <v>18.060184376525701</v>
      </c>
      <c r="X2" s="2">
        <f>H2*N2</f>
        <v>4.5150460941314252</v>
      </c>
    </row>
    <row r="3" spans="1:24">
      <c r="A3" t="s">
        <v>23</v>
      </c>
      <c r="B3" s="3">
        <v>5714</v>
      </c>
      <c r="C3" s="3" t="s">
        <v>24</v>
      </c>
      <c r="D3" s="3" t="s">
        <v>28</v>
      </c>
      <c r="E3" s="3">
        <v>6.7000000000000004E-2</v>
      </c>
      <c r="F3" s="3">
        <v>6.7000000000000004E-2</v>
      </c>
      <c r="G3">
        <f>F3</f>
        <v>6.7000000000000004E-2</v>
      </c>
      <c r="H3" s="3">
        <f>0.25*G3</f>
        <v>1.6750000000000001E-2</v>
      </c>
      <c r="I3" s="3">
        <v>1</v>
      </c>
      <c r="J3" s="3" t="s">
        <v>26</v>
      </c>
      <c r="K3" s="3" t="s">
        <v>27</v>
      </c>
      <c r="L3">
        <v>0.1</v>
      </c>
      <c r="M3" s="6">
        <f t="shared" ref="M3:M5" si="0">L3/H3</f>
        <v>5.9701492537313436</v>
      </c>
      <c r="N3" s="10">
        <v>180.601843765257</v>
      </c>
      <c r="O3" s="2">
        <v>182.74010750150001</v>
      </c>
      <c r="P3">
        <f>8*(N3/B3)^2</f>
        <v>7.9919705400696046E-3</v>
      </c>
      <c r="Q3" s="7">
        <f t="shared" ref="Q3:Q6" si="1">8*(O3/B3)^2</f>
        <v>8.1823352010309113E-3</v>
      </c>
      <c r="R3" s="8">
        <f t="shared" ref="R3:R6" si="2">(Q3-P3)/P3</f>
        <v>2.3819489825052425E-2</v>
      </c>
      <c r="S3" s="6">
        <f t="shared" ref="S3:S6" si="3">100*2*O3/B3</f>
        <v>6.396223573731187</v>
      </c>
      <c r="T3" s="2">
        <f t="shared" ref="T3:T6" si="4">B3/4*P3</f>
        <v>11.416529916489431</v>
      </c>
      <c r="U3" s="6">
        <f t="shared" ref="U3:U6" si="5">E3*N3</f>
        <v>12.10032353227222</v>
      </c>
      <c r="V3" s="6">
        <f t="shared" ref="V3:V6" si="6">F3*O3</f>
        <v>12.243587202600501</v>
      </c>
      <c r="W3" s="6">
        <f t="shared" ref="W3:W6" si="7">G3*N3</f>
        <v>12.10032353227222</v>
      </c>
      <c r="X3" s="2">
        <f t="shared" ref="X3:X6" si="8">H3*N3</f>
        <v>3.0250808830680551</v>
      </c>
    </row>
    <row r="4" spans="1:24">
      <c r="A4" t="s">
        <v>23</v>
      </c>
      <c r="B4" s="3">
        <v>5714</v>
      </c>
      <c r="C4" s="3" t="s">
        <v>24</v>
      </c>
      <c r="D4" s="3" t="s">
        <v>29</v>
      </c>
      <c r="E4" s="3">
        <v>0.05</v>
      </c>
      <c r="F4" s="3">
        <v>0.05</v>
      </c>
      <c r="G4">
        <f>F4</f>
        <v>0.05</v>
      </c>
      <c r="H4" s="3">
        <f>0.25*G4</f>
        <v>1.2500000000000001E-2</v>
      </c>
      <c r="I4" s="3">
        <v>1</v>
      </c>
      <c r="J4" s="3" t="s">
        <v>26</v>
      </c>
      <c r="K4" s="3" t="s">
        <v>27</v>
      </c>
      <c r="L4">
        <v>0.1</v>
      </c>
      <c r="M4" s="6">
        <f t="shared" si="0"/>
        <v>8</v>
      </c>
      <c r="N4" s="10">
        <v>180.601843765257</v>
      </c>
      <c r="O4" s="2">
        <v>183.383339658707</v>
      </c>
      <c r="P4">
        <f>8*(N4/B4)^2</f>
        <v>7.9919705400696046E-3</v>
      </c>
      <c r="Q4" s="7">
        <f t="shared" si="1"/>
        <v>8.2400390530784837E-3</v>
      </c>
      <c r="R4" s="8">
        <f t="shared" si="2"/>
        <v>3.1039718147749643E-2</v>
      </c>
      <c r="S4" s="6">
        <f t="shared" si="3"/>
        <v>6.4187378249459925</v>
      </c>
      <c r="T4" s="2">
        <f t="shared" si="4"/>
        <v>11.416529916489431</v>
      </c>
      <c r="U4" s="6">
        <f t="shared" si="5"/>
        <v>9.0300921882628504</v>
      </c>
      <c r="V4" s="6">
        <f t="shared" si="6"/>
        <v>9.1691669829353497</v>
      </c>
      <c r="W4" s="6">
        <f t="shared" si="7"/>
        <v>9.0300921882628504</v>
      </c>
      <c r="X4" s="2">
        <f t="shared" si="8"/>
        <v>2.2575230470657126</v>
      </c>
    </row>
    <row r="5" spans="1:24">
      <c r="A5" t="s">
        <v>23</v>
      </c>
      <c r="B5" s="3">
        <v>5714</v>
      </c>
      <c r="C5" s="3" t="s">
        <v>24</v>
      </c>
      <c r="D5" s="3" t="s">
        <v>30</v>
      </c>
      <c r="E5" s="3">
        <v>3.3000000000000002E-2</v>
      </c>
      <c r="F5" s="3">
        <v>3.3000000000000002E-2</v>
      </c>
      <c r="G5">
        <f>F5</f>
        <v>3.3000000000000002E-2</v>
      </c>
      <c r="H5" s="3">
        <f>0.25*G5</f>
        <v>8.2500000000000004E-3</v>
      </c>
      <c r="I5" s="3">
        <v>1</v>
      </c>
      <c r="J5" s="3" t="s">
        <v>26</v>
      </c>
      <c r="K5" s="3" t="s">
        <v>27</v>
      </c>
      <c r="L5">
        <v>0.1</v>
      </c>
      <c r="M5" s="6">
        <f t="shared" si="0"/>
        <v>12.121212121212121</v>
      </c>
      <c r="N5" s="10">
        <v>180.601843765257</v>
      </c>
      <c r="O5" s="2">
        <v>183.668368577509</v>
      </c>
      <c r="P5">
        <f>8*(N5/B5)^2</f>
        <v>7.9919705400696046E-3</v>
      </c>
      <c r="Q5" s="7">
        <f t="shared" si="1"/>
        <v>8.2656736025973811E-3</v>
      </c>
      <c r="R5" s="5">
        <f t="shared" si="2"/>
        <v>3.4247256187382384E-2</v>
      </c>
      <c r="S5" s="6">
        <f t="shared" si="3"/>
        <v>6.4287143359296115</v>
      </c>
      <c r="T5" s="2">
        <f t="shared" si="4"/>
        <v>11.416529916489431</v>
      </c>
      <c r="U5" s="6">
        <f t="shared" si="5"/>
        <v>5.9598608442534813</v>
      </c>
      <c r="V5" s="6">
        <f t="shared" si="6"/>
        <v>6.0610561630577973</v>
      </c>
      <c r="W5" s="6">
        <f t="shared" si="7"/>
        <v>5.9598608442534813</v>
      </c>
      <c r="X5" s="2">
        <f t="shared" si="8"/>
        <v>1.4899652110633703</v>
      </c>
    </row>
    <row r="6" spans="1:24">
      <c r="A6" t="s">
        <v>23</v>
      </c>
      <c r="B6" s="3">
        <v>5714</v>
      </c>
      <c r="C6" s="3" t="s">
        <v>31</v>
      </c>
      <c r="D6" s="3" t="s">
        <v>32</v>
      </c>
      <c r="E6">
        <f>18.84/384</f>
        <v>4.9062500000000002E-2</v>
      </c>
      <c r="F6">
        <f>6.28/256</f>
        <v>2.4531250000000001E-2</v>
      </c>
      <c r="G6" s="11">
        <v>2.2990199999999999E-2</v>
      </c>
      <c r="H6" s="11">
        <v>1.5090470000000001E-4</v>
      </c>
      <c r="I6" s="3">
        <f>E6/F6</f>
        <v>2</v>
      </c>
      <c r="J6" s="3" t="s">
        <v>33</v>
      </c>
      <c r="K6" s="3" t="s">
        <v>27</v>
      </c>
      <c r="L6">
        <v>0.1</v>
      </c>
      <c r="M6" s="6">
        <f>L6/H6</f>
        <v>662.66988370806212</v>
      </c>
      <c r="N6" s="10">
        <v>180.601843765257</v>
      </c>
      <c r="O6" s="2">
        <v>183.51840919111899</v>
      </c>
      <c r="P6">
        <f>8*(N6/B6)^2</f>
        <v>7.9919705400696046E-3</v>
      </c>
      <c r="Q6" s="7">
        <f t="shared" si="1"/>
        <v>8.2521817929983986E-3</v>
      </c>
      <c r="R6" s="8">
        <f t="shared" si="2"/>
        <v>3.2559085600248942E-2</v>
      </c>
      <c r="S6" s="6">
        <f t="shared" si="3"/>
        <v>6.4234654949639127</v>
      </c>
      <c r="T6" s="2">
        <f t="shared" si="4"/>
        <v>11.416529916489431</v>
      </c>
      <c r="U6" s="6">
        <f t="shared" si="5"/>
        <v>8.8607779597329213</v>
      </c>
      <c r="V6" s="6">
        <f t="shared" si="6"/>
        <v>4.501935975469638</v>
      </c>
      <c r="W6" s="6">
        <f t="shared" si="7"/>
        <v>4.1520725085320116</v>
      </c>
      <c r="X6" s="2">
        <f t="shared" si="8"/>
        <v>2.7253667052842979E-2</v>
      </c>
    </row>
    <row r="9" spans="1:24">
      <c r="A9" t="s">
        <v>34</v>
      </c>
      <c r="B9" s="3">
        <v>5714</v>
      </c>
      <c r="C9" s="3" t="s">
        <v>24</v>
      </c>
      <c r="D9" s="3" t="s">
        <v>25</v>
      </c>
      <c r="E9" s="3">
        <v>0.1</v>
      </c>
      <c r="F9" s="3">
        <v>0.1</v>
      </c>
      <c r="G9">
        <f>F9</f>
        <v>0.1</v>
      </c>
      <c r="H9" s="3">
        <f>0.25*G9</f>
        <v>2.5000000000000001E-2</v>
      </c>
      <c r="I9" s="3">
        <v>1</v>
      </c>
      <c r="J9" s="3" t="s">
        <v>26</v>
      </c>
      <c r="K9" s="3" t="s">
        <v>27</v>
      </c>
      <c r="L9">
        <v>0.1</v>
      </c>
      <c r="M9" s="6">
        <f>L9/H9</f>
        <v>4</v>
      </c>
      <c r="N9" s="10">
        <v>180.601843765257</v>
      </c>
      <c r="O9" s="2">
        <v>178.80960212652499</v>
      </c>
      <c r="P9">
        <f>8*(N9/B9)^2</f>
        <v>7.9919705400696046E-3</v>
      </c>
      <c r="Q9" s="7">
        <f>8*(O9/B9)^2</f>
        <v>7.8341374782607952E-3</v>
      </c>
      <c r="R9" s="8">
        <f>(Q9-P9)/P9</f>
        <v>-1.9748954405859807E-2</v>
      </c>
      <c r="S9" s="6">
        <f>100*2*O9/B9</f>
        <v>6.2586490068787182</v>
      </c>
      <c r="T9" s="2">
        <f>B9/4*P9</f>
        <v>11.416529916489431</v>
      </c>
      <c r="U9" s="6">
        <f>E9*N9</f>
        <v>18.060184376525701</v>
      </c>
      <c r="V9" s="6">
        <f>F9*N9</f>
        <v>18.060184376525701</v>
      </c>
      <c r="W9" s="6">
        <f>G9*N9</f>
        <v>18.060184376525701</v>
      </c>
      <c r="X9" s="2">
        <f>H9*N9</f>
        <v>4.5150460941314252</v>
      </c>
    </row>
    <row r="10" spans="1:24">
      <c r="A10" t="s">
        <v>34</v>
      </c>
      <c r="B10" s="3">
        <v>5714</v>
      </c>
      <c r="C10" s="3" t="s">
        <v>24</v>
      </c>
      <c r="D10" s="3" t="s">
        <v>28</v>
      </c>
      <c r="E10" s="3">
        <v>6.7000000000000004E-2</v>
      </c>
      <c r="F10" s="3">
        <v>6.7000000000000004E-2</v>
      </c>
      <c r="G10">
        <f>F10</f>
        <v>6.7000000000000004E-2</v>
      </c>
      <c r="H10" s="3">
        <f>0.25*G10</f>
        <v>1.6750000000000001E-2</v>
      </c>
      <c r="I10" s="3">
        <v>1</v>
      </c>
      <c r="J10" s="3" t="s">
        <v>26</v>
      </c>
      <c r="K10" s="3" t="s">
        <v>27</v>
      </c>
      <c r="L10">
        <v>0.1</v>
      </c>
      <c r="M10" s="6">
        <f t="shared" ref="M10:M12" si="9">L10/H10</f>
        <v>5.9701492537313436</v>
      </c>
      <c r="N10" s="10">
        <v>180.601843765257</v>
      </c>
      <c r="O10" s="2">
        <v>181.94836980537099</v>
      </c>
      <c r="P10">
        <f>8*(N10/B10)^2</f>
        <v>7.9919705400696046E-3</v>
      </c>
      <c r="Q10" s="7">
        <f t="shared" ref="Q10:Q12" si="10">8*(O10/B10)^2</f>
        <v>8.1115874107959614E-3</v>
      </c>
      <c r="R10" s="8">
        <f t="shared" ref="R10:R12" si="11">(Q10-P10)/P10</f>
        <v>1.4967131088212824E-2</v>
      </c>
      <c r="S10" s="6">
        <f t="shared" ref="S10:S12" si="12">100*2*O10/B10</f>
        <v>6.3685113687564225</v>
      </c>
      <c r="T10" s="2">
        <f t="shared" ref="T10:T12" si="13">B10/4*P10</f>
        <v>11.416529916489431</v>
      </c>
      <c r="U10" s="6">
        <f t="shared" ref="U10:U12" si="14">E10*N10</f>
        <v>12.10032353227222</v>
      </c>
      <c r="V10" s="6">
        <f>F10*N10</f>
        <v>12.10032353227222</v>
      </c>
      <c r="W10" s="6">
        <f t="shared" ref="W10:W12" si="15">G10*N10</f>
        <v>12.10032353227222</v>
      </c>
      <c r="X10" s="2">
        <f t="shared" ref="X10:X12" si="16">H10*N10</f>
        <v>3.0250808830680551</v>
      </c>
    </row>
    <row r="11" spans="1:24">
      <c r="A11" t="s">
        <v>34</v>
      </c>
      <c r="B11" s="3">
        <v>5714</v>
      </c>
      <c r="C11" s="3" t="s">
        <v>24</v>
      </c>
      <c r="D11" s="3" t="s">
        <v>29</v>
      </c>
      <c r="E11" s="3">
        <v>0.05</v>
      </c>
      <c r="F11" s="3">
        <v>0.05</v>
      </c>
      <c r="G11">
        <f>F11</f>
        <v>0.05</v>
      </c>
      <c r="H11" s="3">
        <f>0.25*G11</f>
        <v>1.2500000000000001E-2</v>
      </c>
      <c r="I11" s="3">
        <v>1</v>
      </c>
      <c r="J11" s="3" t="s">
        <v>26</v>
      </c>
      <c r="K11" s="3" t="s">
        <v>27</v>
      </c>
      <c r="L11">
        <v>0.1</v>
      </c>
      <c r="M11" s="6">
        <f t="shared" si="9"/>
        <v>8</v>
      </c>
      <c r="N11" s="10">
        <v>180.601843765257</v>
      </c>
      <c r="O11" s="2">
        <v>183.24478220022101</v>
      </c>
      <c r="P11">
        <f>8*(N11/B11)^2</f>
        <v>7.9919705400696046E-3</v>
      </c>
      <c r="Q11" s="7">
        <f t="shared" si="10"/>
        <v>8.2275920385184477E-3</v>
      </c>
      <c r="R11" s="8">
        <f t="shared" si="11"/>
        <v>2.9482278152490656E-2</v>
      </c>
      <c r="S11" s="6">
        <f t="shared" si="12"/>
        <v>6.4138880714113062</v>
      </c>
      <c r="T11" s="2">
        <f t="shared" si="13"/>
        <v>11.416529916489431</v>
      </c>
      <c r="U11" s="6">
        <f t="shared" si="14"/>
        <v>9.0300921882628504</v>
      </c>
      <c r="V11" s="6">
        <f>F11*N11</f>
        <v>9.0300921882628504</v>
      </c>
      <c r="W11" s="6">
        <f t="shared" si="15"/>
        <v>9.0300921882628504</v>
      </c>
      <c r="X11" s="2">
        <f t="shared" si="16"/>
        <v>2.2575230470657126</v>
      </c>
    </row>
    <row r="12" spans="1:24">
      <c r="A12" t="s">
        <v>34</v>
      </c>
      <c r="B12" s="3">
        <v>5714</v>
      </c>
      <c r="C12" s="3" t="s">
        <v>24</v>
      </c>
      <c r="D12" s="3" t="s">
        <v>30</v>
      </c>
      <c r="E12" s="3">
        <v>3.3000000000000002E-2</v>
      </c>
      <c r="F12" s="3">
        <v>3.3000000000000002E-2</v>
      </c>
      <c r="G12">
        <f>F12</f>
        <v>3.3000000000000002E-2</v>
      </c>
      <c r="H12" s="3">
        <f>0.25*G12</f>
        <v>8.2500000000000004E-3</v>
      </c>
      <c r="I12" s="3">
        <v>1</v>
      </c>
      <c r="J12" s="3" t="s">
        <v>26</v>
      </c>
      <c r="K12" s="3" t="s">
        <v>27</v>
      </c>
      <c r="L12">
        <v>0.1</v>
      </c>
      <c r="M12" s="6">
        <f t="shared" si="9"/>
        <v>12.121212121212121</v>
      </c>
      <c r="N12" s="10">
        <v>180.601843765257</v>
      </c>
      <c r="O12" s="2">
        <v>184.211294112139</v>
      </c>
      <c r="P12">
        <f>8*(N12/B12)^2</f>
        <v>7.9919705400696046E-3</v>
      </c>
      <c r="Q12" s="7">
        <f t="shared" si="10"/>
        <v>8.3146126557039363E-3</v>
      </c>
      <c r="R12" s="8">
        <f t="shared" si="11"/>
        <v>4.0370783903255193E-2</v>
      </c>
      <c r="S12" s="6">
        <f t="shared" si="12"/>
        <v>6.4477176798088554</v>
      </c>
      <c r="T12" s="2">
        <f t="shared" si="13"/>
        <v>11.416529916489431</v>
      </c>
      <c r="U12" s="6">
        <f t="shared" si="14"/>
        <v>5.9598608442534813</v>
      </c>
      <c r="V12" s="6">
        <f>F12*N12</f>
        <v>5.9598608442534813</v>
      </c>
      <c r="W12" s="6">
        <f t="shared" si="15"/>
        <v>5.9598608442534813</v>
      </c>
      <c r="X12" s="2">
        <f t="shared" si="16"/>
        <v>1.4899652110633703</v>
      </c>
    </row>
    <row r="15" spans="1:24">
      <c r="A15" t="s">
        <v>35</v>
      </c>
      <c r="B15" s="3">
        <v>5714</v>
      </c>
      <c r="C15" s="3" t="s">
        <v>24</v>
      </c>
      <c r="D15" s="3" t="s">
        <v>25</v>
      </c>
      <c r="E15" s="3">
        <v>0.1</v>
      </c>
      <c r="F15" s="3">
        <v>0.1</v>
      </c>
      <c r="G15">
        <f>F15</f>
        <v>0.1</v>
      </c>
      <c r="H15" s="3">
        <f>0.25*G15</f>
        <v>2.5000000000000001E-2</v>
      </c>
      <c r="I15" s="3">
        <v>1</v>
      </c>
      <c r="J15" s="3" t="s">
        <v>26</v>
      </c>
      <c r="K15" s="3" t="s">
        <v>27</v>
      </c>
      <c r="L15">
        <v>0.1</v>
      </c>
      <c r="M15" s="6">
        <f>L15/H15</f>
        <v>4</v>
      </c>
      <c r="N15" s="10">
        <v>180.601843765257</v>
      </c>
      <c r="O15" s="2">
        <v>179.05626668398401</v>
      </c>
      <c r="P15">
        <f>8*(N15/B15)^2</f>
        <v>7.9919705400696046E-3</v>
      </c>
      <c r="Q15" s="7">
        <f>8*(O15/B15)^2</f>
        <v>7.8557664835164076E-3</v>
      </c>
      <c r="R15" s="8">
        <f>(Q15-P15)/P15</f>
        <v>-1.7042612440862526E-2</v>
      </c>
      <c r="S15" s="6">
        <f>100*2*O15/B15</f>
        <v>6.2672826980743439</v>
      </c>
      <c r="T15" s="2">
        <f>B15/4*P15</f>
        <v>11.416529916489431</v>
      </c>
      <c r="U15" s="6">
        <f>E15*N15</f>
        <v>18.060184376525701</v>
      </c>
      <c r="V15" s="6">
        <f>F15*N15</f>
        <v>18.060184376525701</v>
      </c>
      <c r="W15" s="6">
        <f>G15*N15</f>
        <v>18.060184376525701</v>
      </c>
      <c r="X15" s="2">
        <f>H15*N15</f>
        <v>4.5150460941314252</v>
      </c>
    </row>
    <row r="16" spans="1:24">
      <c r="A16" t="s">
        <v>35</v>
      </c>
      <c r="B16" s="3">
        <v>5714</v>
      </c>
      <c r="C16" s="3" t="s">
        <v>24</v>
      </c>
      <c r="D16" s="3" t="s">
        <v>28</v>
      </c>
      <c r="E16" s="3">
        <v>6.7000000000000004E-2</v>
      </c>
      <c r="F16" s="3">
        <v>6.7000000000000004E-2</v>
      </c>
      <c r="G16">
        <f>F16</f>
        <v>6.7000000000000004E-2</v>
      </c>
      <c r="H16" s="3">
        <f>0.25*G16</f>
        <v>1.6750000000000001E-2</v>
      </c>
      <c r="I16" s="3">
        <v>1</v>
      </c>
      <c r="J16" s="3" t="s">
        <v>26</v>
      </c>
      <c r="K16" s="3" t="s">
        <v>27</v>
      </c>
      <c r="L16">
        <v>0.1</v>
      </c>
      <c r="M16" s="6">
        <f t="shared" ref="M16:M18" si="17">L16/H16</f>
        <v>5.9701492537313436</v>
      </c>
      <c r="N16" s="10">
        <v>180.601843765257</v>
      </c>
      <c r="O16" s="2">
        <v>182.10670162320901</v>
      </c>
      <c r="P16">
        <f>8*(N16/B16)^2</f>
        <v>7.9919705400696046E-3</v>
      </c>
      <c r="Q16" s="7">
        <f t="shared" ref="Q16:Q18" si="18">8*(O16/B16)^2</f>
        <v>8.1257109909255113E-3</v>
      </c>
      <c r="R16" s="8">
        <f t="shared" ref="R16:R18" si="19">(Q16-P16)/P16</f>
        <v>1.6734352333428633E-2</v>
      </c>
      <c r="S16" s="6">
        <f t="shared" ref="S16:S18" si="20">100*2*O16/B16</f>
        <v>6.3740532594752892</v>
      </c>
      <c r="T16" s="2">
        <f t="shared" ref="T16:T18" si="21">B16/4*P16</f>
        <v>11.416529916489431</v>
      </c>
      <c r="U16" s="6">
        <f t="shared" ref="U16:U18" si="22">E16*N16</f>
        <v>12.10032353227222</v>
      </c>
      <c r="V16" s="6">
        <f>F16*N16</f>
        <v>12.10032353227222</v>
      </c>
      <c r="W16" s="6">
        <f t="shared" ref="W16:W18" si="23">G16*N16</f>
        <v>12.10032353227222</v>
      </c>
      <c r="X16" s="2">
        <f t="shared" ref="X16:X18" si="24">H16*N16</f>
        <v>3.0250808830680551</v>
      </c>
    </row>
    <row r="17" spans="1:24">
      <c r="A17" t="s">
        <v>35</v>
      </c>
      <c r="B17" s="3">
        <v>5714</v>
      </c>
      <c r="C17" s="3" t="s">
        <v>24</v>
      </c>
      <c r="D17" s="3" t="s">
        <v>29</v>
      </c>
      <c r="E17" s="3">
        <v>0.05</v>
      </c>
      <c r="F17" s="3">
        <v>0.05</v>
      </c>
      <c r="G17">
        <f>F17</f>
        <v>0.05</v>
      </c>
      <c r="H17" s="3">
        <f>0.25*G17</f>
        <v>1.2500000000000001E-2</v>
      </c>
      <c r="I17" s="3">
        <v>1</v>
      </c>
      <c r="J17" s="3" t="s">
        <v>26</v>
      </c>
      <c r="K17" s="3" t="s">
        <v>27</v>
      </c>
      <c r="L17">
        <v>0.1</v>
      </c>
      <c r="M17" s="6">
        <f t="shared" si="17"/>
        <v>8</v>
      </c>
      <c r="N17" s="10">
        <v>180.601843765257</v>
      </c>
      <c r="O17" s="2">
        <v>183.13948018760399</v>
      </c>
      <c r="P17">
        <f>8*(N17/B17)^2</f>
        <v>7.9919705400696046E-3</v>
      </c>
      <c r="Q17" s="7">
        <f t="shared" si="18"/>
        <v>8.2181387481589877E-3</v>
      </c>
      <c r="R17" s="8">
        <f t="shared" si="19"/>
        <v>2.8299429653229589E-2</v>
      </c>
      <c r="S17" s="6">
        <f t="shared" si="20"/>
        <v>6.4102023166819739</v>
      </c>
      <c r="T17" s="2">
        <f t="shared" si="21"/>
        <v>11.416529916489431</v>
      </c>
      <c r="U17" s="6">
        <f t="shared" si="22"/>
        <v>9.0300921882628504</v>
      </c>
      <c r="V17" s="6">
        <f>F17*N17</f>
        <v>9.0300921882628504</v>
      </c>
      <c r="W17" s="6">
        <f t="shared" si="23"/>
        <v>9.0300921882628504</v>
      </c>
      <c r="X17" s="2">
        <f t="shared" si="24"/>
        <v>2.2575230470657126</v>
      </c>
    </row>
    <row r="18" spans="1:24">
      <c r="A18" t="s">
        <v>35</v>
      </c>
      <c r="B18" s="3">
        <v>5714</v>
      </c>
      <c r="C18" s="3" t="s">
        <v>24</v>
      </c>
      <c r="D18" s="3" t="s">
        <v>30</v>
      </c>
      <c r="E18" s="3">
        <v>3.3000000000000002E-2</v>
      </c>
      <c r="F18" s="3">
        <v>3.3000000000000002E-2</v>
      </c>
      <c r="G18">
        <f>F18</f>
        <v>3.3000000000000002E-2</v>
      </c>
      <c r="H18" s="3">
        <f>0.25*G18</f>
        <v>8.2500000000000004E-3</v>
      </c>
      <c r="I18" s="3">
        <v>1</v>
      </c>
      <c r="J18" s="3" t="s">
        <v>26</v>
      </c>
      <c r="K18" s="3" t="s">
        <v>27</v>
      </c>
      <c r="L18">
        <v>0.1</v>
      </c>
      <c r="M18" s="6">
        <f t="shared" si="17"/>
        <v>12.121212121212121</v>
      </c>
      <c r="N18" s="10">
        <v>180.601843765257</v>
      </c>
      <c r="O18" s="2">
        <v>183.956931737708</v>
      </c>
      <c r="P18">
        <f>8*(N18/B18)^2</f>
        <v>7.9919705400696046E-3</v>
      </c>
      <c r="Q18" s="7">
        <f t="shared" si="18"/>
        <v>8.291666565843599E-3</v>
      </c>
      <c r="R18" s="8">
        <f t="shared" si="19"/>
        <v>3.7499640954805652E-2</v>
      </c>
      <c r="S18" s="6">
        <f t="shared" si="20"/>
        <v>6.4388145515473578</v>
      </c>
      <c r="T18" s="2">
        <f t="shared" si="21"/>
        <v>11.416529916489431</v>
      </c>
      <c r="U18" s="6">
        <f t="shared" si="22"/>
        <v>5.9598608442534813</v>
      </c>
      <c r="V18" s="6">
        <f>F18*N18</f>
        <v>5.9598608442534813</v>
      </c>
      <c r="W18" s="6">
        <f t="shared" si="23"/>
        <v>5.9598608442534813</v>
      </c>
      <c r="X18" s="2">
        <f t="shared" si="24"/>
        <v>1.4899652110633703</v>
      </c>
    </row>
    <row r="19" spans="1:24">
      <c r="V19" s="6"/>
    </row>
    <row r="20" spans="1:24">
      <c r="B20" s="3"/>
      <c r="C20" s="3"/>
      <c r="D20" s="3"/>
      <c r="E20" s="3"/>
      <c r="F20" s="3"/>
      <c r="G20" s="3"/>
      <c r="H20" s="3"/>
      <c r="I20" s="3"/>
      <c r="J20" s="3"/>
      <c r="K20" s="3"/>
      <c r="L20" s="3"/>
      <c r="M20" s="3"/>
      <c r="N20" s="3"/>
      <c r="O20" s="3"/>
      <c r="P20" s="3"/>
      <c r="Q20" s="3"/>
      <c r="R20" s="3"/>
      <c r="S20" s="3"/>
      <c r="T20" s="3"/>
      <c r="U20" s="3"/>
      <c r="V20" s="6"/>
      <c r="W20" s="3"/>
      <c r="X20" s="3"/>
    </row>
    <row r="21" spans="1:24">
      <c r="A21" t="s">
        <v>36</v>
      </c>
      <c r="B21" s="3">
        <v>5714</v>
      </c>
      <c r="C21" s="3" t="s">
        <v>24</v>
      </c>
      <c r="D21" s="3" t="s">
        <v>25</v>
      </c>
      <c r="E21" s="3">
        <v>0.1</v>
      </c>
      <c r="F21" s="3">
        <v>0.1</v>
      </c>
      <c r="G21">
        <f>F21</f>
        <v>0.1</v>
      </c>
      <c r="H21" s="3">
        <f>0.25*G21</f>
        <v>2.5000000000000001E-2</v>
      </c>
      <c r="I21" s="3">
        <v>1</v>
      </c>
      <c r="J21" s="3" t="s">
        <v>26</v>
      </c>
      <c r="K21" s="3" t="s">
        <v>27</v>
      </c>
      <c r="L21">
        <v>0.1</v>
      </c>
      <c r="M21" s="6">
        <f>L21/H21</f>
        <v>4</v>
      </c>
      <c r="N21" s="10">
        <v>180.601843765257</v>
      </c>
      <c r="O21" s="2">
        <v>178.829972998947</v>
      </c>
      <c r="P21">
        <f>8*(N21/B21)^2</f>
        <v>7.9919705400696046E-3</v>
      </c>
      <c r="Q21" s="7">
        <f>8*(O21/B21)^2</f>
        <v>7.8359225871559163E-3</v>
      </c>
      <c r="R21" s="8">
        <f>(Q21-P21)/P21</f>
        <v>-1.95255916086409E-2</v>
      </c>
      <c r="S21" s="6">
        <f>100*2*O21/B21</f>
        <v>6.2593620230642983</v>
      </c>
      <c r="T21" s="2">
        <f>B21/4*P21</f>
        <v>11.416529916489431</v>
      </c>
      <c r="U21" s="6">
        <f>E21*N21</f>
        <v>18.060184376525701</v>
      </c>
      <c r="V21" s="6">
        <f>F21*N21</f>
        <v>18.060184376525701</v>
      </c>
      <c r="W21" s="6">
        <f>G21*N21</f>
        <v>18.060184376525701</v>
      </c>
      <c r="X21" s="2">
        <f>H21*N21</f>
        <v>4.5150460941314252</v>
      </c>
    </row>
    <row r="22" spans="1:24">
      <c r="A22" t="s">
        <v>36</v>
      </c>
      <c r="B22" s="3">
        <v>5714</v>
      </c>
      <c r="C22" s="3" t="s">
        <v>24</v>
      </c>
      <c r="D22" s="3" t="s">
        <v>28</v>
      </c>
      <c r="E22" s="3">
        <v>6.7000000000000004E-2</v>
      </c>
      <c r="F22" s="3">
        <v>6.7000000000000004E-2</v>
      </c>
      <c r="G22">
        <f>F22</f>
        <v>6.7000000000000004E-2</v>
      </c>
      <c r="H22" s="3">
        <f>0.25*G22</f>
        <v>1.6750000000000001E-2</v>
      </c>
      <c r="I22" s="3">
        <v>1</v>
      </c>
      <c r="J22" s="3" t="s">
        <v>26</v>
      </c>
      <c r="K22" s="3" t="s">
        <v>27</v>
      </c>
      <c r="L22">
        <v>0.1</v>
      </c>
      <c r="M22" s="6">
        <f t="shared" ref="M22:M24" si="25">L22/H22</f>
        <v>5.9701492537313436</v>
      </c>
      <c r="N22" s="10">
        <v>180.601843765257</v>
      </c>
      <c r="O22" s="2">
        <v>181.74207679560499</v>
      </c>
      <c r="P22">
        <f>8*(N22/B22)^2</f>
        <v>7.9919705400696046E-3</v>
      </c>
      <c r="Q22" s="7">
        <f t="shared" ref="Q22:Q24" si="26">8*(O22/B22)^2</f>
        <v>8.0932040072727151E-3</v>
      </c>
      <c r="R22" s="8">
        <f t="shared" ref="R22:R24" si="27">(Q22-P22)/P22</f>
        <v>1.2666896943069659E-2</v>
      </c>
      <c r="S22" s="6">
        <f t="shared" ref="S22:S24" si="28">100*2*O22/B22</f>
        <v>6.3612907523837938</v>
      </c>
      <c r="T22" s="2">
        <f t="shared" ref="T22:T24" si="29">B22/4*P22</f>
        <v>11.416529916489431</v>
      </c>
      <c r="U22" s="6">
        <f t="shared" ref="U22:U24" si="30">E22*N22</f>
        <v>12.10032353227222</v>
      </c>
      <c r="V22" s="6">
        <f>F22*N22</f>
        <v>12.10032353227222</v>
      </c>
      <c r="W22" s="6">
        <f t="shared" ref="W22:W24" si="31">G22*N22</f>
        <v>12.10032353227222</v>
      </c>
      <c r="X22" s="2">
        <f t="shared" ref="X22:X24" si="32">H22*N22</f>
        <v>3.0250808830680551</v>
      </c>
    </row>
    <row r="23" spans="1:24">
      <c r="A23" t="s">
        <v>36</v>
      </c>
      <c r="B23" s="3">
        <v>5714</v>
      </c>
      <c r="C23" s="3" t="s">
        <v>24</v>
      </c>
      <c r="D23" s="3" t="s">
        <v>29</v>
      </c>
      <c r="E23" s="3">
        <v>0.05</v>
      </c>
      <c r="F23" s="3">
        <v>0.05</v>
      </c>
      <c r="G23">
        <f>F23</f>
        <v>0.05</v>
      </c>
      <c r="H23" s="3">
        <f>0.25*G23</f>
        <v>1.2500000000000001E-2</v>
      </c>
      <c r="I23" s="3">
        <v>1</v>
      </c>
      <c r="J23" s="3" t="s">
        <v>26</v>
      </c>
      <c r="K23" s="3" t="s">
        <v>27</v>
      </c>
      <c r="L23">
        <v>0.1</v>
      </c>
      <c r="M23" s="6">
        <f t="shared" si="25"/>
        <v>8</v>
      </c>
      <c r="N23" s="10">
        <v>180.601843765257</v>
      </c>
      <c r="O23" s="2">
        <v>182.79404219271501</v>
      </c>
      <c r="P23">
        <f>8*(N23/B23)^2</f>
        <v>7.9919705400696046E-3</v>
      </c>
      <c r="Q23" s="7">
        <f t="shared" si="26"/>
        <v>8.1871658520995538E-3</v>
      </c>
      <c r="R23" s="8">
        <f t="shared" si="27"/>
        <v>2.4423927872518056E-2</v>
      </c>
      <c r="S23" s="6">
        <f t="shared" si="28"/>
        <v>6.3981113823141413</v>
      </c>
      <c r="T23" s="2">
        <f t="shared" si="29"/>
        <v>11.416529916489431</v>
      </c>
      <c r="U23" s="6">
        <f t="shared" si="30"/>
        <v>9.0300921882628504</v>
      </c>
      <c r="V23" s="6">
        <f>F23*N23</f>
        <v>9.0300921882628504</v>
      </c>
      <c r="W23" s="6">
        <f t="shared" si="31"/>
        <v>9.0300921882628504</v>
      </c>
      <c r="X23" s="2">
        <f t="shared" si="32"/>
        <v>2.2575230470657126</v>
      </c>
    </row>
    <row r="24" spans="1:24">
      <c r="A24" t="s">
        <v>36</v>
      </c>
      <c r="B24" s="3">
        <v>5714</v>
      </c>
      <c r="C24" s="3" t="s">
        <v>24</v>
      </c>
      <c r="D24" s="3" t="s">
        <v>30</v>
      </c>
      <c r="E24" s="3">
        <v>3.3000000000000002E-2</v>
      </c>
      <c r="F24" s="3">
        <v>3.3000000000000002E-2</v>
      </c>
      <c r="G24">
        <f>F24</f>
        <v>3.3000000000000002E-2</v>
      </c>
      <c r="H24" s="3">
        <f>0.25*G24</f>
        <v>8.2500000000000004E-3</v>
      </c>
      <c r="I24" s="3">
        <v>1</v>
      </c>
      <c r="J24" s="3" t="s">
        <v>26</v>
      </c>
      <c r="K24" s="3" t="s">
        <v>27</v>
      </c>
      <c r="L24">
        <v>0.1</v>
      </c>
      <c r="M24" s="6">
        <f t="shared" si="25"/>
        <v>12.121212121212121</v>
      </c>
      <c r="N24" s="10">
        <v>180.601843765257</v>
      </c>
      <c r="O24" s="2">
        <v>183.52815997692801</v>
      </c>
      <c r="P24">
        <f>8*(N24/B24)^2</f>
        <v>7.9919705400696046E-3</v>
      </c>
      <c r="Q24" s="7">
        <f t="shared" si="26"/>
        <v>8.2530587338473724E-3</v>
      </c>
      <c r="R24" s="8">
        <f t="shared" si="27"/>
        <v>3.2668813338180031E-2</v>
      </c>
      <c r="S24" s="6">
        <f t="shared" si="28"/>
        <v>6.4238067895319562</v>
      </c>
      <c r="T24" s="2">
        <f t="shared" si="29"/>
        <v>11.416529916489431</v>
      </c>
      <c r="U24" s="6">
        <f t="shared" si="30"/>
        <v>5.9598608442534813</v>
      </c>
      <c r="V24" s="6">
        <f>F24*N24</f>
        <v>5.9598608442534813</v>
      </c>
      <c r="W24" s="6">
        <f t="shared" si="31"/>
        <v>5.9598608442534813</v>
      </c>
      <c r="X24" s="2">
        <f t="shared" si="32"/>
        <v>1.4899652110633703</v>
      </c>
    </row>
    <row r="28" spans="1:24">
      <c r="A28" t="s">
        <v>37</v>
      </c>
      <c r="B28" s="3">
        <v>5714</v>
      </c>
      <c r="C28" s="3" t="s">
        <v>24</v>
      </c>
      <c r="D28" s="3" t="s">
        <v>25</v>
      </c>
      <c r="E28" s="3">
        <v>0.1</v>
      </c>
      <c r="F28" s="3">
        <v>0.1</v>
      </c>
      <c r="G28">
        <f>F28</f>
        <v>0.1</v>
      </c>
      <c r="H28" s="3">
        <f>0.25*G28</f>
        <v>2.5000000000000001E-2</v>
      </c>
      <c r="I28" s="3">
        <v>1</v>
      </c>
      <c r="J28" s="3" t="s">
        <v>26</v>
      </c>
      <c r="K28" s="3" t="s">
        <v>27</v>
      </c>
      <c r="L28" t="s">
        <v>38</v>
      </c>
      <c r="M28" t="s">
        <v>38</v>
      </c>
      <c r="N28" s="10">
        <v>180.601843765257</v>
      </c>
      <c r="O28" s="2">
        <v>185.85994029578501</v>
      </c>
      <c r="P28">
        <f>8*(N28/B28)^2</f>
        <v>7.9919705400696046E-3</v>
      </c>
      <c r="Q28" s="7">
        <f>8*(O28/B28)^2</f>
        <v>8.4641061541095731E-3</v>
      </c>
      <c r="R28" s="8">
        <f>(Q28-P28)/P28</f>
        <v>5.9076245548304596E-2</v>
      </c>
      <c r="S28" s="6">
        <f>600*2*O28/B28</f>
        <v>39.032539089069303</v>
      </c>
      <c r="T28" s="2">
        <f>B28/4*P28</f>
        <v>11.416529916489431</v>
      </c>
      <c r="U28" s="6">
        <f>E28*N28</f>
        <v>18.060184376525701</v>
      </c>
      <c r="V28" s="6">
        <f>F28*N28</f>
        <v>18.060184376525701</v>
      </c>
      <c r="W28" s="6">
        <f>G28*N28</f>
        <v>18.060184376525701</v>
      </c>
      <c r="X28" s="2">
        <f>H28*N28</f>
        <v>4.5150460941314252</v>
      </c>
    </row>
    <row r="29" spans="1:24">
      <c r="A29" t="s">
        <v>37</v>
      </c>
      <c r="B29" s="3">
        <v>5714</v>
      </c>
      <c r="C29" s="3" t="s">
        <v>24</v>
      </c>
      <c r="D29" s="3" t="s">
        <v>28</v>
      </c>
      <c r="E29" s="3">
        <v>6.7000000000000004E-2</v>
      </c>
      <c r="F29" s="3">
        <v>6.7000000000000004E-2</v>
      </c>
      <c r="G29">
        <f>F29</f>
        <v>6.7000000000000004E-2</v>
      </c>
      <c r="H29" s="3">
        <f>0.25*G29</f>
        <v>1.6750000000000001E-2</v>
      </c>
      <c r="I29" s="3">
        <v>1</v>
      </c>
      <c r="J29" s="3" t="s">
        <v>26</v>
      </c>
      <c r="K29" s="3" t="s">
        <v>27</v>
      </c>
      <c r="L29" t="s">
        <v>38</v>
      </c>
      <c r="M29" t="s">
        <v>38</v>
      </c>
      <c r="N29" s="10">
        <v>180.601843765257</v>
      </c>
      <c r="O29" s="2">
        <v>189.663707632377</v>
      </c>
      <c r="P29">
        <f>8*(N29/B29)^2</f>
        <v>7.9919705400696046E-3</v>
      </c>
      <c r="Q29" s="7">
        <f t="shared" ref="Q29:Q31" si="33">8*(O29/B29)^2</f>
        <v>8.8141002762430181E-3</v>
      </c>
      <c r="R29" s="8">
        <f t="shared" ref="R29:R31" si="34">(Q29-P29)/P29</f>
        <v>0.10286946530289053</v>
      </c>
      <c r="S29" s="6">
        <f t="shared" ref="S29:S37" si="35">600*2*O29/B29</f>
        <v>39.831370171307732</v>
      </c>
      <c r="T29" s="2">
        <f t="shared" ref="T29:T31" si="36">B29/4*P29</f>
        <v>11.416529916489431</v>
      </c>
      <c r="U29" s="6">
        <f t="shared" ref="U29:U31" si="37">E29*N29</f>
        <v>12.10032353227222</v>
      </c>
      <c r="V29" s="6">
        <f>F29*N29</f>
        <v>12.10032353227222</v>
      </c>
      <c r="W29" s="6">
        <f t="shared" ref="W29:W31" si="38">G29*N29</f>
        <v>12.10032353227222</v>
      </c>
      <c r="X29" s="2">
        <f t="shared" ref="X29:X31" si="39">H29*N29</f>
        <v>3.0250808830680551</v>
      </c>
    </row>
    <row r="30" spans="1:24">
      <c r="A30" t="s">
        <v>37</v>
      </c>
      <c r="B30" s="3">
        <v>5714</v>
      </c>
      <c r="C30" s="3" t="s">
        <v>24</v>
      </c>
      <c r="D30" s="3" t="s">
        <v>29</v>
      </c>
      <c r="E30" s="3">
        <v>0.05</v>
      </c>
      <c r="F30" s="3">
        <v>0.05</v>
      </c>
      <c r="G30">
        <f>F30</f>
        <v>0.05</v>
      </c>
      <c r="H30" s="3">
        <f>0.25*G30</f>
        <v>1.2500000000000001E-2</v>
      </c>
      <c r="I30" s="3">
        <v>1</v>
      </c>
      <c r="J30" s="3" t="s">
        <v>26</v>
      </c>
      <c r="K30" s="3" t="s">
        <v>27</v>
      </c>
      <c r="L30" t="s">
        <v>38</v>
      </c>
      <c r="M30" t="s">
        <v>38</v>
      </c>
      <c r="N30" s="10">
        <v>180.601843765257</v>
      </c>
      <c r="O30" s="2">
        <v>188.61684277549799</v>
      </c>
      <c r="P30">
        <f>8*(N30/B30)^2</f>
        <v>7.9919705400696046E-3</v>
      </c>
      <c r="Q30" s="7">
        <f t="shared" si="33"/>
        <v>8.7170684628098561E-3</v>
      </c>
      <c r="R30" s="8">
        <f t="shared" si="34"/>
        <v>9.0728302751468398E-2</v>
      </c>
      <c r="S30" s="6">
        <f t="shared" si="35"/>
        <v>39.611517558732515</v>
      </c>
      <c r="T30" s="2">
        <f t="shared" si="36"/>
        <v>11.416529916489431</v>
      </c>
      <c r="U30" s="6">
        <f t="shared" si="37"/>
        <v>9.0300921882628504</v>
      </c>
      <c r="V30" s="6">
        <f>F30*N30</f>
        <v>9.0300921882628504</v>
      </c>
      <c r="W30" s="6">
        <f t="shared" si="38"/>
        <v>9.0300921882628504</v>
      </c>
      <c r="X30" s="2">
        <f t="shared" si="39"/>
        <v>2.2575230470657126</v>
      </c>
    </row>
    <row r="31" spans="1:24">
      <c r="A31" t="s">
        <v>37</v>
      </c>
      <c r="B31" s="3">
        <v>5714</v>
      </c>
      <c r="C31" s="3" t="s">
        <v>24</v>
      </c>
      <c r="D31" s="3" t="s">
        <v>30</v>
      </c>
      <c r="E31" s="3">
        <v>3.3000000000000002E-2</v>
      </c>
      <c r="F31" s="3">
        <v>3.3000000000000002E-2</v>
      </c>
      <c r="G31">
        <f>F31</f>
        <v>3.3000000000000002E-2</v>
      </c>
      <c r="H31" s="3">
        <f>0.25*G31</f>
        <v>8.2500000000000004E-3</v>
      </c>
      <c r="I31" s="3">
        <v>1</v>
      </c>
      <c r="J31" s="3" t="s">
        <v>26</v>
      </c>
      <c r="K31" s="3" t="s">
        <v>27</v>
      </c>
      <c r="L31" t="s">
        <v>38</v>
      </c>
      <c r="M31" t="s">
        <v>38</v>
      </c>
      <c r="N31" s="10">
        <v>180.601843765257</v>
      </c>
      <c r="O31" s="2">
        <v>185.42337692876299</v>
      </c>
      <c r="P31">
        <f>8*(N31/B31)^2</f>
        <v>7.9919705400696046E-3</v>
      </c>
      <c r="Q31" s="7">
        <f t="shared" si="33"/>
        <v>8.4243904523424555E-3</v>
      </c>
      <c r="R31" s="8">
        <f t="shared" si="34"/>
        <v>5.4106795076985452E-2</v>
      </c>
      <c r="S31" s="6">
        <f t="shared" si="35"/>
        <v>38.940856197850117</v>
      </c>
      <c r="T31" s="2">
        <f t="shared" si="36"/>
        <v>11.416529916489431</v>
      </c>
      <c r="U31" s="6">
        <f t="shared" si="37"/>
        <v>5.9598608442534813</v>
      </c>
      <c r="V31" s="6">
        <f>F31*N31</f>
        <v>5.9598608442534813</v>
      </c>
      <c r="W31" s="6">
        <f t="shared" si="38"/>
        <v>5.9598608442534813</v>
      </c>
      <c r="X31" s="2">
        <f t="shared" si="39"/>
        <v>1.4899652110633703</v>
      </c>
    </row>
    <row r="32" spans="1:24">
      <c r="S32" s="6"/>
    </row>
    <row r="33" spans="1:24">
      <c r="S33" s="6"/>
    </row>
    <row r="34" spans="1:24">
      <c r="A34" t="s">
        <v>39</v>
      </c>
      <c r="B34" s="3">
        <v>5714</v>
      </c>
      <c r="C34" s="3" t="s">
        <v>24</v>
      </c>
      <c r="D34" s="3" t="s">
        <v>25</v>
      </c>
      <c r="E34" s="3">
        <v>0.1</v>
      </c>
      <c r="F34" s="3">
        <v>0.1</v>
      </c>
      <c r="G34">
        <f>F34</f>
        <v>0.1</v>
      </c>
      <c r="H34" s="3">
        <f>0.25*G34</f>
        <v>2.5000000000000001E-2</v>
      </c>
      <c r="I34" s="3">
        <v>1</v>
      </c>
      <c r="J34" s="3" t="s">
        <v>26</v>
      </c>
      <c r="K34" s="3" t="s">
        <v>27</v>
      </c>
      <c r="L34" t="s">
        <v>38</v>
      </c>
      <c r="M34" t="s">
        <v>38</v>
      </c>
      <c r="N34" s="10">
        <v>180.601843765257</v>
      </c>
      <c r="O34" s="2">
        <v>169.18076041965301</v>
      </c>
      <c r="P34">
        <f>8*(N34/B34)^2</f>
        <v>7.9919705400696046E-3</v>
      </c>
      <c r="Q34" s="7">
        <f>8*(O34/B34)^2</f>
        <v>7.0131230703363743E-3</v>
      </c>
      <c r="R34" s="8">
        <f>(Q34-P34)/P34</f>
        <v>-0.122478863607611</v>
      </c>
      <c r="S34" s="6">
        <f t="shared" si="35"/>
        <v>35.529736174935877</v>
      </c>
      <c r="T34" s="2">
        <f>B34/4*P34</f>
        <v>11.416529916489431</v>
      </c>
      <c r="U34" s="6">
        <f>E34*N34</f>
        <v>18.060184376525701</v>
      </c>
      <c r="V34" s="6">
        <f>F34*N34</f>
        <v>18.060184376525701</v>
      </c>
      <c r="W34" s="6">
        <f>G34*N34</f>
        <v>18.060184376525701</v>
      </c>
      <c r="X34" s="2">
        <f>H34*N34</f>
        <v>4.5150460941314252</v>
      </c>
    </row>
    <row r="35" spans="1:24">
      <c r="A35" t="s">
        <v>39</v>
      </c>
      <c r="B35" s="3">
        <v>5714</v>
      </c>
      <c r="C35" s="3" t="s">
        <v>24</v>
      </c>
      <c r="D35" s="3" t="s">
        <v>28</v>
      </c>
      <c r="E35" s="3">
        <v>6.7000000000000004E-2</v>
      </c>
      <c r="F35" s="3">
        <v>6.7000000000000004E-2</v>
      </c>
      <c r="G35">
        <f>F35</f>
        <v>6.7000000000000004E-2</v>
      </c>
      <c r="H35" s="3">
        <f>0.25*G35</f>
        <v>1.6750000000000001E-2</v>
      </c>
      <c r="I35" s="3">
        <v>1</v>
      </c>
      <c r="J35" s="3" t="s">
        <v>26</v>
      </c>
      <c r="K35" s="3" t="s">
        <v>27</v>
      </c>
      <c r="L35" t="s">
        <v>38</v>
      </c>
      <c r="M35" t="s">
        <v>38</v>
      </c>
      <c r="N35" s="10">
        <v>180.601843765257</v>
      </c>
      <c r="O35" s="2">
        <v>176.73904168287399</v>
      </c>
      <c r="P35">
        <f>8*(N35/B35)^2</f>
        <v>7.9919705400696046E-3</v>
      </c>
      <c r="Q35" s="7">
        <f t="shared" ref="Q35:Q37" si="40">8*(O35/B35)^2</f>
        <v>7.6537541257484538E-3</v>
      </c>
      <c r="R35" s="8">
        <f t="shared" ref="R35:R37" si="41">(Q35-P35)/P35</f>
        <v>-4.2319527158593009E-2</v>
      </c>
      <c r="S35" s="6">
        <f t="shared" si="35"/>
        <v>37.117054606133841</v>
      </c>
      <c r="T35" s="2">
        <f t="shared" ref="T35:T37" si="42">B35/4*P35</f>
        <v>11.416529916489431</v>
      </c>
      <c r="U35" s="6">
        <f t="shared" ref="U35:U37" si="43">E35*N35</f>
        <v>12.10032353227222</v>
      </c>
      <c r="V35" s="6">
        <f>F35*N35</f>
        <v>12.10032353227222</v>
      </c>
      <c r="W35" s="6">
        <f t="shared" ref="W35:W37" si="44">G35*N35</f>
        <v>12.10032353227222</v>
      </c>
      <c r="X35" s="2">
        <f t="shared" ref="X35:X37" si="45">H35*N35</f>
        <v>3.0250808830680551</v>
      </c>
    </row>
    <row r="36" spans="1:24">
      <c r="A36" t="s">
        <v>39</v>
      </c>
      <c r="B36" s="3">
        <v>5714</v>
      </c>
      <c r="C36" s="3" t="s">
        <v>24</v>
      </c>
      <c r="D36" s="3" t="s">
        <v>29</v>
      </c>
      <c r="E36" s="3">
        <v>0.05</v>
      </c>
      <c r="F36" s="3">
        <v>0.05</v>
      </c>
      <c r="G36">
        <f>F36</f>
        <v>0.05</v>
      </c>
      <c r="H36" s="3">
        <f>0.25*G36</f>
        <v>1.2500000000000001E-2</v>
      </c>
      <c r="I36" s="3">
        <v>1</v>
      </c>
      <c r="J36" s="3" t="s">
        <v>26</v>
      </c>
      <c r="K36" s="3" t="s">
        <v>27</v>
      </c>
      <c r="L36" t="s">
        <v>38</v>
      </c>
      <c r="M36" t="s">
        <v>38</v>
      </c>
      <c r="N36" s="10">
        <v>180.601843765257</v>
      </c>
      <c r="O36" s="2">
        <v>178.742502800186</v>
      </c>
      <c r="P36">
        <f>8*(N36/B36)^2</f>
        <v>7.9919705400696046E-3</v>
      </c>
      <c r="Q36" s="7">
        <f t="shared" si="40"/>
        <v>7.8282589716087668E-3</v>
      </c>
      <c r="R36" s="8">
        <f t="shared" si="41"/>
        <v>-2.0484505997617457E-2</v>
      </c>
      <c r="S36" s="6">
        <f t="shared" si="35"/>
        <v>37.537802478162966</v>
      </c>
      <c r="T36" s="2">
        <f t="shared" si="42"/>
        <v>11.416529916489431</v>
      </c>
      <c r="U36" s="6">
        <f t="shared" si="43"/>
        <v>9.0300921882628504</v>
      </c>
      <c r="V36" s="6">
        <f>F36*N36</f>
        <v>9.0300921882628504</v>
      </c>
      <c r="W36" s="6">
        <f t="shared" si="44"/>
        <v>9.0300921882628504</v>
      </c>
      <c r="X36" s="2">
        <f t="shared" si="45"/>
        <v>2.2575230470657126</v>
      </c>
    </row>
    <row r="37" spans="1:24">
      <c r="A37" t="s">
        <v>39</v>
      </c>
      <c r="B37" s="3">
        <v>5714</v>
      </c>
      <c r="C37" s="3" t="s">
        <v>24</v>
      </c>
      <c r="D37" s="3" t="s">
        <v>30</v>
      </c>
      <c r="E37" s="3">
        <v>3.3000000000000002E-2</v>
      </c>
      <c r="F37" s="3">
        <v>3.3000000000000002E-2</v>
      </c>
      <c r="G37">
        <f>F37</f>
        <v>3.3000000000000002E-2</v>
      </c>
      <c r="H37" s="3">
        <f>0.25*G37</f>
        <v>8.2500000000000004E-3</v>
      </c>
      <c r="I37" s="3">
        <v>1</v>
      </c>
      <c r="J37" s="3" t="s">
        <v>26</v>
      </c>
      <c r="K37" s="3" t="s">
        <v>27</v>
      </c>
      <c r="L37" t="s">
        <v>38</v>
      </c>
      <c r="M37" t="s">
        <v>38</v>
      </c>
      <c r="N37" s="10">
        <v>180.601843765257</v>
      </c>
      <c r="O37" s="2">
        <v>179.976850819395</v>
      </c>
      <c r="P37">
        <f>8*(N37/B37)^2</f>
        <v>7.9919705400696046E-3</v>
      </c>
      <c r="Q37" s="7">
        <f t="shared" si="40"/>
        <v>7.936752028923369E-3</v>
      </c>
      <c r="R37" s="8">
        <f t="shared" si="41"/>
        <v>-6.9092485851123733E-3</v>
      </c>
      <c r="S37" s="6">
        <f t="shared" si="35"/>
        <v>37.797028523499122</v>
      </c>
      <c r="T37" s="2">
        <f t="shared" si="42"/>
        <v>11.416529916489431</v>
      </c>
      <c r="U37" s="6">
        <f t="shared" si="43"/>
        <v>5.9598608442534813</v>
      </c>
      <c r="V37" s="6">
        <f>F37*N37</f>
        <v>5.9598608442534813</v>
      </c>
      <c r="W37" s="6">
        <f t="shared" si="44"/>
        <v>5.9598608442534813</v>
      </c>
      <c r="X37" s="2">
        <f t="shared" si="45"/>
        <v>1.4899652110633703</v>
      </c>
    </row>
    <row r="38" spans="1:24">
      <c r="B38" s="3"/>
      <c r="C38" s="3"/>
      <c r="D38" s="3"/>
      <c r="E38" s="3"/>
      <c r="F38" s="3"/>
      <c r="H38" s="3"/>
      <c r="I38" s="3"/>
      <c r="J38" s="3"/>
      <c r="K38" s="3"/>
      <c r="M38" s="6"/>
      <c r="N38" s="10"/>
      <c r="O38" s="2"/>
      <c r="Q38" s="7"/>
      <c r="R38" s="8"/>
      <c r="S38" s="6"/>
      <c r="T38" s="2"/>
      <c r="U38" s="6"/>
      <c r="V38" s="6"/>
      <c r="W38" s="6"/>
      <c r="X38" s="6"/>
    </row>
    <row r="39" spans="1:24">
      <c r="B39" s="3"/>
      <c r="C39" s="3"/>
      <c r="D39" s="3"/>
      <c r="E39" s="3"/>
      <c r="F39" s="3"/>
      <c r="H39" s="3"/>
      <c r="I39" s="3"/>
      <c r="J39" s="3"/>
      <c r="K39" s="3"/>
      <c r="M39" s="6"/>
      <c r="N39" s="10"/>
      <c r="O39" s="2"/>
      <c r="Q39" s="7"/>
      <c r="R39" s="8"/>
      <c r="S39" s="6"/>
      <c r="T39" s="2"/>
      <c r="U39" s="6"/>
      <c r="V39" s="6"/>
      <c r="W39" s="6"/>
      <c r="X39" s="6"/>
    </row>
    <row r="40" spans="1:24">
      <c r="B40" s="3"/>
      <c r="C40" s="3"/>
      <c r="D40" s="3"/>
      <c r="E40" s="3"/>
      <c r="F40" s="3"/>
      <c r="H40" s="3"/>
      <c r="I40" s="3"/>
      <c r="J40" s="3"/>
      <c r="K40" s="3"/>
      <c r="M40" s="6"/>
      <c r="N40" s="10"/>
      <c r="O40" s="2"/>
      <c r="Q40" s="7"/>
      <c r="R40" s="8"/>
      <c r="S40" s="6"/>
      <c r="T40" s="2"/>
      <c r="U40" s="6"/>
      <c r="V40" s="6"/>
      <c r="W40" s="6"/>
      <c r="X40" s="6"/>
    </row>
    <row r="54" spans="1:19">
      <c r="A54" s="3" t="s">
        <v>40</v>
      </c>
    </row>
    <row r="55" spans="1:19">
      <c r="A55" s="3" t="s">
        <v>2</v>
      </c>
      <c r="B55" s="3" t="s">
        <v>3</v>
      </c>
      <c r="C55" s="3" t="s">
        <v>4</v>
      </c>
      <c r="D55" s="3" t="s">
        <v>41</v>
      </c>
      <c r="E55" s="3" t="s">
        <v>42</v>
      </c>
      <c r="F55" s="3" t="s">
        <v>43</v>
      </c>
      <c r="G55" s="3" t="s">
        <v>44</v>
      </c>
      <c r="H55" s="3" t="s">
        <v>7</v>
      </c>
      <c r="I55" s="3" t="s">
        <v>8</v>
      </c>
      <c r="J55" s="3" t="s">
        <v>9</v>
      </c>
      <c r="K55" s="3" t="s">
        <v>10</v>
      </c>
      <c r="L55" s="3" t="s">
        <v>11</v>
      </c>
      <c r="M55" s="3" t="s">
        <v>12</v>
      </c>
      <c r="N55" s="3" t="s">
        <v>13</v>
      </c>
      <c r="O55" s="3" t="s">
        <v>14</v>
      </c>
      <c r="P55" s="3" t="s">
        <v>15</v>
      </c>
      <c r="Q55" s="3" t="s">
        <v>16</v>
      </c>
      <c r="R55" s="3" t="s">
        <v>17</v>
      </c>
      <c r="S55" s="3" t="s">
        <v>18</v>
      </c>
    </row>
    <row r="56" spans="1:19">
      <c r="A56" s="3">
        <v>5714</v>
      </c>
      <c r="B56" s="3" t="s">
        <v>31</v>
      </c>
      <c r="C56" s="3" t="s">
        <v>32</v>
      </c>
      <c r="D56" s="6">
        <f>18.84*M56/384</f>
        <v>8.8607779597329213</v>
      </c>
      <c r="E56" s="6">
        <f>6.28*M56/256</f>
        <v>4.4303889798664606</v>
      </c>
      <c r="F56" s="6">
        <f>0.0229902*M56</f>
        <v>4.1520725085320116</v>
      </c>
      <c r="G56" s="2">
        <f>0.0001509047*M56</f>
        <v>2.7253667052842979E-2</v>
      </c>
      <c r="H56" s="2">
        <f>D56/E56</f>
        <v>2</v>
      </c>
      <c r="I56" s="3" t="s">
        <v>33</v>
      </c>
      <c r="J56" s="9" t="s">
        <v>27</v>
      </c>
      <c r="K56">
        <v>0</v>
      </c>
      <c r="L56">
        <v>0</v>
      </c>
      <c r="M56" s="2">
        <v>180.601843765257</v>
      </c>
      <c r="O56">
        <f>8*(M56/A56)^2</f>
        <v>7.9919705400696046E-3</v>
      </c>
      <c r="S56" s="2">
        <f>2857*O56/2</f>
        <v>11.416529916489431</v>
      </c>
    </row>
    <row r="58" spans="1:19">
      <c r="A58" t="s">
        <v>45</v>
      </c>
    </row>
    <row r="59" spans="1:19">
      <c r="A59"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45900-CF34-4783-B8B3-D2DA1ADCC55F}">
  <dimension ref="A1:X29"/>
  <sheetViews>
    <sheetView zoomScale="55" zoomScaleNormal="55" workbookViewId="0">
      <selection activeCell="X2" sqref="X2"/>
    </sheetView>
  </sheetViews>
  <sheetFormatPr defaultRowHeight="14.5"/>
  <cols>
    <col min="1" max="1" width="36.81640625" customWidth="1"/>
    <col min="2" max="2" width="5.81640625" bestFit="1" customWidth="1"/>
    <col min="3" max="3" width="21.453125" customWidth="1"/>
    <col min="4" max="4" width="9.26953125" bestFit="1" customWidth="1"/>
    <col min="5" max="5" width="9" customWidth="1"/>
    <col min="6" max="6" width="6.453125" bestFit="1" customWidth="1"/>
    <col min="7" max="7" width="9.1796875" customWidth="1"/>
    <col min="8" max="8" width="12.81640625" customWidth="1"/>
    <col min="9" max="9" width="8.81640625" bestFit="1" customWidth="1"/>
    <col min="10" max="10" width="15.1796875" bestFit="1" customWidth="1"/>
    <col min="11" max="11" width="8.1796875" bestFit="1" customWidth="1"/>
    <col min="12" max="12" width="5" bestFit="1" customWidth="1"/>
    <col min="13" max="13" width="5.453125" bestFit="1" customWidth="1"/>
    <col min="14" max="14" width="13.6328125" customWidth="1"/>
    <col min="15" max="15" width="11.26953125" customWidth="1"/>
    <col min="16" max="17" width="7.453125" bestFit="1" customWidth="1"/>
    <col min="18" max="18" width="12.1796875" customWidth="1"/>
    <col min="19" max="19" width="13.453125" bestFit="1" customWidth="1"/>
    <col min="20" max="20" width="9.7265625" bestFit="1" customWidth="1"/>
    <col min="21" max="22" width="7.81640625" bestFit="1" customWidth="1"/>
    <col min="23" max="23" width="9.54296875" bestFit="1" customWidth="1"/>
    <col min="24" max="24" width="10.1796875" bestFit="1" customWidth="1"/>
  </cols>
  <sheetData>
    <row r="1" spans="1:24">
      <c r="B1" s="3" t="s">
        <v>2</v>
      </c>
      <c r="C1" s="3" t="s">
        <v>3</v>
      </c>
      <c r="D1" s="3" t="s">
        <v>4</v>
      </c>
      <c r="E1" s="3" t="s">
        <v>0</v>
      </c>
      <c r="F1" s="3" t="s">
        <v>1</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row>
    <row r="2" spans="1:24">
      <c r="A2" s="18" t="s">
        <v>47</v>
      </c>
      <c r="B2" s="19">
        <v>13750</v>
      </c>
      <c r="C2" s="19" t="s">
        <v>48</v>
      </c>
      <c r="D2" s="19" t="s">
        <v>49</v>
      </c>
      <c r="E2" s="20">
        <f>6.4/64</f>
        <v>0.1</v>
      </c>
      <c r="F2" s="21">
        <f>2.4/48</f>
        <v>4.9999999999999996E-2</v>
      </c>
      <c r="G2" s="20">
        <v>0.1051999</v>
      </c>
      <c r="H2" s="22">
        <v>3.1166459999999998E-3</v>
      </c>
      <c r="I2" s="23">
        <f>E2/F2</f>
        <v>2.0000000000000004</v>
      </c>
      <c r="J2" s="19" t="s">
        <v>50</v>
      </c>
      <c r="K2" s="19" t="s">
        <v>27</v>
      </c>
      <c r="L2" s="19" t="s">
        <v>38</v>
      </c>
      <c r="M2" s="23" t="s">
        <v>38</v>
      </c>
      <c r="N2" s="24">
        <v>392.24</v>
      </c>
      <c r="O2" s="24">
        <v>379.55567183701601</v>
      </c>
      <c r="P2" s="25">
        <f>8*(N2/B2)^2</f>
        <v>6.5101103645619834E-3</v>
      </c>
      <c r="Q2" s="25">
        <f>8*(O2/B2)^2</f>
        <v>6.0958681081081057E-3</v>
      </c>
      <c r="R2" s="26">
        <f>(Q2-P2)/P2</f>
        <v>-6.3630604284194633E-2</v>
      </c>
      <c r="S2" s="27">
        <f>200*2*O2/B2</f>
        <v>11.041619544349556</v>
      </c>
      <c r="T2" s="28">
        <f>B2/4*P2</f>
        <v>22.37850437818182</v>
      </c>
      <c r="U2" s="27">
        <f>E2*N2</f>
        <v>39.224000000000004</v>
      </c>
      <c r="V2" s="27">
        <f>F2*N2</f>
        <v>19.611999999999998</v>
      </c>
      <c r="W2" s="27">
        <f>G2*N2</f>
        <v>41.263608775999998</v>
      </c>
      <c r="X2" s="27">
        <f>H2*N2</f>
        <v>1.2224732270400001</v>
      </c>
    </row>
    <row r="3" spans="1:24">
      <c r="A3" s="18" t="s">
        <v>47</v>
      </c>
      <c r="B3" s="19">
        <v>13750</v>
      </c>
      <c r="C3" s="19" t="s">
        <v>48</v>
      </c>
      <c r="D3" s="19" t="s">
        <v>51</v>
      </c>
      <c r="E3" s="20">
        <f>6.4/64</f>
        <v>0.1</v>
      </c>
      <c r="F3" s="21">
        <f>2.4/48</f>
        <v>4.9999999999999996E-2</v>
      </c>
      <c r="G3" s="20">
        <v>7.9024239999999996E-2</v>
      </c>
      <c r="H3" s="22">
        <v>2.2765490000000001E-3</v>
      </c>
      <c r="I3" s="23">
        <f>E3/F3</f>
        <v>2.0000000000000004</v>
      </c>
      <c r="J3" s="19" t="s">
        <v>50</v>
      </c>
      <c r="K3" s="19" t="s">
        <v>27</v>
      </c>
      <c r="L3" s="19" t="s">
        <v>38</v>
      </c>
      <c r="M3" s="23" t="s">
        <v>38</v>
      </c>
      <c r="N3" s="24">
        <v>392.24</v>
      </c>
      <c r="O3" s="24">
        <v>394.54572701161601</v>
      </c>
      <c r="P3" s="25">
        <f>8*(N3/B3)^2</f>
        <v>6.5101103645619834E-3</v>
      </c>
      <c r="Q3" s="25">
        <f>8*(O3/B3)^2</f>
        <v>6.5868728363636213E-3</v>
      </c>
      <c r="R3" s="26">
        <f>(Q3-P3)/P3</f>
        <v>1.1791270424461176E-2</v>
      </c>
      <c r="S3" s="27">
        <f>200*2*O3/B3</f>
        <v>11.477693876701558</v>
      </c>
      <c r="T3" s="28">
        <f>B3/4*P3</f>
        <v>22.37850437818182</v>
      </c>
      <c r="U3" s="27">
        <f>E3*N3</f>
        <v>39.224000000000004</v>
      </c>
      <c r="V3" s="27">
        <f>F3*N3</f>
        <v>19.611999999999998</v>
      </c>
      <c r="W3" s="27">
        <f>G3*N3</f>
        <v>30.996467897599999</v>
      </c>
      <c r="X3" s="27">
        <f>H3*N3</f>
        <v>0.89295357976000012</v>
      </c>
    </row>
    <row r="4" spans="1:24">
      <c r="A4" s="18" t="s">
        <v>47</v>
      </c>
      <c r="B4" s="19">
        <v>13750</v>
      </c>
      <c r="C4" s="19" t="s">
        <v>48</v>
      </c>
      <c r="D4" s="19" t="s">
        <v>52</v>
      </c>
      <c r="E4" s="20">
        <f>6.4/64</f>
        <v>0.1</v>
      </c>
      <c r="F4" s="21">
        <f>2.4/48</f>
        <v>4.9999999999999996E-2</v>
      </c>
      <c r="G4" s="20">
        <v>7.0273719999999998E-2</v>
      </c>
      <c r="H4" s="22">
        <v>2.0059510000000002E-3</v>
      </c>
      <c r="I4" s="23">
        <f>E4/F4</f>
        <v>2.0000000000000004</v>
      </c>
      <c r="J4" s="19" t="s">
        <v>50</v>
      </c>
      <c r="K4" s="19" t="s">
        <v>27</v>
      </c>
      <c r="L4" s="19" t="s">
        <v>38</v>
      </c>
      <c r="M4" s="23" t="s">
        <v>38</v>
      </c>
      <c r="N4" s="24">
        <v>392.24</v>
      </c>
      <c r="O4" s="24">
        <v>398.03062729805799</v>
      </c>
      <c r="P4" s="25">
        <f>8*(N4/B4)^2</f>
        <v>6.5101103645619834E-3</v>
      </c>
      <c r="Q4" s="25">
        <f>8*(O4/B4)^2</f>
        <v>6.7037463385826619E-3</v>
      </c>
      <c r="R4" s="26">
        <f>(Q4-P4)/P4</f>
        <v>2.974388499997524E-2</v>
      </c>
      <c r="S4" s="27">
        <f>200*2*O4/B4</f>
        <v>11.579072794125324</v>
      </c>
      <c r="T4" s="28">
        <f>B4/4*P4</f>
        <v>22.37850437818182</v>
      </c>
      <c r="U4" s="27">
        <f>E4*N4</f>
        <v>39.224000000000004</v>
      </c>
      <c r="V4" s="27">
        <f>F4*N4</f>
        <v>19.611999999999998</v>
      </c>
      <c r="W4" s="27">
        <f>G4*N4</f>
        <v>27.5641639328</v>
      </c>
      <c r="X4" s="27">
        <f>H4*N4</f>
        <v>0.78681422024000014</v>
      </c>
    </row>
    <row r="5" spans="1:24">
      <c r="A5" s="18" t="s">
        <v>47</v>
      </c>
      <c r="B5" s="19">
        <v>13750</v>
      </c>
      <c r="C5" s="19" t="s">
        <v>48</v>
      </c>
      <c r="D5" s="19" t="s">
        <v>53</v>
      </c>
      <c r="E5" s="20">
        <f>6.4/64</f>
        <v>0.1</v>
      </c>
      <c r="F5" s="21">
        <f>2.4/48</f>
        <v>4.9999999999999996E-2</v>
      </c>
      <c r="G5" s="20">
        <v>5.2742379999999998E-2</v>
      </c>
      <c r="H5" s="22">
        <v>1.478437E-3</v>
      </c>
      <c r="I5" s="23">
        <f>E5/F5</f>
        <v>2.0000000000000004</v>
      </c>
      <c r="J5" s="19" t="s">
        <v>50</v>
      </c>
      <c r="K5" s="19" t="s">
        <v>27</v>
      </c>
      <c r="L5" s="19" t="s">
        <v>38</v>
      </c>
      <c r="M5" s="23" t="s">
        <v>38</v>
      </c>
      <c r="N5" s="24">
        <v>392.24</v>
      </c>
      <c r="O5" s="24">
        <v>405.81349118623302</v>
      </c>
      <c r="P5" s="25">
        <f>8*(N5/B5)^2</f>
        <v>6.5101103645619834E-3</v>
      </c>
      <c r="Q5" s="25">
        <f>8*(O5/B5)^2</f>
        <v>6.9684718917292993E-3</v>
      </c>
      <c r="R5" s="26">
        <f>(Q5-P5)/P5</f>
        <v>7.040764311192374E-2</v>
      </c>
      <c r="S5" s="27">
        <f>200*2*O5/B5</f>
        <v>11.805483379963142</v>
      </c>
      <c r="T5" s="28">
        <f>B5/4*P5</f>
        <v>22.37850437818182</v>
      </c>
      <c r="U5" s="27">
        <f>E5*N5</f>
        <v>39.224000000000004</v>
      </c>
      <c r="V5" s="27">
        <f>F5*N5</f>
        <v>19.611999999999998</v>
      </c>
      <c r="W5" s="27">
        <f>G5*N5</f>
        <v>20.687671131199998</v>
      </c>
      <c r="X5" s="27">
        <f>H5*N5</f>
        <v>0.57990212888000003</v>
      </c>
    </row>
    <row r="6" spans="1:24">
      <c r="A6" s="18"/>
      <c r="B6" s="18"/>
      <c r="C6" s="18"/>
      <c r="D6" s="18"/>
      <c r="E6" s="18"/>
      <c r="F6" s="18"/>
      <c r="G6" s="18"/>
      <c r="H6" s="18"/>
      <c r="I6" s="18"/>
      <c r="J6" s="18"/>
      <c r="K6" s="18"/>
      <c r="L6" s="18"/>
      <c r="M6" s="18"/>
      <c r="N6" s="18"/>
      <c r="O6" s="18"/>
      <c r="P6" s="18"/>
      <c r="Q6" s="18"/>
      <c r="R6" s="18"/>
      <c r="S6" s="18"/>
      <c r="T6" s="18"/>
      <c r="U6" s="18"/>
      <c r="V6" s="18"/>
      <c r="W6" s="18"/>
      <c r="X6" s="18"/>
    </row>
    <row r="7" spans="1:24">
      <c r="A7" s="18" t="s">
        <v>54</v>
      </c>
      <c r="B7" s="19">
        <v>13750</v>
      </c>
      <c r="C7" s="19" t="s">
        <v>48</v>
      </c>
      <c r="D7" s="19" t="s">
        <v>51</v>
      </c>
      <c r="E7" s="20">
        <f>6.4/64</f>
        <v>0.1</v>
      </c>
      <c r="F7" s="21">
        <f>2.4/48</f>
        <v>4.9999999999999996E-2</v>
      </c>
      <c r="G7" s="20">
        <v>7.9024239999999996E-2</v>
      </c>
      <c r="H7" s="22">
        <v>2.2765490000000001E-3</v>
      </c>
      <c r="I7" s="23">
        <f>E7/F7</f>
        <v>2.0000000000000004</v>
      </c>
      <c r="J7" s="19" t="s">
        <v>50</v>
      </c>
      <c r="K7" s="19" t="s">
        <v>27</v>
      </c>
      <c r="L7" s="19" t="s">
        <v>38</v>
      </c>
      <c r="M7" s="23" t="s">
        <v>38</v>
      </c>
      <c r="N7" s="24">
        <v>392.24</v>
      </c>
      <c r="O7" s="24">
        <v>414.45095628320399</v>
      </c>
      <c r="P7" s="25">
        <f>8*(N7/B7)^2</f>
        <v>6.5101103645619834E-3</v>
      </c>
      <c r="Q7" s="25">
        <f>8*(O7/B7)^2</f>
        <v>7.2682671672727175E-3</v>
      </c>
      <c r="R7" s="26">
        <f>(Q7-P7)/P7</f>
        <v>0.11645836402986154</v>
      </c>
      <c r="S7" s="27">
        <f>200*2*O9/B7</f>
        <v>9.9983509527418164</v>
      </c>
      <c r="T7" s="28">
        <f>B7/4*P7</f>
        <v>22.37850437818182</v>
      </c>
      <c r="U7" s="27">
        <f>E7*N7</f>
        <v>39.224000000000004</v>
      </c>
      <c r="V7" s="27">
        <f>F7*N7</f>
        <v>19.611999999999998</v>
      </c>
      <c r="W7" s="27">
        <f>G7*N7</f>
        <v>30.996467897599999</v>
      </c>
      <c r="X7" s="27">
        <f>H7*N7</f>
        <v>0.89295357976000012</v>
      </c>
    </row>
    <row r="8" spans="1:24">
      <c r="A8" s="18" t="s">
        <v>55</v>
      </c>
      <c r="B8" s="19">
        <v>13750</v>
      </c>
      <c r="C8" s="19" t="s">
        <v>48</v>
      </c>
      <c r="D8" s="19" t="s">
        <v>51</v>
      </c>
      <c r="E8" s="20">
        <f>6.4/64</f>
        <v>0.1</v>
      </c>
      <c r="F8" s="21">
        <f>2.4/48</f>
        <v>4.9999999999999996E-2</v>
      </c>
      <c r="G8" s="20">
        <v>7.9024239999999996E-2</v>
      </c>
      <c r="H8" s="22">
        <v>2.2765490000000001E-3</v>
      </c>
      <c r="I8" s="23">
        <f>E8/F8</f>
        <v>2.0000000000000004</v>
      </c>
      <c r="J8" s="19" t="s">
        <v>50</v>
      </c>
      <c r="K8" s="19" t="s">
        <v>27</v>
      </c>
      <c r="L8" s="19" t="s">
        <v>38</v>
      </c>
      <c r="M8" s="23" t="s">
        <v>38</v>
      </c>
      <c r="N8" s="24">
        <v>392.24</v>
      </c>
      <c r="O8" s="24">
        <v>399.11975417652701</v>
      </c>
      <c r="P8" s="25">
        <f>8*(N8/B8)^2</f>
        <v>6.5101103645619834E-3</v>
      </c>
      <c r="Q8" s="25">
        <f>8*(O8/B8)^2</f>
        <v>6.7404833078556084E-3</v>
      </c>
      <c r="R8" s="26">
        <f>(Q8-P8)/P8</f>
        <v>3.5386948975192234E-2</v>
      </c>
      <c r="S8" s="27">
        <f>200*2*O8/B8</f>
        <v>11.610756485135331</v>
      </c>
      <c r="T8" s="28">
        <f>B8/4*P8</f>
        <v>22.37850437818182</v>
      </c>
      <c r="U8" s="27">
        <f>E8*N8</f>
        <v>39.224000000000004</v>
      </c>
      <c r="V8" s="27">
        <f>F8*N8</f>
        <v>19.611999999999998</v>
      </c>
      <c r="W8" s="27">
        <f>G8*N8</f>
        <v>30.996467897599999</v>
      </c>
      <c r="X8" s="27">
        <f>H8*N8</f>
        <v>0.89295357976000012</v>
      </c>
    </row>
    <row r="9" spans="1:24">
      <c r="A9" s="18" t="s">
        <v>56</v>
      </c>
      <c r="B9" s="19">
        <v>13750</v>
      </c>
      <c r="C9" s="19" t="s">
        <v>48</v>
      </c>
      <c r="D9" s="19" t="s">
        <v>51</v>
      </c>
      <c r="E9" s="20">
        <f>6.4/64</f>
        <v>0.1</v>
      </c>
      <c r="F9" s="21">
        <f>2.4/48</f>
        <v>4.9999999999999996E-2</v>
      </c>
      <c r="G9" s="20">
        <v>7.9024239999999996E-2</v>
      </c>
      <c r="H9" s="22">
        <v>2.2765490000000001E-3</v>
      </c>
      <c r="I9" s="23">
        <f>E9/F9</f>
        <v>2.0000000000000004</v>
      </c>
      <c r="J9" s="19" t="s">
        <v>50</v>
      </c>
      <c r="K9" s="19" t="s">
        <v>27</v>
      </c>
      <c r="L9" s="19" t="s">
        <v>38</v>
      </c>
      <c r="M9" s="23" t="s">
        <v>38</v>
      </c>
      <c r="N9" s="24">
        <v>392.24</v>
      </c>
      <c r="O9" s="24">
        <v>343.69331400049998</v>
      </c>
      <c r="P9" s="25">
        <f>8*(N9/B9)^2</f>
        <v>6.5101103645619834E-3</v>
      </c>
      <c r="Q9" s="25">
        <f>8*(O9/B9)^2</f>
        <v>4.998351088709661E-3</v>
      </c>
      <c r="R9" s="26">
        <f>(Q9-P9)/P9</f>
        <v>-0.23221715012415728</v>
      </c>
      <c r="S9" s="27">
        <f>200*2*O7/B9</f>
        <v>12.056755091875026</v>
      </c>
      <c r="T9" s="28">
        <f>B9/4*P9</f>
        <v>22.37850437818182</v>
      </c>
      <c r="U9" s="27">
        <f>E9*N9</f>
        <v>39.224000000000004</v>
      </c>
      <c r="V9" s="27">
        <f>F9*N9</f>
        <v>19.611999999999998</v>
      </c>
      <c r="W9" s="27">
        <f>G9*N9</f>
        <v>30.996467897599999</v>
      </c>
      <c r="X9" s="27">
        <f>H9*N9</f>
        <v>0.89295357976000012</v>
      </c>
    </row>
    <row r="10" spans="1:24">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c r="A11" s="18" t="s">
        <v>57</v>
      </c>
      <c r="B11" s="19">
        <v>13750</v>
      </c>
      <c r="C11" s="19" t="s">
        <v>48</v>
      </c>
      <c r="D11" s="19" t="s">
        <v>49</v>
      </c>
      <c r="E11" s="20">
        <f>6.4/64</f>
        <v>0.1</v>
      </c>
      <c r="F11" s="21">
        <f>2.4/48</f>
        <v>4.9999999999999996E-2</v>
      </c>
      <c r="G11" s="20">
        <v>0.1051999</v>
      </c>
      <c r="H11" s="22">
        <v>3.1166459999999998E-3</v>
      </c>
      <c r="I11" s="23">
        <f>E11/F11</f>
        <v>2.0000000000000004</v>
      </c>
      <c r="J11" s="19" t="s">
        <v>50</v>
      </c>
      <c r="K11" s="19" t="s">
        <v>27</v>
      </c>
      <c r="L11" s="19" t="s">
        <v>38</v>
      </c>
      <c r="M11" s="23" t="s">
        <v>38</v>
      </c>
      <c r="N11" s="24">
        <v>392.24</v>
      </c>
      <c r="O11" s="24">
        <v>359.80788319843202</v>
      </c>
      <c r="P11" s="25">
        <f>8*(N11/B11)^2</f>
        <v>6.5101103645619834E-3</v>
      </c>
      <c r="Q11" s="25">
        <f>8*(O11/B11)^2</f>
        <v>5.4780493355048839E-3</v>
      </c>
      <c r="R11" s="26">
        <f>(Q11-P11)/P11</f>
        <v>-0.15853203267876384</v>
      </c>
      <c r="S11" s="27">
        <f>200*2*O11/B11</f>
        <v>10.467138420318022</v>
      </c>
      <c r="T11" s="28">
        <f>B11/4*P11</f>
        <v>22.37850437818182</v>
      </c>
      <c r="U11" s="27">
        <f>E11*N11</f>
        <v>39.224000000000004</v>
      </c>
      <c r="V11" s="27">
        <f>F11*N11</f>
        <v>19.611999999999998</v>
      </c>
      <c r="W11" s="27">
        <f>G11*N11</f>
        <v>41.263608775999998</v>
      </c>
      <c r="X11" s="27">
        <f>H11*N11</f>
        <v>1.2224732270400001</v>
      </c>
    </row>
    <row r="12" spans="1:24">
      <c r="A12" s="18" t="s">
        <v>57</v>
      </c>
      <c r="B12" s="19">
        <v>13750</v>
      </c>
      <c r="C12" s="19" t="s">
        <v>48</v>
      </c>
      <c r="D12" s="19" t="s">
        <v>51</v>
      </c>
      <c r="E12" s="20">
        <f>6.4/64</f>
        <v>0.1</v>
      </c>
      <c r="F12" s="21">
        <f>2.4/48</f>
        <v>4.9999999999999996E-2</v>
      </c>
      <c r="G12" s="20">
        <v>7.9024239999999996E-2</v>
      </c>
      <c r="H12" s="22">
        <v>2.2765490000000001E-3</v>
      </c>
      <c r="I12" s="23">
        <f>E12/F12</f>
        <v>2.0000000000000004</v>
      </c>
      <c r="J12" s="19" t="s">
        <v>50</v>
      </c>
      <c r="K12" s="19" t="s">
        <v>27</v>
      </c>
      <c r="L12" s="19" t="s">
        <v>38</v>
      </c>
      <c r="M12" s="23" t="s">
        <v>38</v>
      </c>
      <c r="N12" s="24">
        <v>392.24</v>
      </c>
      <c r="O12" s="24">
        <v>372.90640676907401</v>
      </c>
      <c r="P12" s="25">
        <f>8*(N12/B12)^2</f>
        <v>6.5101103645619834E-3</v>
      </c>
      <c r="Q12" s="25">
        <f>8*(O12/B12)^2</f>
        <v>5.8841573853904228E-3</v>
      </c>
      <c r="R12" s="26">
        <f>(Q12-P12)/P12</f>
        <v>-9.6150901308671793E-2</v>
      </c>
      <c r="S12" s="27">
        <f>200*2*O12/B12</f>
        <v>10.848186378736699</v>
      </c>
      <c r="T12" s="28">
        <f>B12/4*P12</f>
        <v>22.37850437818182</v>
      </c>
      <c r="U12" s="27">
        <f>E12*N12</f>
        <v>39.224000000000004</v>
      </c>
      <c r="V12" s="27">
        <f>F12*N12</f>
        <v>19.611999999999998</v>
      </c>
      <c r="W12" s="27">
        <f>G12*N12</f>
        <v>30.996467897599999</v>
      </c>
      <c r="X12" s="27">
        <f>H12*N12</f>
        <v>0.89295357976000012</v>
      </c>
    </row>
    <row r="13" spans="1:24">
      <c r="A13" s="18" t="s">
        <v>57</v>
      </c>
      <c r="B13" s="19">
        <v>13750</v>
      </c>
      <c r="C13" s="19" t="s">
        <v>48</v>
      </c>
      <c r="D13" s="19" t="s">
        <v>52</v>
      </c>
      <c r="E13" s="20">
        <f>6.4/64</f>
        <v>0.1</v>
      </c>
      <c r="F13" s="21">
        <f>2.4/48</f>
        <v>4.9999999999999996E-2</v>
      </c>
      <c r="G13" s="20">
        <v>7.0273719999999998E-2</v>
      </c>
      <c r="H13" s="22">
        <v>2.0059510000000002E-3</v>
      </c>
      <c r="I13" s="23">
        <f>E13/F13</f>
        <v>2.0000000000000004</v>
      </c>
      <c r="J13" s="19" t="s">
        <v>50</v>
      </c>
      <c r="K13" s="19" t="s">
        <v>27</v>
      </c>
      <c r="L13" s="19" t="s">
        <v>38</v>
      </c>
      <c r="M13" s="23" t="s">
        <v>38</v>
      </c>
      <c r="N13" s="24">
        <v>392.24</v>
      </c>
      <c r="O13" s="24">
        <v>376.795174099159</v>
      </c>
      <c r="P13" s="25">
        <f>8*(N13/B13)^2</f>
        <v>6.5101103645619834E-3</v>
      </c>
      <c r="Q13" s="25">
        <f>8*(O13/B13)^2</f>
        <v>6.0075204009008886E-3</v>
      </c>
      <c r="R13" s="26">
        <f>(Q13-P13)/P13</f>
        <v>-7.7201450592444806E-2</v>
      </c>
      <c r="S13" s="27">
        <f>200*2*O13/B13</f>
        <v>10.961314155611898</v>
      </c>
      <c r="T13" s="28">
        <f>B13/4*P13</f>
        <v>22.37850437818182</v>
      </c>
      <c r="U13" s="27">
        <f>E13*N13</f>
        <v>39.224000000000004</v>
      </c>
      <c r="V13" s="27">
        <f>F13*N13</f>
        <v>19.611999999999998</v>
      </c>
      <c r="W13" s="27">
        <f>G13*N13</f>
        <v>27.5641639328</v>
      </c>
      <c r="X13" s="27">
        <f>H13*N13</f>
        <v>0.78681422024000014</v>
      </c>
    </row>
    <row r="14" spans="1:24">
      <c r="A14" s="18" t="s">
        <v>57</v>
      </c>
      <c r="B14" s="19">
        <v>13750</v>
      </c>
      <c r="C14" s="19" t="s">
        <v>48</v>
      </c>
      <c r="D14" s="19" t="s">
        <v>53</v>
      </c>
      <c r="E14" s="20">
        <f>6.4/64</f>
        <v>0.1</v>
      </c>
      <c r="F14" s="21">
        <f>2.4/48</f>
        <v>4.9999999999999996E-2</v>
      </c>
      <c r="G14" s="20">
        <v>5.2742379999999998E-2</v>
      </c>
      <c r="H14" s="22">
        <v>1.478437E-3</v>
      </c>
      <c r="I14" s="23">
        <f>E14/F14</f>
        <v>2.0000000000000004</v>
      </c>
      <c r="J14" s="19" t="s">
        <v>50</v>
      </c>
      <c r="K14" s="19" t="s">
        <v>27</v>
      </c>
      <c r="L14" s="19" t="s">
        <v>38</v>
      </c>
      <c r="M14" s="23" t="s">
        <v>38</v>
      </c>
      <c r="N14" s="24">
        <v>392.24</v>
      </c>
      <c r="O14" s="24">
        <v>383.31876702145502</v>
      </c>
      <c r="P14" s="25">
        <f>8*(N14/B14)^2</f>
        <v>6.5101103645619834E-3</v>
      </c>
      <c r="Q14" s="25">
        <f>8*(O14/B14)^2</f>
        <v>6.217341975308632E-3</v>
      </c>
      <c r="R14" s="26">
        <f>(Q14-P14)/P14</f>
        <v>-4.4971340401085448E-2</v>
      </c>
      <c r="S14" s="27">
        <f>200*2*O14/B14</f>
        <v>11.151091404260509</v>
      </c>
      <c r="T14" s="28">
        <f>B14/4*P14</f>
        <v>22.37850437818182</v>
      </c>
      <c r="U14" s="27">
        <f>E14*N14</f>
        <v>39.224000000000004</v>
      </c>
      <c r="V14" s="27">
        <f>F14*N14</f>
        <v>19.611999999999998</v>
      </c>
      <c r="W14" s="27">
        <f>G14*N14</f>
        <v>20.687671131199998</v>
      </c>
      <c r="X14" s="27">
        <f>H14*N14</f>
        <v>0.57990212888000003</v>
      </c>
    </row>
    <row r="15" spans="1:24">
      <c r="B15" s="3"/>
      <c r="C15" s="3"/>
      <c r="D15" s="3"/>
      <c r="E15" s="3"/>
      <c r="F15" s="3"/>
      <c r="H15" s="3"/>
      <c r="I15" s="3"/>
      <c r="J15" s="3"/>
      <c r="K15" s="3"/>
      <c r="M15" s="6"/>
      <c r="N15" s="10"/>
      <c r="O15" s="2"/>
      <c r="P15" s="7"/>
      <c r="Q15" s="7"/>
      <c r="R15" s="8"/>
      <c r="S15" s="6"/>
      <c r="T15" s="2"/>
      <c r="U15" s="6"/>
      <c r="V15" s="6"/>
      <c r="W15" s="6"/>
      <c r="X15" s="6"/>
    </row>
    <row r="16" spans="1:24">
      <c r="B16" s="3"/>
      <c r="C16" s="3"/>
      <c r="D16" s="3"/>
      <c r="E16" s="3"/>
      <c r="F16" s="3"/>
      <c r="H16" s="3"/>
      <c r="I16" s="3"/>
      <c r="J16" s="3"/>
      <c r="K16" s="3"/>
      <c r="M16" s="6"/>
      <c r="N16" s="10"/>
      <c r="O16" s="2"/>
      <c r="P16" s="7"/>
      <c r="Q16" s="7"/>
      <c r="R16" s="8"/>
      <c r="S16" s="6"/>
      <c r="T16" s="2"/>
      <c r="U16" s="6"/>
      <c r="V16" s="6"/>
      <c r="W16" s="6"/>
      <c r="X16" s="6"/>
    </row>
    <row r="18" spans="2:24">
      <c r="W18" s="6"/>
      <c r="X18" s="6"/>
    </row>
    <row r="19" spans="2:24">
      <c r="W19" s="6"/>
      <c r="X19" s="6"/>
    </row>
    <row r="20" spans="2:24">
      <c r="B20" s="3"/>
      <c r="C20" s="3"/>
      <c r="D20" s="3"/>
      <c r="E20" s="14"/>
      <c r="F20" s="3"/>
      <c r="G20" s="14"/>
      <c r="H20" s="11"/>
      <c r="I20" s="15"/>
      <c r="J20" s="3"/>
      <c r="K20" s="3"/>
      <c r="L20" s="3"/>
      <c r="M20" s="15"/>
      <c r="N20" s="10"/>
      <c r="O20" s="2"/>
      <c r="P20" s="7"/>
      <c r="Q20" s="7"/>
      <c r="R20" s="8"/>
      <c r="S20" s="6"/>
      <c r="T20" s="2"/>
      <c r="U20" s="6"/>
      <c r="V20" s="6"/>
      <c r="W20" s="6"/>
      <c r="X20" s="6"/>
    </row>
    <row r="21" spans="2:24">
      <c r="B21" s="3"/>
      <c r="C21" s="3"/>
      <c r="D21" s="3"/>
      <c r="E21" s="14"/>
      <c r="F21" s="3"/>
      <c r="G21" s="14"/>
      <c r="H21" s="11"/>
      <c r="I21" s="15"/>
      <c r="J21" s="3"/>
      <c r="K21" s="3"/>
      <c r="L21" s="3"/>
      <c r="M21" s="15"/>
      <c r="N21" s="10"/>
      <c r="O21" s="2"/>
      <c r="P21" s="7"/>
      <c r="Q21" s="7"/>
      <c r="R21" s="8"/>
      <c r="S21" s="6"/>
      <c r="T21" s="2"/>
      <c r="U21" s="6"/>
      <c r="V21" s="6"/>
      <c r="W21" s="6"/>
      <c r="X21" s="6"/>
    </row>
    <row r="22" spans="2:24">
      <c r="B22" s="3"/>
      <c r="C22" s="3"/>
      <c r="D22" s="3"/>
      <c r="E22" s="14"/>
      <c r="F22" s="3"/>
      <c r="G22" s="14"/>
      <c r="H22" s="11"/>
      <c r="I22" s="15"/>
      <c r="J22" s="3"/>
      <c r="K22" s="3"/>
      <c r="L22" s="3"/>
      <c r="M22" s="15"/>
      <c r="N22" s="10"/>
      <c r="O22" s="2"/>
      <c r="P22" s="7"/>
      <c r="Q22" s="7"/>
      <c r="R22" s="8"/>
      <c r="S22" s="6"/>
      <c r="T22" s="2"/>
      <c r="U22" s="6"/>
      <c r="V22" s="6"/>
      <c r="W22" s="6"/>
      <c r="X22" s="6"/>
    </row>
    <row r="23" spans="2:24">
      <c r="B23" s="3"/>
      <c r="C23" s="3"/>
      <c r="D23" s="3"/>
      <c r="E23" s="14"/>
      <c r="F23" s="3"/>
      <c r="G23" s="14"/>
      <c r="H23" s="11"/>
      <c r="I23" s="15"/>
      <c r="J23" s="3"/>
      <c r="K23" s="3"/>
      <c r="L23" s="3"/>
      <c r="M23" s="15"/>
      <c r="N23" s="10"/>
      <c r="O23" s="2"/>
      <c r="P23" s="7"/>
      <c r="Q23" s="7"/>
      <c r="R23" s="8"/>
      <c r="S23" s="6"/>
      <c r="T23" s="2"/>
      <c r="U23" s="6"/>
      <c r="V23" s="6"/>
      <c r="W23" s="6"/>
      <c r="X23" s="6"/>
    </row>
    <row r="24" spans="2:24">
      <c r="B24" s="3"/>
      <c r="C24" s="3"/>
      <c r="D24" s="3"/>
      <c r="E24" s="14"/>
      <c r="F24" s="3"/>
      <c r="G24" s="14"/>
      <c r="H24" s="11"/>
      <c r="I24" s="15"/>
      <c r="J24" s="3"/>
      <c r="K24" s="3"/>
      <c r="L24" s="3"/>
      <c r="M24" s="15"/>
      <c r="N24" s="10"/>
      <c r="O24" s="2"/>
      <c r="P24" s="7"/>
      <c r="Q24" s="7"/>
      <c r="R24" s="8"/>
      <c r="S24" s="6"/>
      <c r="T24" s="2"/>
      <c r="U24" s="6"/>
      <c r="V24" s="6"/>
      <c r="W24" s="6"/>
      <c r="X24" s="6"/>
    </row>
    <row r="26" spans="2:24">
      <c r="B26" s="3"/>
      <c r="C26" s="3"/>
      <c r="D26" s="3"/>
      <c r="E26" s="14"/>
      <c r="F26" s="3"/>
      <c r="G26" s="14"/>
      <c r="H26" s="11"/>
      <c r="I26" s="15"/>
      <c r="J26" s="3"/>
      <c r="K26" s="3"/>
      <c r="L26" s="3"/>
      <c r="M26" s="15"/>
      <c r="N26" s="10"/>
      <c r="O26" s="2"/>
      <c r="P26" s="7"/>
      <c r="Q26" s="7"/>
      <c r="R26" s="8"/>
      <c r="S26" s="6"/>
      <c r="T26" s="2"/>
      <c r="U26" s="6"/>
      <c r="V26" s="6"/>
      <c r="W26" s="6"/>
      <c r="X26" s="6"/>
    </row>
    <row r="27" spans="2:24">
      <c r="B27" s="3"/>
      <c r="C27" s="3"/>
      <c r="D27" s="3"/>
      <c r="E27" s="14"/>
      <c r="F27" s="3"/>
      <c r="G27" s="14"/>
      <c r="H27" s="11"/>
      <c r="I27" s="15"/>
      <c r="J27" s="3"/>
      <c r="K27" s="3"/>
      <c r="L27" s="3"/>
      <c r="M27" s="15"/>
      <c r="N27" s="10"/>
      <c r="O27" s="2"/>
      <c r="P27" s="7"/>
      <c r="Q27" s="7"/>
      <c r="R27" s="8"/>
      <c r="S27" s="6"/>
      <c r="T27" s="2"/>
      <c r="U27" s="6"/>
      <c r="V27" s="6"/>
      <c r="W27" s="6"/>
      <c r="X27" s="6"/>
    </row>
    <row r="28" spans="2:24">
      <c r="B28" s="3"/>
      <c r="C28" s="3"/>
      <c r="D28" s="3"/>
      <c r="E28" s="14"/>
      <c r="F28" s="3"/>
      <c r="G28" s="14"/>
      <c r="H28" s="11"/>
      <c r="I28" s="15"/>
      <c r="J28" s="3"/>
      <c r="K28" s="3"/>
      <c r="L28" s="3"/>
      <c r="M28" s="15"/>
      <c r="N28" s="10"/>
      <c r="O28" s="2"/>
      <c r="P28" s="7"/>
      <c r="Q28" s="7"/>
      <c r="R28" s="8"/>
      <c r="S28" s="6"/>
      <c r="T28" s="2"/>
      <c r="U28" s="6"/>
      <c r="V28" s="6"/>
      <c r="W28" s="6"/>
      <c r="X28" s="6"/>
    </row>
    <row r="29" spans="2:24">
      <c r="B29" s="3"/>
      <c r="C29" s="3"/>
      <c r="D29" s="3"/>
      <c r="E29" s="14"/>
      <c r="F29" s="3"/>
      <c r="G29" s="14"/>
      <c r="H29" s="11"/>
      <c r="I29" s="15"/>
      <c r="J29" s="3"/>
      <c r="K29" s="3"/>
      <c r="L29" s="3"/>
      <c r="M29" s="15"/>
      <c r="N29" s="10"/>
      <c r="O29" s="2"/>
      <c r="P29" s="7"/>
      <c r="Q29" s="7"/>
      <c r="R29" s="8"/>
      <c r="S29" s="6"/>
      <c r="T29" s="2"/>
      <c r="U29" s="6"/>
      <c r="V29" s="6"/>
      <c r="W29" s="6"/>
      <c r="X29"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3DFC1-43AF-4E64-819A-C97D29654F85}">
  <dimension ref="A1:X104"/>
  <sheetViews>
    <sheetView topLeftCell="A31" zoomScale="70" zoomScaleNormal="70" workbookViewId="0">
      <selection activeCell="U69" sqref="U69"/>
    </sheetView>
  </sheetViews>
  <sheetFormatPr defaultRowHeight="14.5"/>
  <cols>
    <col min="1" max="1" width="39.81640625" customWidth="1"/>
    <col min="3" max="3" width="16.81640625" customWidth="1"/>
    <col min="4" max="4" width="19.1796875" customWidth="1"/>
    <col min="5" max="5" width="16.1796875" customWidth="1"/>
    <col min="7" max="7" width="12.26953125" customWidth="1"/>
    <col min="8" max="8" width="13.1796875" customWidth="1"/>
    <col min="9" max="9" width="12" customWidth="1"/>
    <col min="10" max="10" width="14.1796875" customWidth="1"/>
    <col min="14" max="14" width="10.81640625" customWidth="1"/>
    <col min="15" max="15" width="9.54296875" bestFit="1" customWidth="1"/>
    <col min="16" max="16" width="13.90625" customWidth="1"/>
    <col min="18" max="18" width="13.1796875" customWidth="1"/>
    <col min="19" max="19" width="15" customWidth="1"/>
    <col min="20" max="20" width="12.1796875" customWidth="1"/>
    <col min="23" max="23" width="10.7265625" customWidth="1"/>
    <col min="24" max="24" width="11.54296875" customWidth="1"/>
  </cols>
  <sheetData>
    <row r="1" spans="1:24">
      <c r="B1" s="3" t="s">
        <v>2</v>
      </c>
      <c r="C1" s="3" t="s">
        <v>3</v>
      </c>
      <c r="D1" s="3" t="s">
        <v>4</v>
      </c>
      <c r="E1" s="3" t="s">
        <v>0</v>
      </c>
      <c r="F1" s="3" t="s">
        <v>1</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row>
    <row r="2" spans="1:24">
      <c r="A2" t="s">
        <v>23</v>
      </c>
      <c r="B2" s="3">
        <v>20540</v>
      </c>
      <c r="C2" s="3" t="s">
        <v>24</v>
      </c>
      <c r="D2" s="3" t="s">
        <v>116</v>
      </c>
      <c r="E2" s="3">
        <v>0.1</v>
      </c>
      <c r="F2" s="3">
        <v>0.1</v>
      </c>
      <c r="G2">
        <f>F2</f>
        <v>0.1</v>
      </c>
      <c r="H2" s="3">
        <f>0.25*G2</f>
        <v>2.5000000000000001E-2</v>
      </c>
      <c r="I2" s="3">
        <v>1</v>
      </c>
      <c r="J2" s="3" t="s">
        <v>26</v>
      </c>
      <c r="K2" s="3" t="s">
        <v>27</v>
      </c>
      <c r="L2">
        <v>0.1</v>
      </c>
      <c r="M2" s="6">
        <f>L2/H2</f>
        <v>4</v>
      </c>
      <c r="N2" s="10">
        <v>551.75</v>
      </c>
      <c r="O2" s="2">
        <v>545.78357335980195</v>
      </c>
      <c r="P2" s="7">
        <f>8*(N2/B2)^2</f>
        <v>5.772630931736967E-3</v>
      </c>
      <c r="Q2" s="7">
        <f>8*(O2/B2)^2</f>
        <v>5.648459631799151E-3</v>
      </c>
      <c r="R2" s="8">
        <f>(Q2-P2)/P2</f>
        <v>-2.1510347951597404E-2</v>
      </c>
      <c r="S2" s="6">
        <f>200*2*O2/B2</f>
        <v>10.628696657445024</v>
      </c>
      <c r="T2" s="2">
        <f>B2/4*P2</f>
        <v>29.642459834469324</v>
      </c>
      <c r="U2" s="6">
        <f>E2*N2</f>
        <v>55.175000000000004</v>
      </c>
      <c r="V2" s="6">
        <f>F2*N2</f>
        <v>55.175000000000004</v>
      </c>
      <c r="W2" s="6">
        <f>G2*N2</f>
        <v>55.175000000000004</v>
      </c>
      <c r="X2" s="6">
        <f>H2*N2</f>
        <v>13.793750000000001</v>
      </c>
    </row>
    <row r="3" spans="1:24">
      <c r="A3" t="s">
        <v>23</v>
      </c>
      <c r="B3" s="3">
        <v>20540</v>
      </c>
      <c r="C3" s="3" t="s">
        <v>24</v>
      </c>
      <c r="D3" s="3" t="s">
        <v>117</v>
      </c>
      <c r="E3" s="3">
        <v>6.7000000000000004E-2</v>
      </c>
      <c r="F3" s="3">
        <v>6.7000000000000004E-2</v>
      </c>
      <c r="G3">
        <f>F3</f>
        <v>6.7000000000000004E-2</v>
      </c>
      <c r="H3" s="3">
        <f>0.25*G3</f>
        <v>1.6750000000000001E-2</v>
      </c>
      <c r="I3" s="3">
        <v>1</v>
      </c>
      <c r="J3" s="3" t="s">
        <v>26</v>
      </c>
      <c r="K3" s="3" t="s">
        <v>27</v>
      </c>
      <c r="L3">
        <v>0.1</v>
      </c>
      <c r="M3" s="6">
        <f t="shared" ref="M3:M5" si="0">L3/H3</f>
        <v>5.9701492537313436</v>
      </c>
      <c r="N3" s="10">
        <v>551.75</v>
      </c>
      <c r="O3" s="2">
        <v>546.01003637948202</v>
      </c>
      <c r="P3" s="7">
        <f>8*(N3/B3)^2</f>
        <v>5.772630931736967E-3</v>
      </c>
      <c r="Q3" s="7">
        <f>8*(O3/B3)^2</f>
        <v>5.6531480565552529E-3</v>
      </c>
      <c r="R3" s="8">
        <f t="shared" ref="R3:R5" si="1">(Q3-P3)/P3</f>
        <v>-2.0698166329119909E-2</v>
      </c>
      <c r="S3" s="6">
        <f>200*2*O3/B3</f>
        <v>10.633106842833145</v>
      </c>
      <c r="T3" s="2">
        <f>B3/4*P3</f>
        <v>29.642459834469324</v>
      </c>
      <c r="U3" s="6">
        <f t="shared" ref="U3:U5" si="2">E3*N3</f>
        <v>36.96725</v>
      </c>
      <c r="V3" s="6">
        <f t="shared" ref="V3:V5" si="3">F3*N3</f>
        <v>36.96725</v>
      </c>
      <c r="W3" s="6">
        <f t="shared" ref="W3:W5" si="4">G3*N3</f>
        <v>36.96725</v>
      </c>
      <c r="X3" s="6">
        <f t="shared" ref="X3:X5" si="5">H3*N3</f>
        <v>9.2418125</v>
      </c>
    </row>
    <row r="4" spans="1:24">
      <c r="A4" t="s">
        <v>23</v>
      </c>
      <c r="B4" s="3">
        <v>20540</v>
      </c>
      <c r="C4" s="3" t="s">
        <v>24</v>
      </c>
      <c r="D4" s="3" t="s">
        <v>118</v>
      </c>
      <c r="E4" s="3">
        <v>0.05</v>
      </c>
      <c r="F4" s="3">
        <v>0.05</v>
      </c>
      <c r="G4">
        <f>F4</f>
        <v>0.05</v>
      </c>
      <c r="H4" s="3">
        <f>0.25*G4</f>
        <v>1.2500000000000001E-2</v>
      </c>
      <c r="I4" s="3">
        <v>1</v>
      </c>
      <c r="J4" s="3" t="s">
        <v>26</v>
      </c>
      <c r="K4" s="3" t="s">
        <v>27</v>
      </c>
      <c r="L4">
        <v>0.1</v>
      </c>
      <c r="M4" s="6">
        <f t="shared" si="0"/>
        <v>8</v>
      </c>
      <c r="N4" s="10">
        <v>551.75</v>
      </c>
      <c r="O4" s="2">
        <v>550.69190375916003</v>
      </c>
      <c r="P4" s="7">
        <f>8*(N4/B4)^2</f>
        <v>5.772630931736967E-3</v>
      </c>
      <c r="Q4" s="7">
        <f>8*(O4/B4)^2</f>
        <v>5.7505117023593354E-3</v>
      </c>
      <c r="R4" s="8">
        <f t="shared" si="1"/>
        <v>-3.831741477880346E-3</v>
      </c>
      <c r="S4" s="6">
        <f>200*2*O4/B4</f>
        <v>10.724282449058618</v>
      </c>
      <c r="T4" s="2">
        <f>B4/4*P4</f>
        <v>29.642459834469324</v>
      </c>
      <c r="U4" s="6">
        <f t="shared" si="2"/>
        <v>27.587500000000002</v>
      </c>
      <c r="V4" s="6">
        <f t="shared" si="3"/>
        <v>27.587500000000002</v>
      </c>
      <c r="W4" s="6">
        <f t="shared" si="4"/>
        <v>27.587500000000002</v>
      </c>
      <c r="X4" s="6">
        <f t="shared" si="5"/>
        <v>6.8968750000000005</v>
      </c>
    </row>
    <row r="5" spans="1:24">
      <c r="A5" t="s">
        <v>23</v>
      </c>
      <c r="B5" s="3">
        <v>20540</v>
      </c>
      <c r="C5" s="3" t="s">
        <v>24</v>
      </c>
      <c r="D5" s="3" t="s">
        <v>119</v>
      </c>
      <c r="E5" s="3">
        <v>3.3000000000000002E-2</v>
      </c>
      <c r="F5" s="3">
        <v>3.3000000000000002E-2</v>
      </c>
      <c r="G5">
        <f>F5</f>
        <v>3.3000000000000002E-2</v>
      </c>
      <c r="H5" s="3">
        <f>0.25*G5</f>
        <v>8.2500000000000004E-3</v>
      </c>
      <c r="I5" s="3">
        <v>1</v>
      </c>
      <c r="J5" s="3" t="s">
        <v>26</v>
      </c>
      <c r="K5" s="3" t="s">
        <v>27</v>
      </c>
      <c r="L5">
        <v>0.1</v>
      </c>
      <c r="M5" s="6">
        <f t="shared" si="0"/>
        <v>12.121212121212121</v>
      </c>
      <c r="N5" s="10">
        <v>551.75</v>
      </c>
      <c r="O5" s="2">
        <v>556.05087169541605</v>
      </c>
      <c r="P5" s="7">
        <f>8*(N5/B5)^2</f>
        <v>5.772630931736967E-3</v>
      </c>
      <c r="Q5" s="7">
        <f>8*(O5/B5)^2</f>
        <v>5.8629765923423373E-3</v>
      </c>
      <c r="R5" s="8">
        <f t="shared" si="1"/>
        <v>1.5650690590431615E-2</v>
      </c>
      <c r="S5" s="6">
        <f>200*2*O5/B5</f>
        <v>10.828644044701385</v>
      </c>
      <c r="T5" s="2">
        <f>B5/4*P5</f>
        <v>29.642459834469324</v>
      </c>
      <c r="U5" s="6">
        <f t="shared" si="2"/>
        <v>18.207750000000001</v>
      </c>
      <c r="V5" s="6">
        <f t="shared" si="3"/>
        <v>18.207750000000001</v>
      </c>
      <c r="W5" s="6">
        <f t="shared" si="4"/>
        <v>18.207750000000001</v>
      </c>
      <c r="X5" s="6">
        <f t="shared" si="5"/>
        <v>4.5519375000000002</v>
      </c>
    </row>
    <row r="6" spans="1:24">
      <c r="B6" s="3"/>
      <c r="C6" s="3"/>
      <c r="D6" s="3"/>
      <c r="E6" s="3"/>
      <c r="F6" s="3"/>
      <c r="H6" s="3"/>
      <c r="I6" s="3"/>
      <c r="J6" s="3"/>
      <c r="K6" s="3"/>
      <c r="M6" s="6"/>
      <c r="N6" s="10"/>
      <c r="P6" s="7"/>
      <c r="Q6" s="2"/>
    </row>
    <row r="7" spans="1:24">
      <c r="B7" s="3"/>
      <c r="C7" s="3"/>
      <c r="D7" s="3"/>
      <c r="E7" s="3"/>
      <c r="F7" s="3"/>
      <c r="H7" s="3"/>
      <c r="I7" s="3"/>
      <c r="J7" s="3"/>
      <c r="K7" s="3"/>
      <c r="M7" s="6"/>
      <c r="N7" s="10"/>
      <c r="P7" s="7"/>
      <c r="Q7" s="2"/>
    </row>
    <row r="8" spans="1:24">
      <c r="A8" t="s">
        <v>34</v>
      </c>
      <c r="B8" s="3">
        <v>20540</v>
      </c>
      <c r="C8" s="3" t="s">
        <v>24</v>
      </c>
      <c r="D8" s="3" t="s">
        <v>116</v>
      </c>
      <c r="E8" s="3">
        <v>0.1</v>
      </c>
      <c r="F8" s="3">
        <v>0.1</v>
      </c>
      <c r="G8">
        <f>F8</f>
        <v>0.1</v>
      </c>
      <c r="H8" s="3">
        <f>0.25*G8</f>
        <v>2.5000000000000001E-2</v>
      </c>
      <c r="I8" s="3">
        <v>1</v>
      </c>
      <c r="J8" s="3" t="s">
        <v>26</v>
      </c>
      <c r="K8" s="3" t="s">
        <v>27</v>
      </c>
      <c r="L8">
        <v>0.1</v>
      </c>
      <c r="M8" s="6">
        <f>L8/H8</f>
        <v>4</v>
      </c>
      <c r="N8" s="10">
        <v>551.75</v>
      </c>
      <c r="O8" s="2">
        <v>550.291530784163</v>
      </c>
      <c r="P8" s="7">
        <f>8*(N8/B8)^2</f>
        <v>5.772630931736967E-3</v>
      </c>
      <c r="Q8" s="7">
        <f>8*(O8/B8)^2</f>
        <v>5.7421530810810627E-3</v>
      </c>
      <c r="R8" s="8">
        <f>(Q8-P8)/P8</f>
        <v>-5.2797157858026512E-3</v>
      </c>
      <c r="S8" s="6">
        <v>10.7</v>
      </c>
      <c r="T8" s="2">
        <f>B8/4*P8</f>
        <v>29.642459834469324</v>
      </c>
      <c r="U8" s="6">
        <f>E8*N8</f>
        <v>55.175000000000004</v>
      </c>
      <c r="V8" s="6">
        <f>F8*N8</f>
        <v>55.175000000000004</v>
      </c>
      <c r="W8" s="6">
        <f>G8*N8</f>
        <v>55.175000000000004</v>
      </c>
      <c r="X8" s="6">
        <f>H8*N8</f>
        <v>13.793750000000001</v>
      </c>
    </row>
    <row r="9" spans="1:24">
      <c r="A9" t="s">
        <v>34</v>
      </c>
      <c r="B9" s="3">
        <v>20540</v>
      </c>
      <c r="C9" s="3" t="s">
        <v>24</v>
      </c>
      <c r="D9" s="3" t="s">
        <v>117</v>
      </c>
      <c r="E9" s="3">
        <v>6.7000000000000004E-2</v>
      </c>
      <c r="F9" s="3">
        <v>6.7000000000000004E-2</v>
      </c>
      <c r="G9">
        <f>F9</f>
        <v>6.7000000000000004E-2</v>
      </c>
      <c r="H9" s="3">
        <f>0.25*G9</f>
        <v>1.6750000000000001E-2</v>
      </c>
      <c r="I9" s="3">
        <v>1</v>
      </c>
      <c r="J9" s="3" t="s">
        <v>26</v>
      </c>
      <c r="K9" s="3" t="s">
        <v>27</v>
      </c>
      <c r="L9">
        <v>0.1</v>
      </c>
      <c r="M9" s="6">
        <f t="shared" ref="M9:M11" si="6">L9/H9</f>
        <v>5.9701492537313436</v>
      </c>
      <c r="N9" s="10">
        <v>551.75</v>
      </c>
      <c r="O9" s="2">
        <v>559.59367535920899</v>
      </c>
      <c r="P9" s="7">
        <f>8*(N9/B9)^2</f>
        <v>5.772630931736967E-3</v>
      </c>
      <c r="Q9" s="7">
        <f>8*(O9/B9)^2</f>
        <v>5.9379249362068887E-3</v>
      </c>
      <c r="R9" s="8">
        <f t="shared" ref="R9:R11" si="7">(Q9-P9)/P9</f>
        <v>2.8634084947499878E-2</v>
      </c>
      <c r="S9" s="6">
        <f>200*2*O9/B9</f>
        <v>10.897637300081968</v>
      </c>
      <c r="T9" s="2">
        <f>B9/4*P9</f>
        <v>29.642459834469324</v>
      </c>
      <c r="U9" s="6">
        <f t="shared" ref="U9:U11" si="8">E9*N9</f>
        <v>36.96725</v>
      </c>
      <c r="V9" s="6">
        <f t="shared" ref="V9:V11" si="9">F9*N9</f>
        <v>36.96725</v>
      </c>
      <c r="W9" s="6">
        <f t="shared" ref="W9:W11" si="10">G9*N9</f>
        <v>36.96725</v>
      </c>
      <c r="X9" s="6">
        <f t="shared" ref="X9:X11" si="11">H9*N9</f>
        <v>9.2418125</v>
      </c>
    </row>
    <row r="10" spans="1:24">
      <c r="A10" t="s">
        <v>34</v>
      </c>
      <c r="B10" s="3">
        <v>20540</v>
      </c>
      <c r="C10" s="3" t="s">
        <v>24</v>
      </c>
      <c r="D10" s="3" t="s">
        <v>118</v>
      </c>
      <c r="E10" s="3">
        <v>0.05</v>
      </c>
      <c r="F10" s="3">
        <v>0.05</v>
      </c>
      <c r="G10">
        <f>F10</f>
        <v>0.05</v>
      </c>
      <c r="H10" s="3">
        <f>0.25*G10</f>
        <v>1.2500000000000001E-2</v>
      </c>
      <c r="I10" s="3">
        <v>1</v>
      </c>
      <c r="J10" s="3" t="s">
        <v>26</v>
      </c>
      <c r="K10" s="3" t="s">
        <v>27</v>
      </c>
      <c r="L10">
        <v>0.1</v>
      </c>
      <c r="M10" s="6">
        <f t="shared" si="6"/>
        <v>8</v>
      </c>
      <c r="N10" s="10">
        <v>551.75</v>
      </c>
      <c r="O10" s="2">
        <v>561.01991442026804</v>
      </c>
      <c r="P10" s="7">
        <f>8*(N10/B10)^2</f>
        <v>5.772630931736967E-3</v>
      </c>
      <c r="Q10" s="7">
        <f>8*(O10/B10)^2</f>
        <v>5.9682315433846021E-3</v>
      </c>
      <c r="R10" s="8">
        <f t="shared" si="7"/>
        <v>3.3884136013659798E-2</v>
      </c>
      <c r="S10" s="6">
        <f>200*2*O10/B10</f>
        <v>10.925412160083116</v>
      </c>
      <c r="T10" s="2">
        <f>B10/4*P10</f>
        <v>29.642459834469324</v>
      </c>
      <c r="U10" s="6">
        <f t="shared" si="8"/>
        <v>27.587500000000002</v>
      </c>
      <c r="V10" s="6">
        <f t="shared" si="9"/>
        <v>27.587500000000002</v>
      </c>
      <c r="W10" s="6">
        <f t="shared" si="10"/>
        <v>27.587500000000002</v>
      </c>
      <c r="X10" s="6">
        <f t="shared" si="11"/>
        <v>6.8968750000000005</v>
      </c>
    </row>
    <row r="11" spans="1:24">
      <c r="A11" t="s">
        <v>34</v>
      </c>
      <c r="B11" s="3">
        <v>20540</v>
      </c>
      <c r="C11" s="3" t="s">
        <v>24</v>
      </c>
      <c r="D11" s="3" t="s">
        <v>119</v>
      </c>
      <c r="E11" s="3">
        <v>3.3000000000000002E-2</v>
      </c>
      <c r="F11" s="3">
        <v>3.3000000000000002E-2</v>
      </c>
      <c r="G11">
        <f>F11</f>
        <v>3.3000000000000002E-2</v>
      </c>
      <c r="H11" s="3">
        <f>0.25*G11</f>
        <v>8.2500000000000004E-3</v>
      </c>
      <c r="I11" s="3">
        <v>1</v>
      </c>
      <c r="J11" s="3" t="s">
        <v>26</v>
      </c>
      <c r="K11" s="3" t="s">
        <v>27</v>
      </c>
      <c r="L11">
        <v>0.1</v>
      </c>
      <c r="M11" s="6">
        <f t="shared" si="6"/>
        <v>12.121212121212121</v>
      </c>
      <c r="N11" s="10">
        <v>551.75</v>
      </c>
      <c r="O11" s="2">
        <v>560.10108841487704</v>
      </c>
      <c r="P11" s="7">
        <f>8*(N11/B11)^2</f>
        <v>5.772630931736967E-3</v>
      </c>
      <c r="Q11" s="7">
        <f>8*(O11/B11)^2</f>
        <v>5.9486982768754797E-3</v>
      </c>
      <c r="R11" s="8">
        <f t="shared" si="7"/>
        <v>3.0500364083649204E-2</v>
      </c>
      <c r="S11" s="6">
        <f>200*2*O11/B11</f>
        <v>10.907518761730808</v>
      </c>
      <c r="T11" s="2">
        <f>B11/4*P11</f>
        <v>29.642459834469324</v>
      </c>
      <c r="U11" s="6">
        <f t="shared" si="8"/>
        <v>18.207750000000001</v>
      </c>
      <c r="V11" s="6">
        <f t="shared" si="9"/>
        <v>18.207750000000001</v>
      </c>
      <c r="W11" s="6">
        <f t="shared" si="10"/>
        <v>18.207750000000001</v>
      </c>
      <c r="X11" s="6">
        <f t="shared" si="11"/>
        <v>4.5519375000000002</v>
      </c>
    </row>
    <row r="12" spans="1:24">
      <c r="B12" s="3"/>
      <c r="C12" s="3"/>
      <c r="D12" s="3"/>
      <c r="E12" s="3"/>
      <c r="F12" s="3"/>
      <c r="H12" s="3"/>
      <c r="I12" s="3"/>
      <c r="J12" s="3"/>
      <c r="K12" s="3"/>
      <c r="M12" s="6"/>
      <c r="N12" s="10"/>
      <c r="O12" s="12"/>
      <c r="P12" s="7"/>
      <c r="Q12" s="7"/>
      <c r="R12" s="8"/>
      <c r="S12" s="6"/>
      <c r="T12" s="2"/>
    </row>
    <row r="13" spans="1:24">
      <c r="B13" s="3"/>
      <c r="C13" s="3"/>
      <c r="D13" s="3"/>
      <c r="E13" s="3"/>
      <c r="F13" s="3"/>
      <c r="H13" s="3"/>
      <c r="I13" s="3"/>
      <c r="J13" s="3"/>
      <c r="K13" s="3"/>
      <c r="M13" s="6"/>
      <c r="N13" s="10"/>
      <c r="O13" s="12"/>
      <c r="P13" s="7"/>
      <c r="Q13" s="7"/>
      <c r="R13" s="8"/>
      <c r="S13" s="6"/>
      <c r="T13" s="2"/>
    </row>
    <row r="14" spans="1:24">
      <c r="A14" t="s">
        <v>36</v>
      </c>
      <c r="B14" s="3">
        <v>20540</v>
      </c>
      <c r="C14" s="3" t="s">
        <v>24</v>
      </c>
      <c r="D14" s="3" t="s">
        <v>116</v>
      </c>
      <c r="E14" s="3">
        <v>0.1</v>
      </c>
      <c r="F14" s="3">
        <v>0.1</v>
      </c>
      <c r="G14">
        <f>F14</f>
        <v>0.1</v>
      </c>
      <c r="H14" s="3">
        <f>0.25*G14</f>
        <v>2.5000000000000001E-2</v>
      </c>
      <c r="I14" s="3">
        <v>1</v>
      </c>
      <c r="J14" s="3" t="s">
        <v>26</v>
      </c>
      <c r="K14" s="3" t="s">
        <v>27</v>
      </c>
      <c r="L14">
        <v>0.1</v>
      </c>
      <c r="M14" s="6">
        <f>L14/H14</f>
        <v>4</v>
      </c>
      <c r="N14" s="10">
        <v>551.75</v>
      </c>
      <c r="O14" s="2">
        <v>550.75799007757496</v>
      </c>
      <c r="P14" s="7">
        <f>8*(N14/B14)^2</f>
        <v>5.772630931736967E-3</v>
      </c>
      <c r="Q14" s="7">
        <f>8*(O14/B14)^2</f>
        <v>5.7518919766933532E-3</v>
      </c>
      <c r="R14" s="8">
        <f>(Q14-P14)/P14</f>
        <v>-3.5926348468935513E-3</v>
      </c>
      <c r="S14" s="6">
        <f>200*2*O14/B14</f>
        <v>10.725569427021908</v>
      </c>
      <c r="T14" s="2">
        <f>B14/4*P14</f>
        <v>29.642459834469324</v>
      </c>
      <c r="U14" s="6">
        <f>E14*N14</f>
        <v>55.175000000000004</v>
      </c>
      <c r="V14" s="6">
        <f>F14*N14</f>
        <v>55.175000000000004</v>
      </c>
      <c r="W14" s="6">
        <f>G14*N14</f>
        <v>55.175000000000004</v>
      </c>
      <c r="X14" s="6">
        <f>H14*N14</f>
        <v>13.793750000000001</v>
      </c>
    </row>
    <row r="15" spans="1:24">
      <c r="A15" t="s">
        <v>36</v>
      </c>
      <c r="B15" s="3">
        <v>20540</v>
      </c>
      <c r="C15" s="3" t="s">
        <v>24</v>
      </c>
      <c r="D15" s="3" t="s">
        <v>117</v>
      </c>
      <c r="E15" s="3">
        <v>6.7000000000000004E-2</v>
      </c>
      <c r="F15" s="3">
        <v>6.7000000000000004E-2</v>
      </c>
      <c r="G15">
        <f>F15</f>
        <v>6.7000000000000004E-2</v>
      </c>
      <c r="H15" s="3">
        <f>0.25*G15</f>
        <v>1.6750000000000001E-2</v>
      </c>
      <c r="I15" s="3">
        <v>1</v>
      </c>
      <c r="J15" s="3" t="s">
        <v>26</v>
      </c>
      <c r="K15" s="3" t="s">
        <v>27</v>
      </c>
      <c r="L15">
        <v>0.1</v>
      </c>
      <c r="M15" s="6">
        <f t="shared" ref="M15:M17" si="12">L15/H15</f>
        <v>5.9701492537313436</v>
      </c>
      <c r="N15" s="10">
        <v>551.75</v>
      </c>
      <c r="O15" s="2">
        <v>557.40113811872004</v>
      </c>
      <c r="P15" s="7">
        <f>8*(N15/B15)^2</f>
        <v>5.772630931736967E-3</v>
      </c>
      <c r="Q15" s="7">
        <f>8*(O15/B15)^2</f>
        <v>5.8914854673768231E-3</v>
      </c>
      <c r="R15" s="8">
        <f t="shared" ref="R15:R17" si="13">(Q15-P15)/P15</f>
        <v>2.0589318292706636E-2</v>
      </c>
      <c r="S15" s="6">
        <f>200*2*O15/B15</f>
        <v>10.854939398611879</v>
      </c>
      <c r="T15" s="2">
        <f>B15/4*P15</f>
        <v>29.642459834469324</v>
      </c>
      <c r="U15" s="6">
        <f t="shared" ref="U15:U17" si="14">E15*N15</f>
        <v>36.96725</v>
      </c>
      <c r="V15" s="6">
        <f t="shared" ref="V15:V17" si="15">F15*N15</f>
        <v>36.96725</v>
      </c>
      <c r="W15" s="6">
        <f t="shared" ref="W15:W20" si="16">G15*N15</f>
        <v>36.96725</v>
      </c>
      <c r="X15" s="6">
        <f t="shared" ref="X15:X20" si="17">H15*N15</f>
        <v>9.2418125</v>
      </c>
    </row>
    <row r="16" spans="1:24">
      <c r="A16" t="s">
        <v>36</v>
      </c>
      <c r="B16" s="3">
        <v>20540</v>
      </c>
      <c r="C16" s="3" t="s">
        <v>24</v>
      </c>
      <c r="D16" s="3" t="s">
        <v>118</v>
      </c>
      <c r="E16" s="3">
        <v>0.05</v>
      </c>
      <c r="F16" s="3">
        <v>0.05</v>
      </c>
      <c r="G16">
        <f>F16</f>
        <v>0.05</v>
      </c>
      <c r="H16" s="3">
        <f>0.25*G16</f>
        <v>1.2500000000000001E-2</v>
      </c>
      <c r="I16" s="3">
        <v>1</v>
      </c>
      <c r="J16" s="3" t="s">
        <v>26</v>
      </c>
      <c r="K16" s="3" t="s">
        <v>27</v>
      </c>
      <c r="L16">
        <v>0.1</v>
      </c>
      <c r="M16" s="6">
        <f t="shared" si="12"/>
        <v>8</v>
      </c>
      <c r="N16" s="10">
        <v>551.75</v>
      </c>
      <c r="O16" s="2">
        <v>558.01680952705703</v>
      </c>
      <c r="P16" s="7">
        <f>8*(N16/B16)^2</f>
        <v>5.772630931736967E-3</v>
      </c>
      <c r="Q16" s="7">
        <f>8*(O16/B16)^2</f>
        <v>5.9045074083438663E-3</v>
      </c>
      <c r="R16" s="8">
        <f t="shared" si="13"/>
        <v>2.2845125241224815E-2</v>
      </c>
      <c r="S16" s="6">
        <f>200*2*O16/B16</f>
        <v>10.866929104713867</v>
      </c>
      <c r="T16" s="2">
        <f>B16/4*P16</f>
        <v>29.642459834469324</v>
      </c>
      <c r="U16" s="6">
        <f t="shared" si="14"/>
        <v>27.587500000000002</v>
      </c>
      <c r="V16" s="6">
        <f t="shared" si="15"/>
        <v>27.587500000000002</v>
      </c>
      <c r="W16" s="6">
        <f t="shared" si="16"/>
        <v>27.587500000000002</v>
      </c>
      <c r="X16" s="6">
        <f t="shared" si="17"/>
        <v>6.8968750000000005</v>
      </c>
    </row>
    <row r="17" spans="1:24">
      <c r="A17" t="s">
        <v>36</v>
      </c>
      <c r="B17" s="3">
        <v>20540</v>
      </c>
      <c r="C17" s="3" t="s">
        <v>24</v>
      </c>
      <c r="D17" s="3" t="s">
        <v>119</v>
      </c>
      <c r="E17" s="3">
        <v>3.3000000000000002E-2</v>
      </c>
      <c r="F17" s="3">
        <v>3.3000000000000002E-2</v>
      </c>
      <c r="G17">
        <f>F17</f>
        <v>3.3000000000000002E-2</v>
      </c>
      <c r="H17" s="3">
        <f>0.25*G17</f>
        <v>8.2500000000000004E-3</v>
      </c>
      <c r="I17" s="3">
        <v>1</v>
      </c>
      <c r="J17" s="3" t="s">
        <v>26</v>
      </c>
      <c r="K17" s="3" t="s">
        <v>27</v>
      </c>
      <c r="L17">
        <v>0.1</v>
      </c>
      <c r="M17" s="6">
        <f t="shared" si="12"/>
        <v>12.121212121212121</v>
      </c>
      <c r="N17" s="10">
        <v>551.75</v>
      </c>
      <c r="O17" s="2">
        <v>558.02921381416104</v>
      </c>
      <c r="P17" s="7">
        <f>8*(N17/B17)^2</f>
        <v>5.772630931736967E-3</v>
      </c>
      <c r="Q17" s="7">
        <f>8*(O17/B17)^2</f>
        <v>5.9047699166335735E-3</v>
      </c>
      <c r="R17" s="8">
        <f t="shared" si="13"/>
        <v>2.2890599877107731E-2</v>
      </c>
      <c r="S17" s="6">
        <f>200*2*O17/B17</f>
        <v>10.867170668240721</v>
      </c>
      <c r="T17" s="2">
        <f>B17/4*P17</f>
        <v>29.642459834469324</v>
      </c>
      <c r="U17" s="6">
        <f t="shared" si="14"/>
        <v>18.207750000000001</v>
      </c>
      <c r="V17" s="6">
        <f t="shared" si="15"/>
        <v>18.207750000000001</v>
      </c>
      <c r="W17" s="6">
        <f t="shared" si="16"/>
        <v>18.207750000000001</v>
      </c>
      <c r="X17" s="6">
        <f t="shared" si="17"/>
        <v>4.5519375000000002</v>
      </c>
    </row>
    <row r="18" spans="1:24">
      <c r="W18" s="6"/>
      <c r="X18" s="6"/>
    </row>
    <row r="19" spans="1:24">
      <c r="W19" s="6"/>
      <c r="X19" s="6"/>
    </row>
    <row r="20" spans="1:24">
      <c r="A20" t="s">
        <v>39</v>
      </c>
      <c r="B20" s="3">
        <v>20540</v>
      </c>
      <c r="C20" s="3" t="s">
        <v>24</v>
      </c>
      <c r="D20" s="3" t="s">
        <v>120</v>
      </c>
      <c r="E20" s="14">
        <v>6.6666666666666596E-2</v>
      </c>
      <c r="F20" s="3">
        <v>3.7499999999999999E-2</v>
      </c>
      <c r="G20" s="14">
        <v>3.9572349999999999E-2</v>
      </c>
      <c r="H20" s="11">
        <v>1.094476E-3</v>
      </c>
      <c r="I20" s="15">
        <f t="shared" ref="I20:I31" si="18">E20/F20</f>
        <v>1.7777777777777759</v>
      </c>
      <c r="J20" s="3" t="s">
        <v>50</v>
      </c>
      <c r="K20" s="3" t="s">
        <v>27</v>
      </c>
      <c r="L20" s="3" t="s">
        <v>38</v>
      </c>
      <c r="M20" s="15" t="s">
        <v>38</v>
      </c>
      <c r="N20" s="10">
        <v>551.75</v>
      </c>
      <c r="O20" s="2">
        <v>578.06178766221899</v>
      </c>
      <c r="P20" s="7">
        <f t="shared" ref="P20:P35" si="19">8*(N20/B20)^2</f>
        <v>5.772630931736967E-3</v>
      </c>
      <c r="Q20" s="7">
        <f t="shared" ref="Q20:Q35" si="20">8*(O20/B20)^2</f>
        <v>6.3363277269372579E-3</v>
      </c>
      <c r="R20" s="8">
        <f t="shared" ref="R20:R31" si="21">(Q20-P20)/P20</f>
        <v>9.7649893413621749E-2</v>
      </c>
      <c r="S20" s="6">
        <f>200*2*O20/B20</f>
        <v>11.257288951552463</v>
      </c>
      <c r="T20" s="2">
        <f t="shared" ref="T20:T35" si="22">B20/4*P20</f>
        <v>29.642459834469324</v>
      </c>
      <c r="U20" s="6">
        <f t="shared" ref="U20:U31" si="23">E20*N20</f>
        <v>36.783333333333296</v>
      </c>
      <c r="V20" s="6">
        <f t="shared" ref="V20:V31" si="24">F20*N20</f>
        <v>20.690625000000001</v>
      </c>
      <c r="W20" s="6">
        <f t="shared" si="16"/>
        <v>21.834044112499999</v>
      </c>
      <c r="X20" s="6">
        <f t="shared" si="17"/>
        <v>0.60387713300000001</v>
      </c>
    </row>
    <row r="21" spans="1:24">
      <c r="A21" t="s">
        <v>47</v>
      </c>
      <c r="B21" s="3">
        <v>20540</v>
      </c>
      <c r="C21" s="3" t="s">
        <v>48</v>
      </c>
      <c r="D21" s="3" t="s">
        <v>121</v>
      </c>
      <c r="E21" s="14">
        <v>6.6666666666666596E-2</v>
      </c>
      <c r="F21" s="3">
        <v>3.7499999999999999E-2</v>
      </c>
      <c r="G21" s="14">
        <v>3.9572349999999999E-2</v>
      </c>
      <c r="H21" s="11">
        <v>1.094476E-3</v>
      </c>
      <c r="I21" s="15">
        <f t="shared" si="18"/>
        <v>1.7777777777777759</v>
      </c>
      <c r="J21" s="3" t="s">
        <v>50</v>
      </c>
      <c r="K21" s="3" t="s">
        <v>27</v>
      </c>
      <c r="L21" s="3" t="s">
        <v>38</v>
      </c>
      <c r="M21" s="15" t="s">
        <v>38</v>
      </c>
      <c r="N21" s="10">
        <v>551.75</v>
      </c>
      <c r="O21" s="2">
        <v>578.37192198948799</v>
      </c>
      <c r="P21" s="7">
        <f t="shared" si="19"/>
        <v>5.772630931736967E-3</v>
      </c>
      <c r="Q21" s="7">
        <f t="shared" si="20"/>
        <v>6.3431285220338944E-3</v>
      </c>
      <c r="R21" s="8">
        <f t="shared" si="21"/>
        <v>9.8828003564271918E-2</v>
      </c>
      <c r="S21" s="6">
        <f>200*2*O21/B21</f>
        <v>11.26332856844183</v>
      </c>
      <c r="T21" s="2">
        <f t="shared" si="22"/>
        <v>29.642459834469324</v>
      </c>
      <c r="U21" s="6">
        <f t="shared" si="23"/>
        <v>36.783333333333296</v>
      </c>
      <c r="V21" s="6">
        <f t="shared" si="24"/>
        <v>20.690625000000001</v>
      </c>
      <c r="W21" s="6">
        <f t="shared" ref="W21" si="25">G21*N21</f>
        <v>21.834044112499999</v>
      </c>
      <c r="X21" s="6">
        <f t="shared" ref="X21" si="26">H21*N21</f>
        <v>0.60387713300000001</v>
      </c>
    </row>
    <row r="22" spans="1:24">
      <c r="A22" t="s">
        <v>59</v>
      </c>
      <c r="B22" s="3">
        <v>20540</v>
      </c>
      <c r="C22" s="3" t="s">
        <v>48</v>
      </c>
      <c r="D22" s="3" t="s">
        <v>121</v>
      </c>
      <c r="E22" s="14">
        <v>6.6666666666666596E-2</v>
      </c>
      <c r="F22" s="3">
        <v>3.7499999999999999E-2</v>
      </c>
      <c r="G22" s="14">
        <v>3.9572349999999999E-2</v>
      </c>
      <c r="H22" s="11">
        <v>1.094476E-3</v>
      </c>
      <c r="I22" s="15">
        <f t="shared" si="18"/>
        <v>1.7777777777777759</v>
      </c>
      <c r="J22" s="3" t="s">
        <v>50</v>
      </c>
      <c r="K22" s="3" t="s">
        <v>27</v>
      </c>
      <c r="L22" s="3" t="s">
        <v>38</v>
      </c>
      <c r="M22" s="15" t="s">
        <v>38</v>
      </c>
      <c r="N22" s="10">
        <v>551.75</v>
      </c>
      <c r="O22" s="2">
        <v>579.86554202636</v>
      </c>
      <c r="P22" s="7">
        <f t="shared" si="19"/>
        <v>5.772630931736967E-3</v>
      </c>
      <c r="Q22" s="7">
        <f t="shared" si="20"/>
        <v>6.3759325254074605E-3</v>
      </c>
      <c r="R22" s="8">
        <f t="shared" si="21"/>
        <v>0.10451068166399509</v>
      </c>
      <c r="S22" s="6">
        <f>200*2*O22/B22</f>
        <v>11.292415618819085</v>
      </c>
      <c r="T22" s="2">
        <f t="shared" si="22"/>
        <v>29.642459834469324</v>
      </c>
      <c r="U22" s="6">
        <f t="shared" si="23"/>
        <v>36.783333333333296</v>
      </c>
      <c r="V22" s="6">
        <f t="shared" si="24"/>
        <v>20.690625000000001</v>
      </c>
      <c r="W22" s="6">
        <f t="shared" ref="W22:W25" si="27">G22*N22</f>
        <v>21.834044112499999</v>
      </c>
      <c r="X22" s="6">
        <f t="shared" ref="X22:X25" si="28">H22*N22</f>
        <v>0.60387713300000001</v>
      </c>
    </row>
    <row r="23" spans="1:24">
      <c r="A23" t="s">
        <v>47</v>
      </c>
      <c r="B23" s="3">
        <v>20540</v>
      </c>
      <c r="C23" s="3" t="s">
        <v>48</v>
      </c>
      <c r="D23" s="3" t="s">
        <v>122</v>
      </c>
      <c r="E23" s="14">
        <v>3.3333333333333298E-2</v>
      </c>
      <c r="F23" s="3">
        <v>1.8749999999999999E-2</v>
      </c>
      <c r="G23" s="14">
        <v>2.6389220000000001E-2</v>
      </c>
      <c r="H23" s="11">
        <v>7.2024380000000002E-4</v>
      </c>
      <c r="I23" s="15">
        <f t="shared" si="18"/>
        <v>1.7777777777777759</v>
      </c>
      <c r="J23" s="3" t="s">
        <v>50</v>
      </c>
      <c r="K23" s="3" t="s">
        <v>27</v>
      </c>
      <c r="L23" s="3" t="s">
        <v>38</v>
      </c>
      <c r="M23" s="15" t="s">
        <v>38</v>
      </c>
      <c r="N23" s="10">
        <v>551.75</v>
      </c>
      <c r="O23" s="2">
        <v>565.82317299089596</v>
      </c>
      <c r="P23" s="7">
        <f t="shared" si="19"/>
        <v>5.772630931736967E-3</v>
      </c>
      <c r="Q23" s="7">
        <f t="shared" si="20"/>
        <v>6.0708648969258526E-3</v>
      </c>
      <c r="R23" s="8">
        <f t="shared" si="21"/>
        <v>5.1663438857531101E-2</v>
      </c>
      <c r="S23" s="6">
        <v>11</v>
      </c>
      <c r="T23" s="2">
        <f t="shared" si="22"/>
        <v>29.642459834469324</v>
      </c>
      <c r="U23" s="6">
        <f t="shared" si="23"/>
        <v>18.391666666666648</v>
      </c>
      <c r="V23" s="6">
        <f t="shared" si="24"/>
        <v>10.3453125</v>
      </c>
      <c r="W23" s="6">
        <f t="shared" si="27"/>
        <v>14.560252135000001</v>
      </c>
      <c r="X23" s="6">
        <f t="shared" si="28"/>
        <v>0.39739451665000003</v>
      </c>
    </row>
    <row r="24" spans="1:24">
      <c r="A24" t="s">
        <v>54</v>
      </c>
      <c r="B24" s="3">
        <v>20540</v>
      </c>
      <c r="C24" s="3" t="s">
        <v>48</v>
      </c>
      <c r="D24" s="3" t="s">
        <v>121</v>
      </c>
      <c r="E24" s="14">
        <v>6.6666666666666596E-2</v>
      </c>
      <c r="F24" s="3">
        <v>3.7499999999999999E-2</v>
      </c>
      <c r="G24" s="14">
        <v>3.9572349999999999E-2</v>
      </c>
      <c r="H24" s="11">
        <v>1.094476E-3</v>
      </c>
      <c r="I24" s="15">
        <f t="shared" si="18"/>
        <v>1.7777777777777759</v>
      </c>
      <c r="J24" s="3" t="s">
        <v>50</v>
      </c>
      <c r="K24" s="3" t="s">
        <v>27</v>
      </c>
      <c r="L24" s="3" t="s">
        <v>38</v>
      </c>
      <c r="M24" s="15" t="s">
        <v>38</v>
      </c>
      <c r="N24" s="10">
        <v>551.75</v>
      </c>
      <c r="O24" s="2">
        <v>596.476571008257</v>
      </c>
      <c r="P24" s="7">
        <f t="shared" si="19"/>
        <v>5.772630931736967E-3</v>
      </c>
      <c r="Q24" s="7">
        <f t="shared" si="20"/>
        <v>6.7464590385163999E-3</v>
      </c>
      <c r="R24" s="8">
        <f t="shared" si="21"/>
        <v>0.16869744806055201</v>
      </c>
      <c r="S24" s="6">
        <f>200*2*O24/B24</f>
        <v>11.615902064425647</v>
      </c>
      <c r="T24" s="2">
        <f t="shared" si="22"/>
        <v>29.642459834469324</v>
      </c>
      <c r="U24" s="6">
        <f t="shared" si="23"/>
        <v>36.783333333333296</v>
      </c>
      <c r="V24" s="6">
        <f t="shared" si="24"/>
        <v>20.690625000000001</v>
      </c>
      <c r="W24" s="6">
        <f t="shared" si="27"/>
        <v>21.834044112499999</v>
      </c>
      <c r="X24" s="6">
        <f t="shared" si="28"/>
        <v>0.60387713300000001</v>
      </c>
    </row>
    <row r="25" spans="1:24">
      <c r="A25" t="s">
        <v>60</v>
      </c>
      <c r="B25" s="3">
        <v>20540</v>
      </c>
      <c r="C25" s="3" t="s">
        <v>48</v>
      </c>
      <c r="D25" s="3" t="s">
        <v>121</v>
      </c>
      <c r="E25" s="14">
        <v>6.6666666666666596E-2</v>
      </c>
      <c r="F25" s="3">
        <v>3.7499999999999999E-2</v>
      </c>
      <c r="G25" s="14">
        <v>3.9572349999999999E-2</v>
      </c>
      <c r="H25" s="11">
        <v>1.094476E-3</v>
      </c>
      <c r="I25" s="15">
        <f t="shared" si="18"/>
        <v>1.7777777777777759</v>
      </c>
      <c r="J25" s="3" t="s">
        <v>50</v>
      </c>
      <c r="K25" s="3" t="s">
        <v>27</v>
      </c>
      <c r="L25" s="3" t="s">
        <v>38</v>
      </c>
      <c r="M25" s="15" t="s">
        <v>38</v>
      </c>
      <c r="N25" s="10">
        <v>551.75</v>
      </c>
      <c r="O25" s="2">
        <v>534.15584016732998</v>
      </c>
      <c r="P25" s="7">
        <f t="shared" si="19"/>
        <v>5.772630931736967E-3</v>
      </c>
      <c r="Q25" s="7">
        <f t="shared" si="20"/>
        <v>5.4103463844241738E-3</v>
      </c>
      <c r="R25" s="8">
        <f t="shared" si="21"/>
        <v>-6.2759000462165856E-2</v>
      </c>
      <c r="S25" s="6">
        <f>200*2*O25/B25</f>
        <v>10.402255894203115</v>
      </c>
      <c r="T25" s="2">
        <f t="shared" si="22"/>
        <v>29.642459834469324</v>
      </c>
      <c r="U25" s="6">
        <f t="shared" si="23"/>
        <v>36.783333333333296</v>
      </c>
      <c r="V25" s="6">
        <f t="shared" si="24"/>
        <v>20.690625000000001</v>
      </c>
      <c r="W25" s="6">
        <f t="shared" si="27"/>
        <v>21.834044112499999</v>
      </c>
      <c r="X25" s="6">
        <f t="shared" si="28"/>
        <v>0.60387713300000001</v>
      </c>
    </row>
    <row r="26" spans="1:24">
      <c r="A26" t="s">
        <v>61</v>
      </c>
      <c r="B26" s="3">
        <v>20540</v>
      </c>
      <c r="C26" s="3" t="s">
        <v>48</v>
      </c>
      <c r="D26" s="3" t="s">
        <v>121</v>
      </c>
      <c r="E26" s="14">
        <v>6.6666666666666596E-2</v>
      </c>
      <c r="F26" s="3">
        <v>3.7499999999999999E-2</v>
      </c>
      <c r="G26" s="14">
        <v>3.9572349999999999E-2</v>
      </c>
      <c r="H26" s="11">
        <v>1.094476E-3</v>
      </c>
      <c r="I26" s="15">
        <f t="shared" si="18"/>
        <v>1.7777777777777759</v>
      </c>
      <c r="J26" s="3" t="s">
        <v>50</v>
      </c>
      <c r="K26" s="3" t="s">
        <v>27</v>
      </c>
      <c r="L26" s="3" t="s">
        <v>38</v>
      </c>
      <c r="M26" s="15" t="s">
        <v>38</v>
      </c>
      <c r="N26" s="10">
        <v>551.75</v>
      </c>
      <c r="O26" s="2">
        <v>554.62637104913404</v>
      </c>
      <c r="P26" s="7">
        <f t="shared" si="19"/>
        <v>5.772630931736967E-3</v>
      </c>
      <c r="Q26" s="7">
        <f t="shared" si="20"/>
        <v>5.832975322820017E-3</v>
      </c>
      <c r="R26" s="8">
        <f t="shared" si="21"/>
        <v>1.0453533544174207E-2</v>
      </c>
      <c r="S26" s="6">
        <f>200*2*O26/B26</f>
        <v>10.80090303893153</v>
      </c>
      <c r="T26" s="2">
        <f t="shared" si="22"/>
        <v>29.642459834469324</v>
      </c>
      <c r="U26" s="6">
        <f t="shared" si="23"/>
        <v>36.783333333333296</v>
      </c>
      <c r="V26" s="6">
        <f t="shared" si="24"/>
        <v>20.690625000000001</v>
      </c>
      <c r="W26" s="6">
        <f t="shared" ref="W26" si="29">G26*N26</f>
        <v>21.834044112499999</v>
      </c>
      <c r="X26" s="6">
        <f t="shared" ref="X26" si="30">H26*N26</f>
        <v>0.60387713300000001</v>
      </c>
    </row>
    <row r="27" spans="1:24">
      <c r="A27" t="s">
        <v>62</v>
      </c>
      <c r="B27" s="3">
        <v>20540</v>
      </c>
      <c r="C27" s="3" t="s">
        <v>48</v>
      </c>
      <c r="D27" s="3" t="s">
        <v>121</v>
      </c>
      <c r="E27" s="14">
        <v>6.6666666666666596E-2</v>
      </c>
      <c r="F27" s="3">
        <v>3.7499999999999999E-2</v>
      </c>
      <c r="G27" s="14">
        <v>3.9572349999999999E-2</v>
      </c>
      <c r="H27" s="11">
        <v>1.094476E-3</v>
      </c>
      <c r="I27" s="15">
        <f t="shared" si="18"/>
        <v>1.7777777777777759</v>
      </c>
      <c r="J27" s="3" t="s">
        <v>50</v>
      </c>
      <c r="K27" s="3" t="s">
        <v>27</v>
      </c>
      <c r="L27" s="3" t="s">
        <v>38</v>
      </c>
      <c r="M27" s="15" t="s">
        <v>38</v>
      </c>
      <c r="N27" s="10">
        <v>551.75</v>
      </c>
      <c r="O27" s="2">
        <v>559.636338939957</v>
      </c>
      <c r="P27" s="7">
        <f t="shared" si="19"/>
        <v>5.772630931736967E-3</v>
      </c>
      <c r="Q27" s="7">
        <f t="shared" si="20"/>
        <v>5.9388303888888699E-3</v>
      </c>
      <c r="R27" s="8">
        <f t="shared" si="21"/>
        <v>2.879093763610727E-2</v>
      </c>
      <c r="S27" s="6">
        <f>200*2*O27/B27</f>
        <v>10.898468139044926</v>
      </c>
      <c r="T27" s="2">
        <f t="shared" si="22"/>
        <v>29.642459834469324</v>
      </c>
      <c r="U27" s="6">
        <f t="shared" si="23"/>
        <v>36.783333333333296</v>
      </c>
      <c r="V27" s="6">
        <f t="shared" si="24"/>
        <v>20.690625000000001</v>
      </c>
      <c r="W27" s="6">
        <f t="shared" ref="W27:W30" si="31">G27*N27</f>
        <v>21.834044112499999</v>
      </c>
      <c r="X27" s="6">
        <f t="shared" ref="X27:X30" si="32">H27*N27</f>
        <v>0.60387713300000001</v>
      </c>
    </row>
    <row r="28" spans="1:24">
      <c r="A28" t="s">
        <v>47</v>
      </c>
      <c r="B28" s="3">
        <v>20540</v>
      </c>
      <c r="C28" s="3" t="s">
        <v>48</v>
      </c>
      <c r="D28" s="3" t="s">
        <v>123</v>
      </c>
      <c r="E28" s="14">
        <v>6.6666666666666596E-2</v>
      </c>
      <c r="F28" s="3">
        <v>3.7499999999999999E-2</v>
      </c>
      <c r="G28" s="14">
        <v>7.9024239999999996E-2</v>
      </c>
      <c r="H28" s="11">
        <v>2.2765490000000001E-3</v>
      </c>
      <c r="I28" s="15">
        <f t="shared" si="18"/>
        <v>1.7777777777777759</v>
      </c>
      <c r="J28" s="3" t="s">
        <v>50</v>
      </c>
      <c r="K28" s="3" t="s">
        <v>27</v>
      </c>
      <c r="L28" s="3" t="s">
        <v>38</v>
      </c>
      <c r="M28" s="15" t="s">
        <v>38</v>
      </c>
      <c r="N28" s="10">
        <v>551.75</v>
      </c>
      <c r="O28" s="2">
        <v>552.56079223245501</v>
      </c>
      <c r="P28" s="7">
        <f t="shared" si="19"/>
        <v>5.772630931736967E-3</v>
      </c>
      <c r="Q28" s="7">
        <f t="shared" si="20"/>
        <v>5.7896090675909791E-3</v>
      </c>
      <c r="R28" s="8">
        <f t="shared" si="21"/>
        <v>2.9411434846231123E-3</v>
      </c>
      <c r="S28" s="6">
        <v>11</v>
      </c>
      <c r="T28" s="2">
        <f t="shared" si="22"/>
        <v>29.642459834469324</v>
      </c>
      <c r="U28" s="6">
        <f t="shared" si="23"/>
        <v>36.783333333333296</v>
      </c>
      <c r="V28" s="6">
        <f t="shared" si="24"/>
        <v>20.690625000000001</v>
      </c>
      <c r="W28" s="6">
        <f t="shared" si="31"/>
        <v>43.60162442</v>
      </c>
      <c r="X28" s="6">
        <f>H28*N28</f>
        <v>1.25608591075</v>
      </c>
    </row>
    <row r="29" spans="1:24">
      <c r="A29" t="s">
        <v>47</v>
      </c>
      <c r="B29" s="3">
        <v>20540</v>
      </c>
      <c r="C29" s="3" t="s">
        <v>48</v>
      </c>
      <c r="D29" s="3" t="s">
        <v>121</v>
      </c>
      <c r="E29" s="14">
        <v>6.6666666666666596E-2</v>
      </c>
      <c r="F29" s="3">
        <v>3.7499999999999999E-2</v>
      </c>
      <c r="G29" s="14">
        <v>3.2405539999999997E-2</v>
      </c>
      <c r="H29" s="11">
        <v>2.3605689999999999E-3</v>
      </c>
      <c r="I29" s="15">
        <f t="shared" si="18"/>
        <v>1.7777777777777759</v>
      </c>
      <c r="J29" s="3" t="s">
        <v>63</v>
      </c>
      <c r="K29" s="3" t="s">
        <v>27</v>
      </c>
      <c r="L29" s="3" t="s">
        <v>38</v>
      </c>
      <c r="M29" s="15" t="s">
        <v>38</v>
      </c>
      <c r="N29" s="10">
        <v>551.75</v>
      </c>
      <c r="O29" s="2">
        <v>579.946521286814</v>
      </c>
      <c r="P29" s="7">
        <f t="shared" si="19"/>
        <v>5.772630931736967E-3</v>
      </c>
      <c r="Q29" s="7">
        <f t="shared" si="20"/>
        <v>6.3777134705251676E-3</v>
      </c>
      <c r="R29" s="8">
        <f t="shared" si="21"/>
        <v>0.10481919699067493</v>
      </c>
      <c r="S29" s="6">
        <f>200*2*O29/B29</f>
        <v>11.293992624864927</v>
      </c>
      <c r="T29" s="2">
        <f t="shared" si="22"/>
        <v>29.642459834469324</v>
      </c>
      <c r="U29" s="6">
        <f t="shared" si="23"/>
        <v>36.783333333333296</v>
      </c>
      <c r="V29" s="6">
        <f t="shared" si="24"/>
        <v>20.690625000000001</v>
      </c>
      <c r="W29" s="6">
        <f t="shared" si="31"/>
        <v>17.879756694999998</v>
      </c>
      <c r="X29" s="6">
        <f>H29*N29</f>
        <v>1.3024439457499999</v>
      </c>
    </row>
    <row r="30" spans="1:24">
      <c r="A30" t="s">
        <v>47</v>
      </c>
      <c r="B30" s="3">
        <v>20540</v>
      </c>
      <c r="C30" s="3" t="s">
        <v>48</v>
      </c>
      <c r="D30" s="3" t="s">
        <v>124</v>
      </c>
      <c r="E30" s="14">
        <f>6.4/192</f>
        <v>3.3333333333333333E-2</v>
      </c>
      <c r="F30" s="3">
        <f>2.4/128</f>
        <v>1.8749999999999999E-2</v>
      </c>
      <c r="G30" s="14">
        <v>1.9793720000000001E-2</v>
      </c>
      <c r="H30" s="11">
        <v>5.3669989999999995E-4</v>
      </c>
      <c r="I30" s="15">
        <f t="shared" si="18"/>
        <v>1.7777777777777779</v>
      </c>
      <c r="J30" s="3" t="s">
        <v>50</v>
      </c>
      <c r="K30" s="3" t="s">
        <v>27</v>
      </c>
      <c r="L30" s="3" t="s">
        <v>38</v>
      </c>
      <c r="M30" s="15" t="s">
        <v>38</v>
      </c>
      <c r="N30" s="10">
        <v>551.75</v>
      </c>
      <c r="O30" s="2">
        <v>567.08821139826296</v>
      </c>
      <c r="P30" s="7">
        <f t="shared" si="19"/>
        <v>5.772630931736967E-3</v>
      </c>
      <c r="Q30" s="7">
        <f t="shared" si="20"/>
        <v>6.0980410988392469E-3</v>
      </c>
      <c r="R30" s="8">
        <f t="shared" si="21"/>
        <v>5.6371205945841565E-2</v>
      </c>
      <c r="S30" s="6">
        <f>200*2*O30/B30</f>
        <v>11.0435873690022</v>
      </c>
      <c r="T30" s="2">
        <f t="shared" si="22"/>
        <v>29.642459834469324</v>
      </c>
      <c r="U30" s="6">
        <f t="shared" si="23"/>
        <v>18.391666666666666</v>
      </c>
      <c r="V30" s="6">
        <f t="shared" si="24"/>
        <v>10.3453125</v>
      </c>
      <c r="W30" s="6">
        <f t="shared" si="31"/>
        <v>10.92118501</v>
      </c>
      <c r="X30" s="6">
        <f t="shared" si="32"/>
        <v>0.29612416982499995</v>
      </c>
    </row>
    <row r="31" spans="1:24">
      <c r="A31" t="s">
        <v>47</v>
      </c>
      <c r="B31" s="3">
        <v>20540</v>
      </c>
      <c r="C31" s="3" t="s">
        <v>48</v>
      </c>
      <c r="D31" s="3" t="s">
        <v>120</v>
      </c>
      <c r="E31" s="14">
        <f>6.4/192</f>
        <v>3.3333333333333333E-2</v>
      </c>
      <c r="F31" s="3">
        <f>2.4/128</f>
        <v>1.8749999999999999E-2</v>
      </c>
      <c r="G31" s="14">
        <v>3.9572349999999999E-2</v>
      </c>
      <c r="H31" s="11">
        <v>1.094476E-3</v>
      </c>
      <c r="I31" s="15">
        <f t="shared" si="18"/>
        <v>1.7777777777777779</v>
      </c>
      <c r="J31" s="3" t="s">
        <v>50</v>
      </c>
      <c r="K31" s="3" t="s">
        <v>27</v>
      </c>
      <c r="L31" s="3" t="s">
        <v>38</v>
      </c>
      <c r="M31" s="15" t="s">
        <v>38</v>
      </c>
      <c r="N31" s="10">
        <v>551.75</v>
      </c>
      <c r="O31" s="2">
        <v>563.52453482652697</v>
      </c>
      <c r="P31" s="7">
        <f t="shared" si="19"/>
        <v>5.772630931736967E-3</v>
      </c>
      <c r="Q31" s="7">
        <f t="shared" si="20"/>
        <v>6.0216397074784826E-3</v>
      </c>
      <c r="R31" s="8">
        <f t="shared" si="21"/>
        <v>4.3136098372841852E-2</v>
      </c>
      <c r="S31" s="6">
        <f>200*2*O31/B31</f>
        <v>10.974187630506854</v>
      </c>
      <c r="T31" s="2">
        <f t="shared" si="22"/>
        <v>29.642459834469324</v>
      </c>
      <c r="U31" s="6">
        <f t="shared" si="23"/>
        <v>18.391666666666666</v>
      </c>
      <c r="V31" s="6">
        <f t="shared" si="24"/>
        <v>10.3453125</v>
      </c>
      <c r="W31" s="6">
        <f t="shared" ref="W31:W32" si="33">G31*N31</f>
        <v>21.834044112499999</v>
      </c>
      <c r="X31" s="6">
        <f t="shared" ref="X31:X32" si="34">H31*N31</f>
        <v>0.60387713300000001</v>
      </c>
    </row>
    <row r="32" spans="1:24">
      <c r="A32" t="s">
        <v>47</v>
      </c>
      <c r="B32" s="3">
        <v>20540</v>
      </c>
      <c r="C32" s="3" t="s">
        <v>48</v>
      </c>
      <c r="D32" s="3" t="s">
        <v>125</v>
      </c>
      <c r="E32" s="14">
        <f>6.4/384</f>
        <v>1.6666666666666666E-2</v>
      </c>
      <c r="F32" s="3">
        <f>2.4/256</f>
        <v>9.3749999999999997E-3</v>
      </c>
      <c r="G32" s="14">
        <v>9.8978039999999996E-3</v>
      </c>
      <c r="H32" s="11">
        <v>2.6576520000000001E-4</v>
      </c>
      <c r="I32" s="15">
        <f t="shared" ref="I32:I33" si="35">E32/F32</f>
        <v>1.7777777777777779</v>
      </c>
      <c r="J32" s="3" t="s">
        <v>50</v>
      </c>
      <c r="K32" s="3" t="s">
        <v>27</v>
      </c>
      <c r="L32" s="3" t="s">
        <v>38</v>
      </c>
      <c r="M32" s="15" t="s">
        <v>38</v>
      </c>
      <c r="N32" s="10">
        <v>551.75</v>
      </c>
      <c r="O32" s="2">
        <v>550.14047743079595</v>
      </c>
      <c r="P32" s="7">
        <f t="shared" si="19"/>
        <v>5.772630931736967E-3</v>
      </c>
      <c r="Q32" s="7">
        <f t="shared" si="20"/>
        <v>5.7390011065929555E-3</v>
      </c>
      <c r="R32" s="8">
        <f t="shared" ref="R32:R33" si="36">(Q32-P32)/P32</f>
        <v>-5.8257362269810769E-3</v>
      </c>
      <c r="S32" s="6">
        <f>200*2*O32/B32</f>
        <v>10.71354386428035</v>
      </c>
      <c r="T32" s="2">
        <f t="shared" si="22"/>
        <v>29.642459834469324</v>
      </c>
      <c r="U32" s="6">
        <f t="shared" ref="U32:U33" si="37">E32*N32</f>
        <v>9.1958333333333329</v>
      </c>
      <c r="V32" s="6">
        <f t="shared" ref="V32:V33" si="38">F32*N32</f>
        <v>5.1726562500000002</v>
      </c>
      <c r="W32" s="6">
        <f t="shared" si="33"/>
        <v>5.4611133569999994</v>
      </c>
      <c r="X32" s="6">
        <f t="shared" si="34"/>
        <v>0.1466359491</v>
      </c>
    </row>
    <row r="33" spans="1:24">
      <c r="A33" t="s">
        <v>47</v>
      </c>
      <c r="B33" s="3">
        <v>20540</v>
      </c>
      <c r="C33" s="3" t="s">
        <v>48</v>
      </c>
      <c r="D33" s="3" t="s">
        <v>126</v>
      </c>
      <c r="E33" s="14">
        <f>6.4/384</f>
        <v>1.6666666666666666E-2</v>
      </c>
      <c r="F33" s="3">
        <f>2.4/256</f>
        <v>9.3749999999999997E-3</v>
      </c>
      <c r="G33" s="14">
        <v>1.9793720000000001E-2</v>
      </c>
      <c r="H33" s="11">
        <v>5.3669989999999995E-4</v>
      </c>
      <c r="I33" s="15">
        <f t="shared" si="35"/>
        <v>1.7777777777777779</v>
      </c>
      <c r="J33" s="3" t="s">
        <v>50</v>
      </c>
      <c r="K33" s="3" t="s">
        <v>27</v>
      </c>
      <c r="L33" s="3" t="s">
        <v>38</v>
      </c>
      <c r="M33" s="15" t="s">
        <v>38</v>
      </c>
      <c r="N33" s="10">
        <v>551.75</v>
      </c>
      <c r="O33" s="2">
        <v>550.22238863937196</v>
      </c>
      <c r="P33" s="7">
        <f t="shared" si="19"/>
        <v>5.772630931736967E-3</v>
      </c>
      <c r="Q33" s="7">
        <f t="shared" si="20"/>
        <v>5.7407102101111485E-3</v>
      </c>
      <c r="R33" s="8">
        <f t="shared" si="36"/>
        <v>-5.5296661094898138E-3</v>
      </c>
      <c r="S33" s="6">
        <f>200*2*O33/B33</f>
        <v>10.715139019267223</v>
      </c>
      <c r="T33" s="2">
        <f t="shared" si="22"/>
        <v>29.642459834469324</v>
      </c>
      <c r="U33" s="6">
        <f t="shared" si="37"/>
        <v>9.1958333333333329</v>
      </c>
      <c r="V33" s="6">
        <f t="shared" si="38"/>
        <v>5.1726562500000002</v>
      </c>
      <c r="W33" s="6">
        <f t="shared" ref="W33" si="39">G33*N33</f>
        <v>10.92118501</v>
      </c>
      <c r="X33" s="6">
        <f t="shared" ref="X33" si="40">H33*N33</f>
        <v>0.29612416982499995</v>
      </c>
    </row>
    <row r="34" spans="1:24">
      <c r="A34" t="s">
        <v>64</v>
      </c>
      <c r="B34" s="3">
        <v>20540</v>
      </c>
      <c r="C34" s="3" t="s">
        <v>48</v>
      </c>
      <c r="D34" s="3" t="s">
        <v>123</v>
      </c>
      <c r="E34" s="14">
        <v>6.6666666666666596E-2</v>
      </c>
      <c r="F34" s="3">
        <v>3.7499999999999999E-2</v>
      </c>
      <c r="G34" s="14">
        <v>7.9024239999999996E-2</v>
      </c>
      <c r="H34" s="11">
        <v>2.2765490000000001E-3</v>
      </c>
      <c r="I34" s="15">
        <f t="shared" ref="I34:I35" si="41">E34/F34</f>
        <v>1.7777777777777759</v>
      </c>
      <c r="J34" s="3" t="s">
        <v>50</v>
      </c>
      <c r="K34" s="3" t="s">
        <v>27</v>
      </c>
      <c r="L34" s="3" t="s">
        <v>38</v>
      </c>
      <c r="M34" s="15" t="s">
        <v>38</v>
      </c>
      <c r="N34" s="10">
        <v>551.75</v>
      </c>
      <c r="O34" s="2">
        <v>559.65770138097696</v>
      </c>
      <c r="P34" s="7">
        <f t="shared" si="19"/>
        <v>5.772630931736967E-3</v>
      </c>
      <c r="Q34" s="7">
        <f t="shared" si="20"/>
        <v>5.9392837916666516E-3</v>
      </c>
      <c r="R34" s="8">
        <f t="shared" ref="R34:R35" si="42">(Q34-P34)/P34</f>
        <v>2.8869481160393392E-2</v>
      </c>
      <c r="S34" s="6">
        <v>11</v>
      </c>
      <c r="T34" s="2">
        <f t="shared" si="22"/>
        <v>29.642459834469324</v>
      </c>
      <c r="U34" s="6">
        <f t="shared" ref="U34:U35" si="43">E34*N34</f>
        <v>36.783333333333296</v>
      </c>
      <c r="V34" s="6">
        <f t="shared" ref="V34:V35" si="44">F34*N34</f>
        <v>20.690625000000001</v>
      </c>
      <c r="W34" s="6">
        <f t="shared" ref="W34:W35" si="45">G34*N34</f>
        <v>43.60162442</v>
      </c>
      <c r="X34" s="6">
        <f t="shared" ref="X34:X35" si="46">H34*N34</f>
        <v>1.25608591075</v>
      </c>
    </row>
    <row r="35" spans="1:24">
      <c r="A35" t="s">
        <v>64</v>
      </c>
      <c r="B35" s="3">
        <v>20540</v>
      </c>
      <c r="C35" s="3" t="s">
        <v>48</v>
      </c>
      <c r="D35" s="3" t="s">
        <v>121</v>
      </c>
      <c r="E35" s="14">
        <v>6.6666666666666596E-2</v>
      </c>
      <c r="F35" s="3">
        <v>3.7499999999999999E-2</v>
      </c>
      <c r="G35" s="14">
        <v>3.9572349999999999E-2</v>
      </c>
      <c r="H35" s="11">
        <v>1.094476E-3</v>
      </c>
      <c r="I35" s="15">
        <f t="shared" si="41"/>
        <v>1.7777777777777759</v>
      </c>
      <c r="J35" s="3" t="s">
        <v>50</v>
      </c>
      <c r="K35" s="3" t="s">
        <v>27</v>
      </c>
      <c r="L35" s="3" t="s">
        <v>38</v>
      </c>
      <c r="M35" s="15" t="s">
        <v>38</v>
      </c>
      <c r="N35" s="10">
        <v>551.75</v>
      </c>
      <c r="O35" s="2">
        <v>581.40691547732297</v>
      </c>
      <c r="P35" s="7">
        <f t="shared" si="19"/>
        <v>5.772630931736967E-3</v>
      </c>
      <c r="Q35" s="7">
        <f t="shared" si="20"/>
        <v>6.4098740314309163E-3</v>
      </c>
      <c r="R35" s="8">
        <f t="shared" si="42"/>
        <v>0.11039041075543085</v>
      </c>
      <c r="S35" s="6">
        <f>200*2*O35/B35</f>
        <v>11.322432628574937</v>
      </c>
      <c r="T35" s="2">
        <f t="shared" si="22"/>
        <v>29.642459834469324</v>
      </c>
      <c r="U35" s="6">
        <f t="shared" si="43"/>
        <v>36.783333333333296</v>
      </c>
      <c r="V35" s="6">
        <f t="shared" si="44"/>
        <v>20.690625000000001</v>
      </c>
      <c r="W35" s="6">
        <f t="shared" si="45"/>
        <v>21.834044112499999</v>
      </c>
      <c r="X35" s="6">
        <f t="shared" si="46"/>
        <v>0.60387713300000001</v>
      </c>
    </row>
    <row r="38" spans="1:24">
      <c r="A38" t="s">
        <v>57</v>
      </c>
      <c r="B38" s="3">
        <v>20540</v>
      </c>
      <c r="C38" s="3" t="s">
        <v>48</v>
      </c>
      <c r="D38" s="3" t="s">
        <v>121</v>
      </c>
      <c r="E38" s="14">
        <v>6.6666666666666596E-2</v>
      </c>
      <c r="F38" s="3">
        <v>3.7499999999999999E-2</v>
      </c>
      <c r="G38" s="14">
        <v>3.9572349999999999E-2</v>
      </c>
      <c r="H38" s="11">
        <v>1.094476E-3</v>
      </c>
      <c r="I38" s="15">
        <f>E38/F38</f>
        <v>1.7777777777777759</v>
      </c>
      <c r="J38" s="3" t="s">
        <v>50</v>
      </c>
      <c r="K38" s="3" t="s">
        <v>27</v>
      </c>
      <c r="L38" s="3" t="s">
        <v>38</v>
      </c>
      <c r="M38" s="15" t="s">
        <v>38</v>
      </c>
      <c r="N38" s="10">
        <v>551.75</v>
      </c>
      <c r="O38" s="2">
        <v>549.02374388038402</v>
      </c>
      <c r="P38" s="7">
        <f>8*(N38/B38)^2</f>
        <v>5.772630931736967E-3</v>
      </c>
      <c r="Q38" s="7">
        <f>8*(O38/B38)^2</f>
        <v>5.7157254867256611E-3</v>
      </c>
      <c r="R38" s="8">
        <f>(Q38-P38)/P38</f>
        <v>-9.8578006604318341E-3</v>
      </c>
      <c r="S38" s="6">
        <f>200*2*O38/B38</f>
        <v>10.691796375469989</v>
      </c>
      <c r="T38" s="2">
        <f>B38/4*P38</f>
        <v>29.642459834469324</v>
      </c>
      <c r="U38" s="6">
        <f>E38*N38</f>
        <v>36.783333333333296</v>
      </c>
      <c r="V38" s="6">
        <f>F38*N38</f>
        <v>20.690625000000001</v>
      </c>
      <c r="W38" s="6">
        <f>G38*N38</f>
        <v>21.834044112499999</v>
      </c>
      <c r="X38" s="6">
        <f>H38*N38</f>
        <v>0.60387713300000001</v>
      </c>
    </row>
    <row r="39" spans="1:24">
      <c r="A39" t="s">
        <v>57</v>
      </c>
      <c r="B39" s="3">
        <v>20540</v>
      </c>
      <c r="C39" s="3" t="s">
        <v>48</v>
      </c>
      <c r="D39" s="3" t="s">
        <v>123</v>
      </c>
      <c r="E39" s="14">
        <v>6.6666666666666596E-2</v>
      </c>
      <c r="F39" s="3">
        <v>3.7499999999999999E-2</v>
      </c>
      <c r="G39" s="14">
        <v>7.9024239999999996E-2</v>
      </c>
      <c r="H39" s="11">
        <v>2.2765490000000001E-3</v>
      </c>
      <c r="I39" s="15">
        <f>E39/F39</f>
        <v>1.7777777777777759</v>
      </c>
      <c r="J39" s="3" t="s">
        <v>50</v>
      </c>
      <c r="K39" s="3" t="s">
        <v>27</v>
      </c>
      <c r="L39" s="3" t="s">
        <v>38</v>
      </c>
      <c r="M39" s="15" t="s">
        <v>38</v>
      </c>
      <c r="N39" s="10">
        <v>551.75</v>
      </c>
      <c r="O39" s="2">
        <v>530.63010115751899</v>
      </c>
      <c r="P39" s="7">
        <f>8*(N39/B39)^2</f>
        <v>5.772630931736967E-3</v>
      </c>
      <c r="Q39" s="7">
        <f>8*(O39/B39)^2</f>
        <v>5.339159239092485E-3</v>
      </c>
      <c r="R39" s="8">
        <f>(Q39-P39)/P39</f>
        <v>-7.5090837742861169E-2</v>
      </c>
      <c r="S39" s="6">
        <v>11</v>
      </c>
      <c r="T39" s="2">
        <f>B39/4*P39</f>
        <v>29.642459834469324</v>
      </c>
      <c r="U39" s="6">
        <f>E39*N39</f>
        <v>36.783333333333296</v>
      </c>
      <c r="V39" s="6">
        <f>F39*N39</f>
        <v>20.690625000000001</v>
      </c>
      <c r="W39" s="6">
        <f>G39*N39</f>
        <v>43.60162442</v>
      </c>
      <c r="X39" s="6">
        <f>H39*N39</f>
        <v>1.25608591075</v>
      </c>
    </row>
    <row r="40" spans="1:24">
      <c r="A40" t="s">
        <v>65</v>
      </c>
      <c r="B40" s="3">
        <v>20540</v>
      </c>
      <c r="C40" s="3" t="s">
        <v>48</v>
      </c>
      <c r="D40" s="3" t="s">
        <v>123</v>
      </c>
      <c r="E40" s="14">
        <v>6.6666666666666596E-2</v>
      </c>
      <c r="F40" s="3">
        <v>3.7499999999999999E-2</v>
      </c>
      <c r="G40" s="14">
        <v>7.9024239999999996E-2</v>
      </c>
      <c r="H40" s="11">
        <v>2.2765490000000001E-3</v>
      </c>
      <c r="I40" s="15">
        <f>E40/F40</f>
        <v>1.7777777777777759</v>
      </c>
      <c r="J40" s="3" t="s">
        <v>50</v>
      </c>
      <c r="K40" s="3" t="s">
        <v>27</v>
      </c>
      <c r="L40" s="3" t="s">
        <v>38</v>
      </c>
      <c r="M40" s="15" t="s">
        <v>38</v>
      </c>
      <c r="N40" s="10">
        <v>551.75</v>
      </c>
      <c r="O40" s="2">
        <v>529.74659324287802</v>
      </c>
      <c r="P40" s="7">
        <f>8*(N40/B40)^2</f>
        <v>5.772630931736967E-3</v>
      </c>
      <c r="Q40" s="7">
        <f>8*(O40/B40)^2</f>
        <v>5.3213944634581071E-3</v>
      </c>
      <c r="R40" s="8">
        <f>(Q40-P40)/P40</f>
        <v>-7.8168251810112568E-2</v>
      </c>
      <c r="S40" s="6">
        <v>11</v>
      </c>
      <c r="T40" s="2">
        <f>B40/4*P40</f>
        <v>29.642459834469324</v>
      </c>
      <c r="U40" s="6">
        <f>E40*N40</f>
        <v>36.783333333333296</v>
      </c>
      <c r="V40" s="6">
        <f>F40*N40</f>
        <v>20.690625000000001</v>
      </c>
      <c r="W40" s="6">
        <f>G40*N40</f>
        <v>43.60162442</v>
      </c>
      <c r="X40" s="6">
        <f>H40*N40</f>
        <v>1.25608591075</v>
      </c>
    </row>
    <row r="41" spans="1:24">
      <c r="A41" t="s">
        <v>66</v>
      </c>
      <c r="B41" s="3">
        <v>20540</v>
      </c>
      <c r="C41" s="3" t="s">
        <v>48</v>
      </c>
      <c r="D41" s="3" t="s">
        <v>123</v>
      </c>
      <c r="E41" s="14">
        <v>6.6666666666666596E-2</v>
      </c>
      <c r="F41" s="3">
        <v>3.7499999999999999E-2</v>
      </c>
      <c r="G41" s="14">
        <v>7.9024239999999996E-2</v>
      </c>
      <c r="H41" s="11">
        <v>2.2765490000000001E-3</v>
      </c>
      <c r="I41" s="15">
        <f>E41/F41</f>
        <v>1.7777777777777759</v>
      </c>
      <c r="J41" s="3" t="s">
        <v>50</v>
      </c>
      <c r="K41" s="3" t="s">
        <v>27</v>
      </c>
      <c r="L41" s="3" t="s">
        <v>38</v>
      </c>
      <c r="M41" s="15" t="s">
        <v>38</v>
      </c>
      <c r="N41" s="10">
        <v>551.75</v>
      </c>
      <c r="O41" s="2">
        <v>515.73557369572995</v>
      </c>
      <c r="P41" s="7">
        <f>8*(N41/B41)^2</f>
        <v>5.772630931736967E-3</v>
      </c>
      <c r="Q41" s="7">
        <f>8*(O41/B41)^2</f>
        <v>5.0436307710371806E-3</v>
      </c>
      <c r="R41" s="8">
        <f>(Q41-P41)/P41</f>
        <v>-0.1262855999838591</v>
      </c>
      <c r="S41" s="6">
        <v>11</v>
      </c>
      <c r="T41" s="2">
        <f>B41/4*P41</f>
        <v>29.642459834469324</v>
      </c>
      <c r="U41" s="6">
        <f>E41*N41</f>
        <v>36.783333333333296</v>
      </c>
      <c r="V41" s="6">
        <f>F41*N41</f>
        <v>20.690625000000001</v>
      </c>
      <c r="W41" s="6">
        <f>G41*N41</f>
        <v>43.60162442</v>
      </c>
      <c r="X41" s="6">
        <f>H41*N41</f>
        <v>1.25608591075</v>
      </c>
    </row>
    <row r="42" spans="1:24">
      <c r="B42" s="3"/>
      <c r="C42" s="3"/>
      <c r="D42" s="3"/>
      <c r="E42" s="14"/>
      <c r="F42" s="3"/>
      <c r="G42" s="14"/>
      <c r="H42" s="11"/>
      <c r="I42" s="15"/>
      <c r="J42" s="3"/>
      <c r="K42" s="3"/>
      <c r="L42" s="3"/>
      <c r="M42" s="15"/>
      <c r="N42" s="10"/>
      <c r="O42" s="2"/>
      <c r="P42" s="7"/>
      <c r="Q42" s="7"/>
      <c r="R42" s="8"/>
      <c r="S42" s="6"/>
      <c r="T42" s="2"/>
      <c r="U42" s="6"/>
      <c r="V42" s="6"/>
      <c r="W42" s="6"/>
      <c r="X42" s="6"/>
    </row>
    <row r="44" spans="1:24">
      <c r="A44" t="s">
        <v>57</v>
      </c>
      <c r="B44" s="3">
        <v>20540</v>
      </c>
      <c r="C44" s="3" t="s">
        <v>48</v>
      </c>
      <c r="D44" s="3" t="s">
        <v>120</v>
      </c>
      <c r="E44" s="14">
        <f>6.4/192</f>
        <v>3.3333333333333333E-2</v>
      </c>
      <c r="F44" s="3">
        <f>2.4/128</f>
        <v>1.8749999999999999E-2</v>
      </c>
      <c r="G44" s="14">
        <v>3.9572349999999999E-2</v>
      </c>
      <c r="H44" s="11">
        <v>1.094476E-3</v>
      </c>
      <c r="I44" s="15">
        <f t="shared" ref="I44" si="47">E44/F44</f>
        <v>1.7777777777777779</v>
      </c>
      <c r="J44" s="3" t="s">
        <v>50</v>
      </c>
      <c r="K44" s="3" t="s">
        <v>27</v>
      </c>
      <c r="L44" s="3" t="s">
        <v>38</v>
      </c>
      <c r="M44" s="15" t="s">
        <v>38</v>
      </c>
      <c r="N44" s="10">
        <v>551.75</v>
      </c>
      <c r="O44" s="2">
        <v>549.31194168112302</v>
      </c>
      <c r="P44" s="7">
        <f>8*(N44/B44)^2</f>
        <v>5.772630931736967E-3</v>
      </c>
      <c r="Q44" s="7">
        <f>8*(O44/B44)^2</f>
        <v>5.721727747572799E-3</v>
      </c>
      <c r="R44" s="8">
        <f t="shared" ref="R44" si="48">(Q44-P44)/P44</f>
        <v>-8.8180215860173463E-3</v>
      </c>
      <c r="S44" s="6">
        <f>200*2*O44/B44</f>
        <v>10.69740879612703</v>
      </c>
      <c r="T44" s="2">
        <f>B44/4*P44</f>
        <v>29.642459834469324</v>
      </c>
      <c r="U44" s="6">
        <f t="shared" ref="U44" si="49">E44*N44</f>
        <v>18.391666666666666</v>
      </c>
      <c r="V44" s="6">
        <f t="shared" ref="V44" si="50">F44*N44</f>
        <v>10.3453125</v>
      </c>
      <c r="W44" s="6">
        <f t="shared" ref="W44" si="51">G44*N44</f>
        <v>21.834044112499999</v>
      </c>
      <c r="X44" s="6">
        <f t="shared" ref="X44" si="52">H44*N44</f>
        <v>0.60387713300000001</v>
      </c>
    </row>
    <row r="45" spans="1:24">
      <c r="A45" t="s">
        <v>57</v>
      </c>
      <c r="B45" s="3">
        <v>20540</v>
      </c>
      <c r="C45" s="3" t="s">
        <v>48</v>
      </c>
      <c r="D45" s="3" t="s">
        <v>126</v>
      </c>
      <c r="E45" s="14">
        <f>6.4/384</f>
        <v>1.6666666666666666E-2</v>
      </c>
      <c r="F45" s="3">
        <f>2.4/256</f>
        <v>9.3749999999999997E-3</v>
      </c>
      <c r="G45" s="14">
        <v>1.9793720000000001E-2</v>
      </c>
      <c r="H45" s="11">
        <v>5.3669989999999995E-4</v>
      </c>
      <c r="I45" s="15">
        <f>E45/F45</f>
        <v>1.7777777777777779</v>
      </c>
      <c r="J45" s="3" t="s">
        <v>50</v>
      </c>
      <c r="K45" s="3" t="s">
        <v>27</v>
      </c>
      <c r="L45" s="3" t="s">
        <v>38</v>
      </c>
      <c r="M45" s="15" t="s">
        <v>38</v>
      </c>
      <c r="N45" s="10">
        <v>551.75</v>
      </c>
      <c r="O45" s="2">
        <v>544.25273791426696</v>
      </c>
      <c r="P45" s="7">
        <f>8*(N45/B45)^2</f>
        <v>5.772630931736967E-3</v>
      </c>
      <c r="Q45" s="7">
        <f>8*(O45/B45)^2</f>
        <v>5.6168180210684595E-3</v>
      </c>
      <c r="R45" s="8">
        <f>(Q45-P45)/P45</f>
        <v>-2.6991663335321516E-2</v>
      </c>
      <c r="S45" s="6">
        <f>200*2*O45/B45</f>
        <v>10.59888486687959</v>
      </c>
      <c r="T45" s="2">
        <f>B45/4*P45</f>
        <v>29.642459834469324</v>
      </c>
      <c r="U45" s="6">
        <f>E45*N45</f>
        <v>9.1958333333333329</v>
      </c>
      <c r="V45" s="6">
        <f>F45*N45</f>
        <v>5.1726562500000002</v>
      </c>
      <c r="W45" s="6">
        <f>G45*N45</f>
        <v>10.92118501</v>
      </c>
      <c r="X45" s="6">
        <f>H45*N45</f>
        <v>0.29612416982499995</v>
      </c>
    </row>
    <row r="48" spans="1:24">
      <c r="A48" t="s">
        <v>67</v>
      </c>
    </row>
    <row r="49" spans="1:24">
      <c r="A49" t="s">
        <v>68</v>
      </c>
      <c r="B49" s="3">
        <v>20540</v>
      </c>
      <c r="C49" s="3" t="s">
        <v>48</v>
      </c>
      <c r="D49" s="3" t="s">
        <v>127</v>
      </c>
      <c r="E49" s="3">
        <v>0.1</v>
      </c>
      <c r="F49" s="3">
        <v>0.1</v>
      </c>
      <c r="G49">
        <f>F49</f>
        <v>0.1</v>
      </c>
      <c r="H49" s="3">
        <f>0.25*G49</f>
        <v>2.5000000000000001E-2</v>
      </c>
      <c r="I49" s="3">
        <v>1</v>
      </c>
      <c r="J49" s="3" t="s">
        <v>26</v>
      </c>
      <c r="K49" s="3" t="s">
        <v>27</v>
      </c>
      <c r="L49">
        <v>0.1</v>
      </c>
      <c r="M49" s="6">
        <f>L49/H49</f>
        <v>4</v>
      </c>
      <c r="N49" s="10">
        <v>551.75</v>
      </c>
      <c r="O49" s="2"/>
      <c r="P49" s="7">
        <f>8*(N49/B49)^2</f>
        <v>5.772630931736967E-3</v>
      </c>
      <c r="Q49" s="7">
        <f>8*(O49/B49)^2</f>
        <v>0</v>
      </c>
      <c r="R49" s="8">
        <f>(Q49-P49)/P49</f>
        <v>-1</v>
      </c>
      <c r="S49" s="6">
        <v>10.7</v>
      </c>
      <c r="T49" s="2">
        <f>B49/4*P49</f>
        <v>29.642459834469324</v>
      </c>
      <c r="U49" s="6">
        <f>E49*N49</f>
        <v>55.175000000000004</v>
      </c>
      <c r="V49" s="6">
        <f>F49*N49</f>
        <v>55.175000000000004</v>
      </c>
      <c r="W49" s="6">
        <f>G49*N49</f>
        <v>55.175000000000004</v>
      </c>
      <c r="X49" s="6">
        <f>H49*N49</f>
        <v>13.793750000000001</v>
      </c>
    </row>
    <row r="50" spans="1:24">
      <c r="A50" t="s">
        <v>68</v>
      </c>
      <c r="B50" s="3">
        <v>20540</v>
      </c>
      <c r="C50" s="3" t="s">
        <v>48</v>
      </c>
      <c r="D50" s="3" t="s">
        <v>128</v>
      </c>
      <c r="E50" s="3">
        <v>6.7000000000000004E-2</v>
      </c>
      <c r="F50" s="3">
        <v>6.7000000000000004E-2</v>
      </c>
      <c r="G50">
        <f>F50</f>
        <v>6.7000000000000004E-2</v>
      </c>
      <c r="H50" s="3">
        <f>0.25*G50</f>
        <v>1.6750000000000001E-2</v>
      </c>
      <c r="I50" s="3">
        <v>1</v>
      </c>
      <c r="J50" s="3" t="s">
        <v>26</v>
      </c>
      <c r="K50" s="3" t="s">
        <v>27</v>
      </c>
      <c r="L50">
        <v>0.1</v>
      </c>
      <c r="M50" s="6">
        <f t="shared" ref="M50:M52" si="53">L50/H50</f>
        <v>5.9701492537313436</v>
      </c>
      <c r="N50" s="10">
        <v>551.75</v>
      </c>
      <c r="O50" s="2"/>
      <c r="P50" s="7">
        <f>8*(N50/B50)^2</f>
        <v>5.772630931736967E-3</v>
      </c>
      <c r="Q50" s="7">
        <f>8*(O50/B50)^2</f>
        <v>0</v>
      </c>
      <c r="R50" s="8">
        <f t="shared" ref="R50:R52" si="54">(Q50-P50)/P50</f>
        <v>-1</v>
      </c>
      <c r="S50" s="6">
        <f>200*2*O50/B50</f>
        <v>0</v>
      </c>
      <c r="T50" s="2">
        <f>B50/4*P50</f>
        <v>29.642459834469324</v>
      </c>
      <c r="U50" s="6">
        <f t="shared" ref="U50:U52" si="55">E50*N50</f>
        <v>36.96725</v>
      </c>
      <c r="V50" s="6">
        <f t="shared" ref="V50:V52" si="56">F50*N50</f>
        <v>36.96725</v>
      </c>
      <c r="W50" s="6">
        <f t="shared" ref="W50:W52" si="57">G50*N50</f>
        <v>36.96725</v>
      </c>
      <c r="X50" s="6">
        <f t="shared" ref="X50:X52" si="58">H50*N50</f>
        <v>9.2418125</v>
      </c>
    </row>
    <row r="51" spans="1:24">
      <c r="A51" t="s">
        <v>68</v>
      </c>
      <c r="B51" s="3">
        <v>20540</v>
      </c>
      <c r="C51" s="3" t="s">
        <v>48</v>
      </c>
      <c r="D51" s="3" t="s">
        <v>129</v>
      </c>
      <c r="E51" s="3">
        <v>0.05</v>
      </c>
      <c r="F51" s="3">
        <v>0.05</v>
      </c>
      <c r="G51">
        <f>F51</f>
        <v>0.05</v>
      </c>
      <c r="H51" s="3">
        <f>0.25*G51</f>
        <v>1.2500000000000001E-2</v>
      </c>
      <c r="I51" s="3">
        <v>1</v>
      </c>
      <c r="J51" s="3" t="s">
        <v>26</v>
      </c>
      <c r="K51" s="3" t="s">
        <v>27</v>
      </c>
      <c r="L51">
        <v>0.1</v>
      </c>
      <c r="M51" s="6">
        <f t="shared" si="53"/>
        <v>8</v>
      </c>
      <c r="N51" s="10">
        <v>551.75</v>
      </c>
      <c r="O51" s="2"/>
      <c r="P51" s="7">
        <f>8*(N51/B51)^2</f>
        <v>5.772630931736967E-3</v>
      </c>
      <c r="Q51" s="7">
        <f>8*(O51/B51)^2</f>
        <v>0</v>
      </c>
      <c r="R51" s="8">
        <f t="shared" si="54"/>
        <v>-1</v>
      </c>
      <c r="S51" s="6">
        <f>200*2*O51/B51</f>
        <v>0</v>
      </c>
      <c r="T51" s="2">
        <f>B51/4*P51</f>
        <v>29.642459834469324</v>
      </c>
      <c r="U51" s="6">
        <f t="shared" si="55"/>
        <v>27.587500000000002</v>
      </c>
      <c r="V51" s="6">
        <f t="shared" si="56"/>
        <v>27.587500000000002</v>
      </c>
      <c r="W51" s="6">
        <f t="shared" si="57"/>
        <v>27.587500000000002</v>
      </c>
      <c r="X51" s="6">
        <f t="shared" si="58"/>
        <v>6.8968750000000005</v>
      </c>
    </row>
    <row r="52" spans="1:24">
      <c r="A52" t="s">
        <v>68</v>
      </c>
      <c r="B52" s="3">
        <v>20540</v>
      </c>
      <c r="C52" s="3" t="s">
        <v>48</v>
      </c>
      <c r="D52" s="3" t="s">
        <v>130</v>
      </c>
      <c r="E52" s="3">
        <v>3.3000000000000002E-2</v>
      </c>
      <c r="F52" s="3">
        <v>3.3000000000000002E-2</v>
      </c>
      <c r="G52">
        <f>F52</f>
        <v>3.3000000000000002E-2</v>
      </c>
      <c r="H52" s="3">
        <f>0.25*G52</f>
        <v>8.2500000000000004E-3</v>
      </c>
      <c r="I52" s="3">
        <v>1</v>
      </c>
      <c r="J52" s="3" t="s">
        <v>26</v>
      </c>
      <c r="K52" s="3" t="s">
        <v>27</v>
      </c>
      <c r="L52">
        <v>0.1</v>
      </c>
      <c r="M52" s="6">
        <f t="shared" si="53"/>
        <v>12.121212121212121</v>
      </c>
      <c r="N52" s="10">
        <v>551.75</v>
      </c>
      <c r="O52" s="2"/>
      <c r="P52" s="7">
        <f>8*(N52/B52)^2</f>
        <v>5.772630931736967E-3</v>
      </c>
      <c r="Q52" s="7">
        <f>8*(O52/B52)^2</f>
        <v>0</v>
      </c>
      <c r="R52" s="8">
        <f t="shared" si="54"/>
        <v>-1</v>
      </c>
      <c r="S52" s="6">
        <f>200*2*O52/B52</f>
        <v>0</v>
      </c>
      <c r="T52" s="2">
        <f>B52/4*P52</f>
        <v>29.642459834469324</v>
      </c>
      <c r="U52" s="6">
        <f t="shared" si="55"/>
        <v>18.207750000000001</v>
      </c>
      <c r="V52" s="6">
        <f t="shared" si="56"/>
        <v>18.207750000000001</v>
      </c>
      <c r="W52" s="6">
        <f t="shared" si="57"/>
        <v>18.207750000000001</v>
      </c>
      <c r="X52" s="6">
        <f t="shared" si="58"/>
        <v>4.5519375000000002</v>
      </c>
    </row>
    <row r="55" spans="1:24">
      <c r="A55" t="s">
        <v>69</v>
      </c>
      <c r="B55" s="3">
        <v>20540</v>
      </c>
      <c r="C55" s="3" t="s">
        <v>48</v>
      </c>
      <c r="D55" s="3" t="s">
        <v>127</v>
      </c>
      <c r="E55" s="3">
        <v>0.1</v>
      </c>
      <c r="F55" s="3">
        <v>0.1</v>
      </c>
      <c r="G55">
        <f>F55</f>
        <v>0.1</v>
      </c>
      <c r="H55" s="3">
        <f>0.25*G55</f>
        <v>2.5000000000000001E-2</v>
      </c>
      <c r="I55" s="3">
        <v>1</v>
      </c>
      <c r="J55" s="3" t="s">
        <v>26</v>
      </c>
      <c r="K55" s="3" t="s">
        <v>27</v>
      </c>
      <c r="L55">
        <v>0.1</v>
      </c>
      <c r="M55" s="6">
        <f>L55/H55</f>
        <v>4</v>
      </c>
      <c r="N55" s="10">
        <v>551.75</v>
      </c>
      <c r="O55" s="2"/>
      <c r="P55" s="7">
        <f>8*(N55/B55)^2</f>
        <v>5.772630931736967E-3</v>
      </c>
      <c r="Q55" s="7">
        <f>8*(O55/B55)^2</f>
        <v>0</v>
      </c>
      <c r="R55" s="8">
        <f>(Q55-P55)/P55</f>
        <v>-1</v>
      </c>
      <c r="S55" s="6">
        <v>10.7</v>
      </c>
      <c r="T55" s="2">
        <f>B55/4*P55</f>
        <v>29.642459834469324</v>
      </c>
      <c r="U55" s="6">
        <f>E55*N55</f>
        <v>55.175000000000004</v>
      </c>
      <c r="V55" s="6">
        <f>F55*N55</f>
        <v>55.175000000000004</v>
      </c>
      <c r="W55" s="6">
        <f>G55*N55</f>
        <v>55.175000000000004</v>
      </c>
      <c r="X55" s="6">
        <f>H55*N55</f>
        <v>13.793750000000001</v>
      </c>
    </row>
    <row r="56" spans="1:24">
      <c r="A56" t="s">
        <v>69</v>
      </c>
      <c r="B56" s="3">
        <v>20540</v>
      </c>
      <c r="C56" s="3" t="s">
        <v>48</v>
      </c>
      <c r="D56" s="3" t="s">
        <v>128</v>
      </c>
      <c r="E56" s="3">
        <v>6.7000000000000004E-2</v>
      </c>
      <c r="F56" s="3">
        <v>6.7000000000000004E-2</v>
      </c>
      <c r="G56">
        <f>F56</f>
        <v>6.7000000000000004E-2</v>
      </c>
      <c r="H56" s="3">
        <f>0.25*G56</f>
        <v>1.6750000000000001E-2</v>
      </c>
      <c r="I56" s="3">
        <v>1</v>
      </c>
      <c r="J56" s="3" t="s">
        <v>26</v>
      </c>
      <c r="K56" s="3" t="s">
        <v>27</v>
      </c>
      <c r="L56">
        <v>0.1</v>
      </c>
      <c r="M56" s="6">
        <f t="shared" ref="M56:M58" si="59">L56/H56</f>
        <v>5.9701492537313436</v>
      </c>
      <c r="N56" s="10">
        <v>551.75</v>
      </c>
      <c r="O56" s="2"/>
      <c r="P56" s="7">
        <f>8*(N56/B56)^2</f>
        <v>5.772630931736967E-3</v>
      </c>
      <c r="Q56" s="7">
        <f>8*(O56/B56)^2</f>
        <v>0</v>
      </c>
      <c r="R56" s="8">
        <f>(Q56-P56)/P56</f>
        <v>-1</v>
      </c>
      <c r="S56" s="6">
        <f>200*2*O56/B56</f>
        <v>0</v>
      </c>
      <c r="T56" s="2">
        <f>B56/4*P56</f>
        <v>29.642459834469324</v>
      </c>
      <c r="U56" s="6">
        <f>E56*N56</f>
        <v>36.96725</v>
      </c>
      <c r="V56" s="6">
        <f>F56*N56</f>
        <v>36.96725</v>
      </c>
      <c r="W56" s="6">
        <f>G56*N56</f>
        <v>36.96725</v>
      </c>
      <c r="X56" s="6">
        <f>H56*N56</f>
        <v>9.2418125</v>
      </c>
    </row>
    <row r="57" spans="1:24">
      <c r="A57" t="s">
        <v>69</v>
      </c>
      <c r="B57" s="3">
        <v>20540</v>
      </c>
      <c r="C57" s="3" t="s">
        <v>48</v>
      </c>
      <c r="D57" s="3" t="s">
        <v>129</v>
      </c>
      <c r="E57" s="3">
        <v>0.05</v>
      </c>
      <c r="F57" s="3">
        <v>0.05</v>
      </c>
      <c r="G57">
        <f>F57</f>
        <v>0.05</v>
      </c>
      <c r="H57" s="3">
        <f>0.25*G57</f>
        <v>1.2500000000000001E-2</v>
      </c>
      <c r="I57" s="3">
        <v>1</v>
      </c>
      <c r="J57" s="3" t="s">
        <v>26</v>
      </c>
      <c r="K57" s="3" t="s">
        <v>27</v>
      </c>
      <c r="L57">
        <v>0.1</v>
      </c>
      <c r="M57" s="6">
        <f t="shared" si="59"/>
        <v>8</v>
      </c>
      <c r="N57" s="10">
        <v>551.75</v>
      </c>
      <c r="O57" s="2"/>
      <c r="P57" s="7">
        <f>8*(N57/B57)^2</f>
        <v>5.772630931736967E-3</v>
      </c>
      <c r="Q57" s="7">
        <f>8*(O57/B57)^2</f>
        <v>0</v>
      </c>
      <c r="R57" s="8">
        <f>(Q57-P57)/P57</f>
        <v>-1</v>
      </c>
      <c r="S57" s="6">
        <f>200*2*O57/B57</f>
        <v>0</v>
      </c>
      <c r="T57" s="2">
        <f>B57/4*P57</f>
        <v>29.642459834469324</v>
      </c>
      <c r="U57" s="6">
        <f>E57*N57</f>
        <v>27.587500000000002</v>
      </c>
      <c r="V57" s="6">
        <f>F57*N57</f>
        <v>27.587500000000002</v>
      </c>
      <c r="W57" s="6">
        <f>G57*N57</f>
        <v>27.587500000000002</v>
      </c>
      <c r="X57" s="6">
        <f>H57*N57</f>
        <v>6.8968750000000005</v>
      </c>
    </row>
    <row r="58" spans="1:24">
      <c r="A58" t="s">
        <v>69</v>
      </c>
      <c r="B58" s="3">
        <v>20540</v>
      </c>
      <c r="C58" s="3" t="s">
        <v>48</v>
      </c>
      <c r="D58" s="3" t="s">
        <v>130</v>
      </c>
      <c r="E58" s="3">
        <v>3.3000000000000002E-2</v>
      </c>
      <c r="F58" s="3">
        <v>3.3000000000000002E-2</v>
      </c>
      <c r="G58">
        <f>F58</f>
        <v>3.3000000000000002E-2</v>
      </c>
      <c r="H58" s="3">
        <f>0.25*G58</f>
        <v>8.2500000000000004E-3</v>
      </c>
      <c r="I58" s="3">
        <v>1</v>
      </c>
      <c r="J58" s="3" t="s">
        <v>26</v>
      </c>
      <c r="K58" s="3" t="s">
        <v>27</v>
      </c>
      <c r="L58">
        <v>0.1</v>
      </c>
      <c r="M58" s="6">
        <f t="shared" si="59"/>
        <v>12.121212121212121</v>
      </c>
      <c r="N58" s="10">
        <v>551.75</v>
      </c>
      <c r="O58" s="2"/>
      <c r="P58" s="7">
        <f>8*(N58/B58)^2</f>
        <v>5.772630931736967E-3</v>
      </c>
      <c r="Q58" s="7">
        <f>8*(O58/B58)^2</f>
        <v>0</v>
      </c>
      <c r="R58" s="8">
        <f>(Q58-P58)/P58</f>
        <v>-1</v>
      </c>
      <c r="S58" s="6">
        <f>200*2*O58/B58</f>
        <v>0</v>
      </c>
      <c r="T58" s="2">
        <f>B58/4*P58</f>
        <v>29.642459834469324</v>
      </c>
      <c r="U58" s="6">
        <f>E58*N58</f>
        <v>18.207750000000001</v>
      </c>
      <c r="V58" s="6">
        <f>F58*N58</f>
        <v>18.207750000000001</v>
      </c>
      <c r="W58" s="6">
        <f>G58*N58</f>
        <v>18.207750000000001</v>
      </c>
      <c r="X58" s="6">
        <f>H58*N58</f>
        <v>4.5519375000000002</v>
      </c>
    </row>
    <row r="59" spans="1:24">
      <c r="P59" s="7"/>
      <c r="Q59" s="7"/>
      <c r="R59" s="8"/>
      <c r="S59" s="6"/>
      <c r="U59" s="6"/>
      <c r="V59" s="6"/>
      <c r="W59" s="6"/>
      <c r="X59" s="6"/>
    </row>
    <row r="60" spans="1:24">
      <c r="P60" s="7"/>
      <c r="Q60" s="7"/>
      <c r="R60" s="8"/>
      <c r="S60" s="6"/>
      <c r="U60" s="6"/>
      <c r="V60" s="6"/>
      <c r="W60" s="6"/>
      <c r="X60" s="6"/>
    </row>
    <row r="61" spans="1:24">
      <c r="A61" t="s">
        <v>68</v>
      </c>
      <c r="B61" s="3">
        <v>20000</v>
      </c>
      <c r="C61" s="3" t="s">
        <v>48</v>
      </c>
      <c r="D61" s="3" t="s">
        <v>127</v>
      </c>
      <c r="E61" s="3">
        <v>0.1</v>
      </c>
      <c r="F61" s="3">
        <v>0.1</v>
      </c>
      <c r="G61">
        <f t="shared" ref="G61:G69" si="60">F61</f>
        <v>0.1</v>
      </c>
      <c r="H61" s="3">
        <f t="shared" ref="H61:H69" si="61">0.25*G61</f>
        <v>2.5000000000000001E-2</v>
      </c>
      <c r="I61" s="3">
        <v>1</v>
      </c>
      <c r="J61" s="3" t="s">
        <v>26</v>
      </c>
      <c r="K61" s="3" t="s">
        <v>27</v>
      </c>
      <c r="L61">
        <v>0.1</v>
      </c>
      <c r="M61" s="6">
        <f>L61/H61</f>
        <v>4</v>
      </c>
      <c r="N61">
        <v>543.49599999999998</v>
      </c>
      <c r="O61" s="2">
        <v>536.01751344825198</v>
      </c>
      <c r="P61" s="7">
        <f t="shared" ref="P61:P69" si="62">8*(N61/B61)^2</f>
        <v>5.9077580403199999E-3</v>
      </c>
      <c r="Q61" s="7">
        <f t="shared" ref="Q61:Q69" si="63">8*(O61/B61)^2</f>
        <v>5.7462954944649397E-3</v>
      </c>
      <c r="R61" s="8">
        <f>(Q61-P61)/P61</f>
        <v>-2.7330595591947161E-2</v>
      </c>
      <c r="S61" s="6">
        <f t="shared" ref="S61:S66" si="64">200*2*O61/B61</f>
        <v>10.72035026896504</v>
      </c>
      <c r="T61" s="2">
        <f t="shared" ref="T61:T69" si="65">B61/4*P61</f>
        <v>29.538790201599998</v>
      </c>
      <c r="U61" s="6">
        <f>E61*N61</f>
        <v>54.349600000000002</v>
      </c>
      <c r="V61" s="6">
        <f>F61*N61</f>
        <v>54.349600000000002</v>
      </c>
      <c r="W61" s="6">
        <f>G61*N61</f>
        <v>54.349600000000002</v>
      </c>
      <c r="X61" s="6">
        <f>H61*N61</f>
        <v>13.587400000000001</v>
      </c>
    </row>
    <row r="62" spans="1:24">
      <c r="A62" t="s">
        <v>68</v>
      </c>
      <c r="B62" s="3">
        <v>20000</v>
      </c>
      <c r="C62" s="3" t="s">
        <v>48</v>
      </c>
      <c r="D62" s="3" t="s">
        <v>128</v>
      </c>
      <c r="E62" s="3">
        <v>6.7000000000000004E-2</v>
      </c>
      <c r="F62" s="3">
        <v>6.7000000000000004E-2</v>
      </c>
      <c r="G62">
        <f t="shared" si="60"/>
        <v>6.7000000000000004E-2</v>
      </c>
      <c r="H62" s="3">
        <f t="shared" si="61"/>
        <v>1.6750000000000001E-2</v>
      </c>
      <c r="I62" s="3">
        <v>1</v>
      </c>
      <c r="J62" s="3" t="s">
        <v>26</v>
      </c>
      <c r="K62" s="3" t="s">
        <v>27</v>
      </c>
      <c r="L62">
        <v>0.1</v>
      </c>
      <c r="M62" s="6">
        <f t="shared" ref="M62:M64" si="66">L62/H62</f>
        <v>5.9701492537313436</v>
      </c>
      <c r="N62">
        <v>543.49599999999998</v>
      </c>
      <c r="O62" s="2">
        <v>546.206075124893</v>
      </c>
      <c r="P62" s="7">
        <f t="shared" si="62"/>
        <v>5.9077580403199999E-3</v>
      </c>
      <c r="Q62" s="7">
        <f t="shared" si="63"/>
        <v>5.9668215300668053E-3</v>
      </c>
      <c r="R62" s="8">
        <f t="shared" ref="R62:R64" si="67">(Q62-P62)/P62</f>
        <v>9.9976148893880894E-3</v>
      </c>
      <c r="S62" s="6">
        <f t="shared" si="64"/>
        <v>10.924121502497862</v>
      </c>
      <c r="T62" s="2">
        <f t="shared" si="65"/>
        <v>29.538790201599998</v>
      </c>
      <c r="U62" s="6">
        <f t="shared" ref="U62:U64" si="68">E62*N62</f>
        <v>36.414231999999998</v>
      </c>
      <c r="V62" s="6">
        <f t="shared" ref="V62:V64" si="69">F62*N62</f>
        <v>36.414231999999998</v>
      </c>
      <c r="W62" s="6">
        <f t="shared" ref="W62:W64" si="70">G62*N62</f>
        <v>36.414231999999998</v>
      </c>
      <c r="X62" s="6">
        <f t="shared" ref="X62:X64" si="71">H62*N62</f>
        <v>9.1035579999999996</v>
      </c>
    </row>
    <row r="63" spans="1:24">
      <c r="A63" t="s">
        <v>68</v>
      </c>
      <c r="B63" s="3">
        <v>20000</v>
      </c>
      <c r="C63" s="3" t="s">
        <v>48</v>
      </c>
      <c r="D63" s="3" t="s">
        <v>129</v>
      </c>
      <c r="E63" s="3">
        <v>0.05</v>
      </c>
      <c r="F63" s="3">
        <v>0.05</v>
      </c>
      <c r="G63">
        <f t="shared" si="60"/>
        <v>0.05</v>
      </c>
      <c r="H63" s="3">
        <f t="shared" si="61"/>
        <v>1.2500000000000001E-2</v>
      </c>
      <c r="I63" s="3">
        <v>1</v>
      </c>
      <c r="J63" s="3" t="s">
        <v>26</v>
      </c>
      <c r="K63" s="3" t="s">
        <v>27</v>
      </c>
      <c r="L63">
        <v>0.1</v>
      </c>
      <c r="M63" s="6">
        <f t="shared" si="66"/>
        <v>8</v>
      </c>
      <c r="N63">
        <v>543.49599999999998</v>
      </c>
      <c r="O63" s="2">
        <v>548.11873460247796</v>
      </c>
      <c r="P63" s="7">
        <f t="shared" si="62"/>
        <v>5.9077580403199999E-3</v>
      </c>
      <c r="Q63" s="7">
        <f t="shared" si="63"/>
        <v>6.0086829444444328E-3</v>
      </c>
      <c r="R63" s="8">
        <f t="shared" si="67"/>
        <v>1.7083452544201731E-2</v>
      </c>
      <c r="S63" s="6">
        <f t="shared" si="64"/>
        <v>10.962374692049558</v>
      </c>
      <c r="T63" s="2">
        <f t="shared" si="65"/>
        <v>29.538790201599998</v>
      </c>
      <c r="U63" s="6">
        <f t="shared" si="68"/>
        <v>27.174800000000001</v>
      </c>
      <c r="V63" s="6">
        <f t="shared" si="69"/>
        <v>27.174800000000001</v>
      </c>
      <c r="W63" s="6">
        <f t="shared" si="70"/>
        <v>27.174800000000001</v>
      </c>
      <c r="X63" s="6">
        <f t="shared" si="71"/>
        <v>6.7937000000000003</v>
      </c>
    </row>
    <row r="64" spans="1:24">
      <c r="A64" t="s">
        <v>68</v>
      </c>
      <c r="B64" s="3">
        <v>20000</v>
      </c>
      <c r="C64" s="3" t="s">
        <v>48</v>
      </c>
      <c r="D64" s="3" t="s">
        <v>130</v>
      </c>
      <c r="E64" s="3">
        <v>3.3000000000000002E-2</v>
      </c>
      <c r="F64" s="3">
        <v>3.3000000000000002E-2</v>
      </c>
      <c r="G64">
        <f t="shared" si="60"/>
        <v>3.3000000000000002E-2</v>
      </c>
      <c r="H64" s="3">
        <f t="shared" si="61"/>
        <v>8.2500000000000004E-3</v>
      </c>
      <c r="I64" s="3">
        <v>1</v>
      </c>
      <c r="J64" s="3" t="s">
        <v>26</v>
      </c>
      <c r="K64" s="3" t="s">
        <v>27</v>
      </c>
      <c r="L64">
        <v>0.1</v>
      </c>
      <c r="M64" s="6">
        <f t="shared" si="66"/>
        <v>12.121212121212121</v>
      </c>
      <c r="N64">
        <v>543.49599999999998</v>
      </c>
      <c r="O64" s="2">
        <v>548.17580696893003</v>
      </c>
      <c r="P64" s="7">
        <f t="shared" si="62"/>
        <v>5.9077580403199999E-3</v>
      </c>
      <c r="Q64" s="7">
        <f t="shared" si="63"/>
        <v>6.0099343069207533E-3</v>
      </c>
      <c r="R64" s="8">
        <f t="shared" si="67"/>
        <v>1.7295269356566095E-2</v>
      </c>
      <c r="S64" s="6">
        <f t="shared" si="64"/>
        <v>10.963516139378601</v>
      </c>
      <c r="T64" s="2">
        <f t="shared" si="65"/>
        <v>29.538790201599998</v>
      </c>
      <c r="U64" s="6">
        <f t="shared" si="68"/>
        <v>17.935368</v>
      </c>
      <c r="V64" s="6">
        <f t="shared" si="69"/>
        <v>17.935368</v>
      </c>
      <c r="W64" s="6">
        <f t="shared" si="70"/>
        <v>17.935368</v>
      </c>
      <c r="X64" s="6">
        <f t="shared" si="71"/>
        <v>4.4838420000000001</v>
      </c>
    </row>
    <row r="65" spans="1:24">
      <c r="A65" t="s">
        <v>68</v>
      </c>
      <c r="B65" s="3">
        <v>20000</v>
      </c>
      <c r="C65" s="3" t="s">
        <v>48</v>
      </c>
      <c r="D65" s="3" t="s">
        <v>131</v>
      </c>
      <c r="E65" s="3">
        <f>6.4/256</f>
        <v>2.5000000000000001E-2</v>
      </c>
      <c r="F65" s="3">
        <f>2.4/96</f>
        <v>2.4999999999999998E-2</v>
      </c>
      <c r="G65">
        <f t="shared" si="60"/>
        <v>2.4999999999999998E-2</v>
      </c>
      <c r="H65" s="3">
        <f t="shared" si="61"/>
        <v>6.2499999999999995E-3</v>
      </c>
      <c r="I65" s="3">
        <v>1</v>
      </c>
      <c r="J65" s="3" t="s">
        <v>26</v>
      </c>
      <c r="K65" s="3" t="s">
        <v>27</v>
      </c>
      <c r="L65">
        <v>0.1</v>
      </c>
      <c r="M65" s="6">
        <f t="shared" ref="M65:M67" si="72">L65/H65</f>
        <v>16.000000000000004</v>
      </c>
      <c r="N65">
        <v>543.49599999999998</v>
      </c>
      <c r="O65" s="2">
        <v>549.99540701785895</v>
      </c>
      <c r="P65" s="7">
        <f t="shared" si="62"/>
        <v>5.9077580403199999E-3</v>
      </c>
      <c r="Q65" s="7">
        <f t="shared" si="63"/>
        <v>6.0498989548148059E-3</v>
      </c>
      <c r="R65" s="8">
        <f t="shared" ref="R65:R67" si="73">(Q65-P65)/P65</f>
        <v>2.4060043340418672E-2</v>
      </c>
      <c r="S65" s="6">
        <f t="shared" si="64"/>
        <v>10.99990814035718</v>
      </c>
      <c r="T65" s="2">
        <f t="shared" si="65"/>
        <v>29.538790201599998</v>
      </c>
      <c r="U65" s="6">
        <f t="shared" ref="U65:U67" si="74">E65*N65</f>
        <v>13.587400000000001</v>
      </c>
      <c r="V65" s="6">
        <f t="shared" ref="V65:V67" si="75">F65*N65</f>
        <v>13.587399999999999</v>
      </c>
      <c r="W65" s="6">
        <f t="shared" ref="W65:W67" si="76">G65*N65</f>
        <v>13.587399999999999</v>
      </c>
      <c r="X65" s="6">
        <f t="shared" ref="X65:X67" si="77">H65*N65</f>
        <v>3.3968499999999997</v>
      </c>
    </row>
    <row r="66" spans="1:24">
      <c r="A66" t="s">
        <v>68</v>
      </c>
      <c r="B66" s="3">
        <v>20000</v>
      </c>
      <c r="C66" s="3" t="s">
        <v>48</v>
      </c>
      <c r="D66" s="3" t="s">
        <v>132</v>
      </c>
      <c r="E66" s="3">
        <f>6.4/320</f>
        <v>0.02</v>
      </c>
      <c r="F66" s="3">
        <f>2.4/120</f>
        <v>0.02</v>
      </c>
      <c r="G66">
        <f t="shared" si="60"/>
        <v>0.02</v>
      </c>
      <c r="H66" s="3">
        <f t="shared" si="61"/>
        <v>5.0000000000000001E-3</v>
      </c>
      <c r="I66" s="3">
        <v>1</v>
      </c>
      <c r="J66" s="3" t="s">
        <v>26</v>
      </c>
      <c r="K66" s="3" t="s">
        <v>27</v>
      </c>
      <c r="L66">
        <v>0.1</v>
      </c>
      <c r="M66" s="6">
        <f t="shared" si="72"/>
        <v>20</v>
      </c>
      <c r="N66">
        <v>543.49599999999998</v>
      </c>
      <c r="O66" s="2">
        <v>547.47589343544905</v>
      </c>
      <c r="P66" s="7">
        <f t="shared" si="62"/>
        <v>5.9077580403199999E-3</v>
      </c>
      <c r="Q66" s="7">
        <f t="shared" si="63"/>
        <v>5.9945970778588634E-3</v>
      </c>
      <c r="R66" s="8">
        <f t="shared" si="73"/>
        <v>1.4699152698230647E-2</v>
      </c>
      <c r="S66" s="6">
        <f t="shared" si="64"/>
        <v>10.94951786870898</v>
      </c>
      <c r="T66" s="2">
        <f t="shared" si="65"/>
        <v>29.538790201599998</v>
      </c>
      <c r="U66" s="6">
        <f t="shared" si="74"/>
        <v>10.86992</v>
      </c>
      <c r="V66" s="6">
        <f t="shared" si="75"/>
        <v>10.86992</v>
      </c>
      <c r="W66" s="6">
        <f t="shared" si="76"/>
        <v>10.86992</v>
      </c>
      <c r="X66" s="6">
        <f t="shared" si="77"/>
        <v>2.7174800000000001</v>
      </c>
    </row>
    <row r="67" spans="1:24">
      <c r="A67" t="s">
        <v>68</v>
      </c>
      <c r="B67" s="3">
        <v>20000</v>
      </c>
      <c r="C67" s="3" t="s">
        <v>48</v>
      </c>
      <c r="D67" s="3" t="s">
        <v>115</v>
      </c>
      <c r="E67" s="17">
        <f>6.4/384</f>
        <v>1.6666666666666666E-2</v>
      </c>
      <c r="F67" s="17">
        <f>2.4/144</f>
        <v>1.6666666666666666E-2</v>
      </c>
      <c r="G67" s="32">
        <f t="shared" si="60"/>
        <v>1.6666666666666666E-2</v>
      </c>
      <c r="H67" s="31">
        <f t="shared" si="61"/>
        <v>4.1666666666666666E-3</v>
      </c>
      <c r="I67" s="3">
        <v>1</v>
      </c>
      <c r="J67" s="3" t="s">
        <v>26</v>
      </c>
      <c r="K67" s="3" t="s">
        <v>27</v>
      </c>
      <c r="L67">
        <v>0.1</v>
      </c>
      <c r="M67" s="6">
        <f t="shared" si="72"/>
        <v>24</v>
      </c>
      <c r="N67">
        <v>543.49599999999998</v>
      </c>
      <c r="O67" s="2">
        <v>546.95380388058504</v>
      </c>
      <c r="P67" s="7">
        <f t="shared" si="62"/>
        <v>5.9077580403199999E-3</v>
      </c>
      <c r="Q67" s="7">
        <f t="shared" si="63"/>
        <v>5.9831692715888295E-3</v>
      </c>
      <c r="R67" s="8">
        <f t="shared" si="73"/>
        <v>1.2764779930754398E-2</v>
      </c>
      <c r="S67" s="6">
        <v>11.2</v>
      </c>
      <c r="T67" s="2">
        <f t="shared" si="65"/>
        <v>29.538790201599998</v>
      </c>
      <c r="U67" s="6">
        <f t="shared" si="74"/>
        <v>9.0582666666666665</v>
      </c>
      <c r="V67" s="6">
        <f t="shared" si="75"/>
        <v>9.0582666666666665</v>
      </c>
      <c r="W67" s="6">
        <f t="shared" si="76"/>
        <v>9.0582666666666665</v>
      </c>
      <c r="X67" s="6">
        <f t="shared" si="77"/>
        <v>2.2645666666666666</v>
      </c>
    </row>
    <row r="68" spans="1:24">
      <c r="A68" t="s">
        <v>68</v>
      </c>
      <c r="B68" s="3">
        <v>20000</v>
      </c>
      <c r="C68" s="3" t="s">
        <v>48</v>
      </c>
      <c r="D68" s="3" t="s">
        <v>113</v>
      </c>
      <c r="E68" s="17">
        <f>6.4/MID(D68, SEARCH("NX", D68) + 2, SEARCH("_NY", D68) - SEARCH("NX", D68) - 2)</f>
        <v>1.4285714285714287E-2</v>
      </c>
      <c r="F68" s="17">
        <f>2.4/MID(D68, SEARCH("NY", D68) + 2, SEARCH("_NZ", D68) - SEARCH("NY", D68) - 2)</f>
        <v>1.4285714285714285E-2</v>
      </c>
      <c r="G68" s="32">
        <f t="shared" si="60"/>
        <v>1.4285714285714285E-2</v>
      </c>
      <c r="H68" s="31">
        <f t="shared" si="61"/>
        <v>3.5714285714285713E-3</v>
      </c>
      <c r="I68" s="3">
        <v>1</v>
      </c>
      <c r="J68" s="3" t="s">
        <v>26</v>
      </c>
      <c r="K68" s="3" t="s">
        <v>27</v>
      </c>
      <c r="L68">
        <v>0.1</v>
      </c>
      <c r="M68" s="6">
        <f t="shared" ref="M68:M69" si="78">L68/H68</f>
        <v>28.000000000000004</v>
      </c>
      <c r="N68">
        <v>543.49599999999998</v>
      </c>
      <c r="O68" s="2">
        <v>549.42318114975399</v>
      </c>
      <c r="P68" s="7">
        <f t="shared" si="62"/>
        <v>5.9077580403199999E-3</v>
      </c>
      <c r="Q68" s="7">
        <f t="shared" si="63"/>
        <v>6.037316639694308E-3</v>
      </c>
      <c r="R68" s="8">
        <f t="shared" ref="R68:R69" si="79">(Q68-P68)/P68</f>
        <v>2.193024807212491E-2</v>
      </c>
      <c r="S68" s="6">
        <v>11.2</v>
      </c>
      <c r="T68" s="2">
        <f t="shared" si="65"/>
        <v>29.538790201599998</v>
      </c>
      <c r="U68" s="6">
        <f t="shared" ref="U68:U69" si="80">E68*N68</f>
        <v>7.7642285714285721</v>
      </c>
      <c r="V68" s="6">
        <f t="shared" ref="V68:V69" si="81">F68*N68</f>
        <v>7.7642285714285713</v>
      </c>
      <c r="W68" s="6">
        <f t="shared" ref="W68:W69" si="82">G68*N68</f>
        <v>7.7642285714285713</v>
      </c>
      <c r="X68" s="6">
        <f t="shared" ref="X68:X69" si="83">H68*N68</f>
        <v>1.9410571428571428</v>
      </c>
    </row>
    <row r="69" spans="1:24">
      <c r="A69" t="s">
        <v>68</v>
      </c>
      <c r="B69" s="3">
        <v>20000</v>
      </c>
      <c r="C69" s="3" t="s">
        <v>48</v>
      </c>
      <c r="D69" s="3" t="s">
        <v>114</v>
      </c>
      <c r="E69" s="17">
        <f>6.4/MID(D69, SEARCH("NX", D69) + 2, SEARCH("_NY", D69) - SEARCH("NX", D69) - 2)</f>
        <v>1.2500000000000001E-2</v>
      </c>
      <c r="F69" s="17">
        <f>2.4/MID(D69, SEARCH("NY", D69) + 2, SEARCH("_NZ", D69) - SEARCH("NY", D69) - 2)</f>
        <v>1.2499999999999999E-2</v>
      </c>
      <c r="G69" s="32">
        <f t="shared" si="60"/>
        <v>1.2499999999999999E-2</v>
      </c>
      <c r="H69" s="31">
        <f t="shared" si="61"/>
        <v>3.1249999999999997E-3</v>
      </c>
      <c r="I69" s="3">
        <v>1</v>
      </c>
      <c r="J69" s="3" t="s">
        <v>26</v>
      </c>
      <c r="K69" s="3" t="s">
        <v>27</v>
      </c>
      <c r="L69">
        <v>0.1</v>
      </c>
      <c r="M69" s="6">
        <f t="shared" si="78"/>
        <v>32.000000000000007</v>
      </c>
      <c r="N69">
        <v>543.49599999999998</v>
      </c>
      <c r="O69" s="2">
        <v>548.15876026613296</v>
      </c>
      <c r="P69" s="7">
        <f t="shared" si="62"/>
        <v>5.9077580403199999E-3</v>
      </c>
      <c r="Q69" s="7">
        <f t="shared" si="63"/>
        <v>6.0095605291300763E-3</v>
      </c>
      <c r="R69" s="8">
        <f t="shared" si="79"/>
        <v>1.7232000382426321E-2</v>
      </c>
      <c r="S69" s="6">
        <v>11.2</v>
      </c>
      <c r="T69" s="2">
        <f t="shared" si="65"/>
        <v>29.538790201599998</v>
      </c>
      <c r="U69" s="6">
        <f t="shared" si="80"/>
        <v>6.7937000000000003</v>
      </c>
      <c r="V69" s="6">
        <f t="shared" si="81"/>
        <v>6.7936999999999994</v>
      </c>
      <c r="W69" s="6">
        <f t="shared" si="82"/>
        <v>6.7936999999999994</v>
      </c>
      <c r="X69" s="6">
        <f t="shared" si="83"/>
        <v>1.6984249999999999</v>
      </c>
    </row>
    <row r="97" spans="2:24">
      <c r="B97">
        <v>20000</v>
      </c>
      <c r="E97">
        <f>12.8/192</f>
        <v>6.6666666666666666E-2</v>
      </c>
      <c r="F97">
        <f>4.8/128</f>
        <v>3.7499999999999999E-2</v>
      </c>
      <c r="G97" s="11">
        <v>3.9572349999999999E-2</v>
      </c>
      <c r="H97" s="11">
        <v>1.094476E-3</v>
      </c>
      <c r="N97">
        <v>543.49599999999998</v>
      </c>
      <c r="O97" s="2">
        <v>568.41633806664004</v>
      </c>
      <c r="P97" s="7">
        <f t="shared" ref="P97:P104" si="84">8*(N97/B97)^2</f>
        <v>5.9077580403199999E-3</v>
      </c>
      <c r="Q97" s="7">
        <f t="shared" ref="Q97:Q104" si="85">8*(O97/B97)^2</f>
        <v>6.4619426676217756E-3</v>
      </c>
      <c r="R97" s="8">
        <f t="shared" ref="R97:R104" si="86">(Q97-P97)/P97</f>
        <v>9.3806249937710334E-2</v>
      </c>
      <c r="S97" s="6">
        <f t="shared" ref="S97:S104" si="87">200*2*O97/B97</f>
        <v>11.368326761332801</v>
      </c>
      <c r="U97" s="6">
        <f>E97*N97</f>
        <v>36.233066666666666</v>
      </c>
      <c r="V97" s="6">
        <f>F97*N97</f>
        <v>20.3811</v>
      </c>
      <c r="W97" s="6">
        <f>G97*N97</f>
        <v>21.507413935599999</v>
      </c>
      <c r="X97" s="2">
        <f>H97*N97</f>
        <v>0.59484332809600005</v>
      </c>
    </row>
    <row r="98" spans="2:24">
      <c r="B98">
        <v>20000</v>
      </c>
      <c r="E98">
        <f>12.8/288</f>
        <v>4.4444444444444446E-2</v>
      </c>
      <c r="F98">
        <f>4.8/192</f>
        <v>2.4999999999999998E-2</v>
      </c>
      <c r="G98" s="11">
        <v>2.6389220000000001E-2</v>
      </c>
      <c r="H98" s="11">
        <v>7.2024380000000002E-4</v>
      </c>
      <c r="N98">
        <v>543.49599999999998</v>
      </c>
      <c r="O98" s="2">
        <v>567.28966721531697</v>
      </c>
      <c r="P98" s="7">
        <f t="shared" si="84"/>
        <v>5.9077580403199999E-3</v>
      </c>
      <c r="Q98" s="7">
        <f t="shared" si="85"/>
        <v>6.4363513305853012E-3</v>
      </c>
      <c r="R98" s="8">
        <f t="shared" si="86"/>
        <v>8.9474431189918796E-2</v>
      </c>
      <c r="S98" s="6">
        <f t="shared" si="87"/>
        <v>11.345793344306339</v>
      </c>
      <c r="U98" s="6">
        <f>E98*N98</f>
        <v>24.15537777777778</v>
      </c>
      <c r="V98" s="6">
        <f>F98*N98</f>
        <v>13.587399999999999</v>
      </c>
      <c r="W98" s="6">
        <f>G98*N98</f>
        <v>14.34243551312</v>
      </c>
      <c r="X98" s="2">
        <f>H98*N98</f>
        <v>0.39144962432480002</v>
      </c>
    </row>
    <row r="99" spans="2:24">
      <c r="B99">
        <v>20000</v>
      </c>
      <c r="E99">
        <f>12.8/384</f>
        <v>3.3333333333333333E-2</v>
      </c>
      <c r="F99">
        <f>4.8/256</f>
        <v>1.8749999999999999E-2</v>
      </c>
      <c r="G99" s="11">
        <v>1.9793720000000001E-2</v>
      </c>
      <c r="H99" s="11">
        <v>5.3669989999999995E-4</v>
      </c>
      <c r="N99">
        <v>543.49599999999998</v>
      </c>
      <c r="O99" s="2">
        <v>556.78614007549902</v>
      </c>
      <c r="P99" s="7">
        <f t="shared" si="84"/>
        <v>5.9077580403199999E-3</v>
      </c>
      <c r="Q99" s="7">
        <f t="shared" si="85"/>
        <v>6.200216115603464E-3</v>
      </c>
      <c r="R99" s="8">
        <f t="shared" si="86"/>
        <v>4.9504071305469854E-2</v>
      </c>
      <c r="S99" s="6">
        <f t="shared" si="87"/>
        <v>11.13572280150998</v>
      </c>
      <c r="U99" s="6">
        <f>E99*N99</f>
        <v>18.116533333333333</v>
      </c>
      <c r="V99" s="6">
        <f>F99*N99</f>
        <v>10.19055</v>
      </c>
      <c r="W99" s="6">
        <f>G99*N99</f>
        <v>10.75780764512</v>
      </c>
      <c r="X99" s="2">
        <f>H99*N99</f>
        <v>0.29169424885039996</v>
      </c>
    </row>
    <row r="100" spans="2:24">
      <c r="B100">
        <v>20000</v>
      </c>
      <c r="E100">
        <f>12.8/576</f>
        <v>2.2222222222222223E-2</v>
      </c>
      <c r="F100">
        <f>4.8/384</f>
        <v>1.2499999999999999E-2</v>
      </c>
      <c r="G100" s="11">
        <v>1.319685E-2</v>
      </c>
      <c r="H100" s="11">
        <v>3.5549749999999998E-4</v>
      </c>
      <c r="N100">
        <v>543.49599999999998</v>
      </c>
      <c r="O100" s="2">
        <v>544.84047457527095</v>
      </c>
      <c r="P100" s="7">
        <f t="shared" si="84"/>
        <v>5.9077580403199999E-3</v>
      </c>
      <c r="Q100" s="7">
        <f t="shared" si="85"/>
        <v>5.9370228547081291E-3</v>
      </c>
      <c r="R100" s="8">
        <f t="shared" si="86"/>
        <v>4.9536244017441217E-3</v>
      </c>
      <c r="S100" s="6">
        <f t="shared" si="87"/>
        <v>10.896809491505419</v>
      </c>
      <c r="U100" s="6">
        <f>E100*N100</f>
        <v>12.07768888888889</v>
      </c>
      <c r="V100" s="6">
        <f>F100*N100</f>
        <v>6.7936999999999994</v>
      </c>
      <c r="W100" s="6">
        <f>G100*N100</f>
        <v>7.1724351875999997</v>
      </c>
      <c r="X100" s="2">
        <f>H100*N100</f>
        <v>0.19321146925999999</v>
      </c>
    </row>
    <row r="101" spans="2:24">
      <c r="B101">
        <v>20000</v>
      </c>
      <c r="N101">
        <v>543.49599999999998</v>
      </c>
      <c r="O101" s="2">
        <v>537.33887762210804</v>
      </c>
      <c r="P101" s="7">
        <f t="shared" si="84"/>
        <v>5.9077580403199999E-3</v>
      </c>
      <c r="Q101" s="7">
        <f t="shared" si="85"/>
        <v>5.7746613880837357E-3</v>
      </c>
      <c r="R101" s="8">
        <f t="shared" si="86"/>
        <v>-2.2529130564909679E-2</v>
      </c>
      <c r="S101" s="6">
        <f t="shared" si="87"/>
        <v>10.746777552442161</v>
      </c>
    </row>
    <row r="102" spans="2:24">
      <c r="B102">
        <v>20000</v>
      </c>
      <c r="N102">
        <v>543.49599999999998</v>
      </c>
      <c r="O102" s="2">
        <v>541.62387226000203</v>
      </c>
      <c r="P102" s="7">
        <f t="shared" si="84"/>
        <v>5.9077580403199999E-3</v>
      </c>
      <c r="Q102" s="7">
        <f t="shared" si="85"/>
        <v>5.8671283800383802E-3</v>
      </c>
      <c r="R102" s="8">
        <f t="shared" si="86"/>
        <v>-6.8773399323948823E-3</v>
      </c>
      <c r="S102" s="6">
        <f t="shared" si="87"/>
        <v>10.832477445200041</v>
      </c>
    </row>
    <row r="103" spans="2:24">
      <c r="B103">
        <v>20000</v>
      </c>
      <c r="N103">
        <v>543.49599999999998</v>
      </c>
      <c r="O103" s="2">
        <v>539.44147441920904</v>
      </c>
      <c r="P103" s="7">
        <f t="shared" si="84"/>
        <v>5.9077580403199999E-3</v>
      </c>
      <c r="Q103" s="7">
        <f t="shared" si="85"/>
        <v>5.8199420864714036E-3</v>
      </c>
      <c r="R103" s="8">
        <f t="shared" si="86"/>
        <v>-1.4864514296160916E-2</v>
      </c>
      <c r="S103" s="6">
        <f t="shared" si="87"/>
        <v>10.788829488384181</v>
      </c>
    </row>
    <row r="104" spans="2:24">
      <c r="B104">
        <v>20000</v>
      </c>
      <c r="N104">
        <v>543.49599999999998</v>
      </c>
      <c r="O104" s="2">
        <v>534.68637705742697</v>
      </c>
      <c r="P104" s="7">
        <f t="shared" si="84"/>
        <v>5.9077580403199999E-3</v>
      </c>
      <c r="Q104" s="7">
        <f t="shared" si="85"/>
        <v>5.7177904362159396E-3</v>
      </c>
      <c r="R104" s="8">
        <f t="shared" si="86"/>
        <v>-3.2155616869808445E-2</v>
      </c>
      <c r="S104" s="6">
        <f t="shared" si="87"/>
        <v>10.693727541148538</v>
      </c>
    </row>
  </sheetData>
  <phoneticPr fontId="4" type="noConversion"/>
  <pageMargins left="0.7" right="0.7" top="0.75" bottom="0.75" header="0.3" footer="0.3"/>
  <ignoredErrors>
    <ignoredError sqref="E32:F3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F680-E330-4D55-9962-B9A4D02270CE}">
  <dimension ref="A1:X35"/>
  <sheetViews>
    <sheetView zoomScale="55" zoomScaleNormal="55" workbookViewId="0">
      <selection activeCell="I56" sqref="I56"/>
    </sheetView>
  </sheetViews>
  <sheetFormatPr defaultRowHeight="14.5"/>
  <cols>
    <col min="1" max="1" width="31.81640625" customWidth="1"/>
    <col min="2" max="2" width="7.26953125" customWidth="1"/>
    <col min="3" max="3" width="15.1796875" customWidth="1"/>
    <col min="4" max="4" width="13.453125" customWidth="1"/>
    <col min="5" max="5" width="13.7265625" customWidth="1"/>
    <col min="6" max="6" width="12.1796875" customWidth="1"/>
    <col min="7" max="7" width="15.54296875" customWidth="1"/>
    <col min="8" max="8" width="13.54296875" customWidth="1"/>
    <col min="9" max="9" width="10.81640625" customWidth="1"/>
    <col min="10" max="10" width="18.1796875" customWidth="1"/>
    <col min="11" max="11" width="12.453125" customWidth="1"/>
    <col min="12" max="12" width="14.1796875" customWidth="1"/>
    <col min="13" max="13" width="12.453125" customWidth="1"/>
    <col min="14" max="14" width="12.1796875" customWidth="1"/>
    <col min="15" max="15" width="10.54296875" customWidth="1"/>
    <col min="17" max="17" width="10.54296875" customWidth="1"/>
    <col min="18" max="18" width="15.81640625" customWidth="1"/>
    <col min="19" max="19" width="15.54296875" customWidth="1"/>
    <col min="20" max="20" width="11.1796875" customWidth="1"/>
    <col min="23" max="23" width="10.26953125" customWidth="1"/>
    <col min="24" max="24" width="11.453125" customWidth="1"/>
  </cols>
  <sheetData>
    <row r="1" spans="1:24">
      <c r="B1" s="3" t="s">
        <v>2</v>
      </c>
      <c r="C1" s="3" t="s">
        <v>3</v>
      </c>
      <c r="D1" s="3" t="s">
        <v>4</v>
      </c>
      <c r="E1" s="3" t="s">
        <v>0</v>
      </c>
      <c r="F1" s="3" t="s">
        <v>1</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row>
    <row r="2" spans="1:24">
      <c r="A2" t="s">
        <v>23</v>
      </c>
      <c r="B2" s="3">
        <v>40582</v>
      </c>
      <c r="C2" s="3" t="s">
        <v>24</v>
      </c>
      <c r="D2" s="3" t="s">
        <v>25</v>
      </c>
      <c r="E2" s="3">
        <v>0.1</v>
      </c>
      <c r="F2" s="3">
        <v>0.1</v>
      </c>
      <c r="G2">
        <f>F2</f>
        <v>0.1</v>
      </c>
      <c r="H2" s="3">
        <f>0.25*G2</f>
        <v>2.5000000000000001E-2</v>
      </c>
      <c r="I2" s="3">
        <v>1</v>
      </c>
      <c r="J2" s="3" t="s">
        <v>26</v>
      </c>
      <c r="K2" s="3" t="s">
        <v>27</v>
      </c>
      <c r="L2">
        <v>0.1</v>
      </c>
      <c r="M2" s="6">
        <f>L2/H2</f>
        <v>4</v>
      </c>
      <c r="N2" s="10">
        <v>1002.1</v>
      </c>
      <c r="O2" s="6">
        <v>991.44275767622696</v>
      </c>
      <c r="P2" s="7">
        <f>8*(N2/B2)^2</f>
        <v>4.8780384385069212E-3</v>
      </c>
      <c r="Q2" s="7">
        <f>8*(O2/B2)^2</f>
        <v>4.7748351610169409E-3</v>
      </c>
      <c r="R2" s="8">
        <f>(Q2-P2)/P2</f>
        <v>-2.1156716739929773E-2</v>
      </c>
      <c r="S2" s="6">
        <f>200*2*O2/B2</f>
        <v>9.7722414634687986</v>
      </c>
      <c r="T2" s="2">
        <f>B2/4*P2</f>
        <v>49.490138977871972</v>
      </c>
      <c r="U2" s="6">
        <f>E2*N2</f>
        <v>100.21000000000001</v>
      </c>
      <c r="V2" s="6">
        <f>F2*N2</f>
        <v>100.21000000000001</v>
      </c>
      <c r="W2" s="6">
        <f>G2*N2</f>
        <v>100.21000000000001</v>
      </c>
      <c r="X2" s="2">
        <f>H2*N2</f>
        <v>25.052500000000002</v>
      </c>
    </row>
    <row r="3" spans="1:24">
      <c r="A3" t="s">
        <v>23</v>
      </c>
      <c r="B3" s="3">
        <v>40582</v>
      </c>
      <c r="C3" s="3" t="s">
        <v>24</v>
      </c>
      <c r="D3" s="3" t="s">
        <v>28</v>
      </c>
      <c r="E3" s="3">
        <v>6.7000000000000004E-2</v>
      </c>
      <c r="F3" s="3">
        <v>6.7000000000000004E-2</v>
      </c>
      <c r="G3">
        <f>F3</f>
        <v>6.7000000000000004E-2</v>
      </c>
      <c r="H3" s="3">
        <f>0.25*G3</f>
        <v>1.6750000000000001E-2</v>
      </c>
      <c r="I3" s="3">
        <v>1</v>
      </c>
      <c r="J3" s="3" t="s">
        <v>26</v>
      </c>
      <c r="K3" s="3" t="s">
        <v>27</v>
      </c>
      <c r="L3">
        <v>0.1</v>
      </c>
      <c r="M3" s="6">
        <f t="shared" ref="M3:M5" si="0">L3/H3</f>
        <v>5.9701492537313436</v>
      </c>
      <c r="N3" s="10">
        <v>1002.1</v>
      </c>
      <c r="O3" s="6">
        <v>967.18605429573699</v>
      </c>
      <c r="P3" s="7">
        <f t="shared" ref="P3:P5" si="1">8*(N3/B3)^2</f>
        <v>4.8780384385069212E-3</v>
      </c>
      <c r="Q3" s="7">
        <f t="shared" ref="Q3:Q5" si="2">8*(O3/B3)^2</f>
        <v>4.5440504628099102E-3</v>
      </c>
      <c r="R3" s="8">
        <f t="shared" ref="R3:R5" si="3">(Q3-P3)/P3</f>
        <v>-6.8467680176632364E-2</v>
      </c>
      <c r="S3" s="6">
        <f t="shared" ref="S3:S5" si="4">200*2*O3/B3</f>
        <v>9.5331531644151291</v>
      </c>
      <c r="T3" s="2">
        <f t="shared" ref="T3:T5" si="5">B3/4*P3</f>
        <v>49.490138977871972</v>
      </c>
      <c r="U3" s="6">
        <f t="shared" ref="U3:U9" si="6">E3*N3</f>
        <v>67.14070000000001</v>
      </c>
      <c r="V3" s="6">
        <f t="shared" ref="V3:V35" si="7">F3*N3</f>
        <v>67.14070000000001</v>
      </c>
      <c r="W3" s="6">
        <f t="shared" ref="W3:W10" si="8">G3*N3</f>
        <v>67.14070000000001</v>
      </c>
      <c r="X3" s="2">
        <f t="shared" ref="X3:X17" si="9">H3*N3</f>
        <v>16.785175000000002</v>
      </c>
    </row>
    <row r="4" spans="1:24">
      <c r="A4" t="s">
        <v>23</v>
      </c>
      <c r="B4" s="3">
        <v>40582</v>
      </c>
      <c r="C4" s="3" t="s">
        <v>24</v>
      </c>
      <c r="D4" s="3" t="s">
        <v>29</v>
      </c>
      <c r="E4" s="3">
        <v>0.05</v>
      </c>
      <c r="F4" s="3">
        <v>0.05</v>
      </c>
      <c r="G4">
        <f>F4</f>
        <v>0.05</v>
      </c>
      <c r="H4" s="3">
        <f>0.25*G4</f>
        <v>1.2500000000000001E-2</v>
      </c>
      <c r="I4" s="3">
        <v>1</v>
      </c>
      <c r="J4" s="3" t="s">
        <v>26</v>
      </c>
      <c r="K4" s="3" t="s">
        <v>27</v>
      </c>
      <c r="L4">
        <v>0.1</v>
      </c>
      <c r="M4" s="6">
        <f t="shared" si="0"/>
        <v>8</v>
      </c>
      <c r="N4" s="10">
        <v>1002.1</v>
      </c>
      <c r="O4" s="6">
        <v>978.16635810243804</v>
      </c>
      <c r="P4" s="7">
        <f t="shared" si="1"/>
        <v>4.8780384385069212E-3</v>
      </c>
      <c r="Q4" s="7">
        <f t="shared" si="2"/>
        <v>4.6478118426103634E-3</v>
      </c>
      <c r="R4" s="8">
        <f t="shared" si="3"/>
        <v>-4.7196552220491725E-2</v>
      </c>
      <c r="S4" s="6">
        <f t="shared" si="4"/>
        <v>9.6413814804833482</v>
      </c>
      <c r="T4" s="2">
        <f t="shared" si="5"/>
        <v>49.490138977871972</v>
      </c>
      <c r="U4" s="6">
        <f t="shared" si="6"/>
        <v>50.105000000000004</v>
      </c>
      <c r="V4" s="6">
        <f t="shared" si="7"/>
        <v>50.105000000000004</v>
      </c>
      <c r="W4" s="6">
        <f t="shared" si="8"/>
        <v>50.105000000000004</v>
      </c>
      <c r="X4" s="2">
        <f t="shared" si="9"/>
        <v>12.526250000000001</v>
      </c>
    </row>
    <row r="5" spans="1:24">
      <c r="A5" t="s">
        <v>23</v>
      </c>
      <c r="B5" s="3">
        <v>40582</v>
      </c>
      <c r="C5" s="3" t="s">
        <v>24</v>
      </c>
      <c r="D5" s="3" t="s">
        <v>30</v>
      </c>
      <c r="E5" s="3">
        <v>3.3000000000000002E-2</v>
      </c>
      <c r="F5" s="3">
        <v>3.3000000000000002E-2</v>
      </c>
      <c r="G5">
        <f>F5</f>
        <v>3.3000000000000002E-2</v>
      </c>
      <c r="H5" s="3">
        <f>0.25*G5</f>
        <v>8.2500000000000004E-3</v>
      </c>
      <c r="I5" s="3">
        <v>1</v>
      </c>
      <c r="J5" s="3" t="s">
        <v>26</v>
      </c>
      <c r="K5" s="3" t="s">
        <v>27</v>
      </c>
      <c r="L5">
        <v>0.1</v>
      </c>
      <c r="M5" s="6">
        <f t="shared" si="0"/>
        <v>12.121212121212121</v>
      </c>
      <c r="N5" s="10">
        <v>1002.1</v>
      </c>
      <c r="O5" s="6">
        <v>989.39442504592398</v>
      </c>
      <c r="P5" s="7">
        <f t="shared" si="1"/>
        <v>4.8780384385069212E-3</v>
      </c>
      <c r="Q5" s="7">
        <f t="shared" si="2"/>
        <v>4.7551258085106367E-3</v>
      </c>
      <c r="R5" s="8">
        <f t="shared" si="3"/>
        <v>-2.5197142569853514E-2</v>
      </c>
      <c r="S5" s="6">
        <f t="shared" si="4"/>
        <v>9.7520518953814399</v>
      </c>
      <c r="T5" s="2">
        <f t="shared" si="5"/>
        <v>49.490138977871972</v>
      </c>
      <c r="U5" s="6">
        <f t="shared" si="6"/>
        <v>33.069300000000005</v>
      </c>
      <c r="V5" s="6">
        <f t="shared" si="7"/>
        <v>33.069300000000005</v>
      </c>
      <c r="W5" s="6">
        <f t="shared" si="8"/>
        <v>33.069300000000005</v>
      </c>
      <c r="X5" s="2">
        <f t="shared" si="9"/>
        <v>8.2673250000000014</v>
      </c>
    </row>
    <row r="6" spans="1:24">
      <c r="B6" s="3"/>
      <c r="C6" s="3"/>
      <c r="D6" s="4"/>
      <c r="E6" s="3"/>
      <c r="F6" s="3"/>
      <c r="G6" s="3"/>
      <c r="H6" s="3"/>
      <c r="L6" s="5"/>
      <c r="M6" s="2"/>
      <c r="U6" s="6"/>
      <c r="V6" s="6"/>
      <c r="W6" s="6"/>
      <c r="X6" s="2"/>
    </row>
    <row r="7" spans="1:24">
      <c r="B7" s="3"/>
      <c r="C7" s="3"/>
      <c r="D7" s="4"/>
      <c r="E7" s="3"/>
      <c r="F7" s="3"/>
      <c r="G7" s="3"/>
      <c r="H7" s="3"/>
      <c r="L7" s="5"/>
      <c r="M7" s="2"/>
      <c r="U7" s="6"/>
      <c r="V7" s="6"/>
      <c r="W7" s="6"/>
      <c r="X7" s="2"/>
    </row>
    <row r="8" spans="1:24">
      <c r="A8" t="s">
        <v>34</v>
      </c>
      <c r="B8" s="3">
        <v>40582</v>
      </c>
      <c r="C8" s="3" t="s">
        <v>24</v>
      </c>
      <c r="D8" s="3" t="s">
        <v>25</v>
      </c>
      <c r="E8" s="3">
        <v>0.1</v>
      </c>
      <c r="F8" s="3">
        <v>0.1</v>
      </c>
      <c r="G8">
        <f>F8</f>
        <v>0.1</v>
      </c>
      <c r="H8" s="3">
        <f>0.25*G8</f>
        <v>2.5000000000000001E-2</v>
      </c>
      <c r="I8" s="3">
        <v>1</v>
      </c>
      <c r="J8" s="3" t="s">
        <v>26</v>
      </c>
      <c r="K8" s="3" t="s">
        <v>27</v>
      </c>
      <c r="L8">
        <v>0.1</v>
      </c>
      <c r="M8" s="6">
        <f>L8/H8</f>
        <v>4</v>
      </c>
      <c r="N8" s="10">
        <v>1002.1</v>
      </c>
      <c r="O8" s="6">
        <v>1004.16107013368</v>
      </c>
      <c r="P8" s="7">
        <f>8*(N8/B8)^2</f>
        <v>4.8780384385069212E-3</v>
      </c>
      <c r="Q8" s="7">
        <f>8*(O8/B8)^2</f>
        <v>4.8981248941547791E-3</v>
      </c>
      <c r="R8" s="8">
        <f>(Q8-P8)/P8</f>
        <v>4.1177321378398106E-3</v>
      </c>
      <c r="S8" s="6">
        <f>200*2*O8/B8</f>
        <v>9.8976006124260021</v>
      </c>
      <c r="T8" s="2">
        <f>B8/4*P8</f>
        <v>49.490138977871972</v>
      </c>
      <c r="U8" s="6">
        <f t="shared" si="6"/>
        <v>100.21000000000001</v>
      </c>
      <c r="V8" s="6">
        <f t="shared" si="7"/>
        <v>100.21000000000001</v>
      </c>
      <c r="W8" s="6">
        <f t="shared" si="8"/>
        <v>100.21000000000001</v>
      </c>
      <c r="X8" s="2">
        <f t="shared" si="9"/>
        <v>25.052500000000002</v>
      </c>
    </row>
    <row r="9" spans="1:24">
      <c r="A9" t="s">
        <v>34</v>
      </c>
      <c r="B9" s="3">
        <v>40582</v>
      </c>
      <c r="C9" s="3" t="s">
        <v>24</v>
      </c>
      <c r="D9" s="3" t="s">
        <v>28</v>
      </c>
      <c r="E9" s="3">
        <v>6.7000000000000004E-2</v>
      </c>
      <c r="F9" s="3">
        <v>6.7000000000000004E-2</v>
      </c>
      <c r="G9">
        <f>F9</f>
        <v>6.7000000000000004E-2</v>
      </c>
      <c r="H9" s="3">
        <f>0.25*G9</f>
        <v>1.6750000000000001E-2</v>
      </c>
      <c r="I9" s="3">
        <v>1</v>
      </c>
      <c r="J9" s="3" t="s">
        <v>26</v>
      </c>
      <c r="K9" s="3" t="s">
        <v>27</v>
      </c>
      <c r="L9">
        <v>0.1</v>
      </c>
      <c r="M9" s="6">
        <f t="shared" ref="M9:M11" si="10">L9/H9</f>
        <v>5.9701492537313436</v>
      </c>
      <c r="N9" s="10">
        <v>1002.1</v>
      </c>
      <c r="O9" s="6">
        <v>1022.31108451645</v>
      </c>
      <c r="P9" s="7">
        <f t="shared" ref="P9:P11" si="11">8*(N9/B9)^2</f>
        <v>4.8780384385069212E-3</v>
      </c>
      <c r="Q9" s="7">
        <f t="shared" ref="Q9:Q11" si="12">8*(O9/B9)^2</f>
        <v>5.0767903978299533E-3</v>
      </c>
      <c r="R9" s="8">
        <f t="shared" ref="R9:R11" si="13">(Q9-P9)/P9</f>
        <v>4.0744238043328426E-2</v>
      </c>
      <c r="S9" s="6">
        <f t="shared" ref="S9:S11" si="14">200*2*O9/B9</f>
        <v>10.076497802143315</v>
      </c>
      <c r="T9" s="2">
        <f t="shared" ref="T9:T11" si="15">B9/4*P9</f>
        <v>49.490138977871972</v>
      </c>
      <c r="U9" s="6">
        <f t="shared" si="6"/>
        <v>67.14070000000001</v>
      </c>
      <c r="V9" s="6">
        <f t="shared" si="7"/>
        <v>67.14070000000001</v>
      </c>
      <c r="W9" s="6">
        <f t="shared" si="8"/>
        <v>67.14070000000001</v>
      </c>
      <c r="X9" s="2">
        <f t="shared" si="9"/>
        <v>16.785175000000002</v>
      </c>
    </row>
    <row r="10" spans="1:24">
      <c r="A10" t="s">
        <v>34</v>
      </c>
      <c r="B10" s="3">
        <v>40582</v>
      </c>
      <c r="C10" s="3" t="s">
        <v>24</v>
      </c>
      <c r="D10" s="3" t="s">
        <v>29</v>
      </c>
      <c r="E10" s="3">
        <v>0.05</v>
      </c>
      <c r="F10" s="3">
        <v>0.05</v>
      </c>
      <c r="G10">
        <f>F10</f>
        <v>0.05</v>
      </c>
      <c r="H10" s="3">
        <f>0.25*G10</f>
        <v>1.2500000000000001E-2</v>
      </c>
      <c r="I10" s="3">
        <v>1</v>
      </c>
      <c r="J10" s="3" t="s">
        <v>26</v>
      </c>
      <c r="K10" s="3" t="s">
        <v>27</v>
      </c>
      <c r="L10">
        <v>0.1</v>
      </c>
      <c r="M10" s="6">
        <f t="shared" si="10"/>
        <v>8</v>
      </c>
      <c r="N10" s="10">
        <v>1002.1</v>
      </c>
      <c r="O10" s="6">
        <v>1019.74185368677</v>
      </c>
      <c r="P10" s="7">
        <f t="shared" si="11"/>
        <v>4.8780384385069212E-3</v>
      </c>
      <c r="Q10" s="7">
        <f t="shared" si="12"/>
        <v>5.0513048944983204E-3</v>
      </c>
      <c r="R10" s="8">
        <f t="shared" si="13"/>
        <v>3.5519698783766228E-2</v>
      </c>
      <c r="S10" s="6">
        <f t="shared" si="14"/>
        <v>10.051173955810656</v>
      </c>
      <c r="T10" s="2">
        <f t="shared" si="15"/>
        <v>49.490138977871972</v>
      </c>
      <c r="U10" s="6">
        <f t="shared" ref="U10:U14" si="16">E10*N10</f>
        <v>50.105000000000004</v>
      </c>
      <c r="V10" s="6">
        <f t="shared" si="7"/>
        <v>50.105000000000004</v>
      </c>
      <c r="W10" s="6">
        <f t="shared" si="8"/>
        <v>50.105000000000004</v>
      </c>
      <c r="X10" s="2">
        <f t="shared" si="9"/>
        <v>12.526250000000001</v>
      </c>
    </row>
    <row r="11" spans="1:24">
      <c r="A11" t="s">
        <v>34</v>
      </c>
      <c r="B11" s="3">
        <v>40582</v>
      </c>
      <c r="C11" s="3" t="s">
        <v>24</v>
      </c>
      <c r="D11" s="3" t="s">
        <v>30</v>
      </c>
      <c r="E11" s="3">
        <v>3.3000000000000002E-2</v>
      </c>
      <c r="F11" s="3">
        <v>3.3000000000000002E-2</v>
      </c>
      <c r="G11">
        <f>F11</f>
        <v>3.3000000000000002E-2</v>
      </c>
      <c r="H11" s="3">
        <f>0.25*G11</f>
        <v>8.2500000000000004E-3</v>
      </c>
      <c r="I11" s="3">
        <v>1</v>
      </c>
      <c r="J11" s="3" t="s">
        <v>26</v>
      </c>
      <c r="K11" s="3" t="s">
        <v>27</v>
      </c>
      <c r="L11">
        <v>0.1</v>
      </c>
      <c r="M11" s="6">
        <f t="shared" si="10"/>
        <v>12.121212121212121</v>
      </c>
      <c r="N11" s="10">
        <v>1002.1</v>
      </c>
      <c r="O11" s="6">
        <v>1013.52584027871</v>
      </c>
      <c r="P11" s="7">
        <f t="shared" si="11"/>
        <v>4.8780384385069212E-3</v>
      </c>
      <c r="Q11" s="7">
        <f t="shared" si="12"/>
        <v>4.9899103761169234E-3</v>
      </c>
      <c r="R11" s="8">
        <f t="shared" si="13"/>
        <v>2.2933795832130451E-2</v>
      </c>
      <c r="S11" s="6">
        <f t="shared" si="14"/>
        <v>9.9899052809492872</v>
      </c>
      <c r="T11" s="2">
        <f t="shared" si="15"/>
        <v>49.490138977871972</v>
      </c>
      <c r="U11" s="6">
        <f t="shared" si="16"/>
        <v>33.069300000000005</v>
      </c>
      <c r="V11" s="6">
        <f t="shared" si="7"/>
        <v>33.069300000000005</v>
      </c>
      <c r="W11" s="6">
        <f t="shared" ref="W11:W15" si="17">G11*N11</f>
        <v>33.069300000000005</v>
      </c>
      <c r="X11" s="2">
        <f t="shared" si="9"/>
        <v>8.2673250000000014</v>
      </c>
    </row>
    <row r="12" spans="1:24">
      <c r="U12" s="6"/>
      <c r="V12" s="6"/>
      <c r="W12" s="6"/>
      <c r="X12" s="2"/>
    </row>
    <row r="13" spans="1:24">
      <c r="U13" s="6"/>
      <c r="V13" s="6"/>
      <c r="W13" s="6"/>
      <c r="X13" s="2"/>
    </row>
    <row r="14" spans="1:24">
      <c r="A14" t="s">
        <v>36</v>
      </c>
      <c r="B14" s="3">
        <v>40582</v>
      </c>
      <c r="C14" s="3" t="s">
        <v>24</v>
      </c>
      <c r="D14" s="3" t="s">
        <v>25</v>
      </c>
      <c r="E14" s="3">
        <v>0.1</v>
      </c>
      <c r="F14" s="3">
        <v>0.1</v>
      </c>
      <c r="G14">
        <f>F14</f>
        <v>0.1</v>
      </c>
      <c r="H14" s="3">
        <f>0.25*G14</f>
        <v>2.5000000000000001E-2</v>
      </c>
      <c r="I14" s="3">
        <v>1</v>
      </c>
      <c r="J14" s="3" t="s">
        <v>26</v>
      </c>
      <c r="K14" s="3" t="s">
        <v>27</v>
      </c>
      <c r="L14">
        <v>0.1</v>
      </c>
      <c r="M14" s="6">
        <f>L14/H14</f>
        <v>4</v>
      </c>
      <c r="N14" s="10">
        <v>1002.1</v>
      </c>
      <c r="O14" s="6">
        <v>1003.39834086138</v>
      </c>
      <c r="P14" s="7">
        <f>8*(N14/B14)^2</f>
        <v>4.8780384385069212E-3</v>
      </c>
      <c r="Q14" s="7">
        <f>8*(O14/B14)^2</f>
        <v>4.8906867958366093E-3</v>
      </c>
      <c r="R14" s="8">
        <f>(Q14-P14)/P14</f>
        <v>2.5929187498488619E-3</v>
      </c>
      <c r="S14" s="6">
        <f>200*2*O14/B14</f>
        <v>9.890082705252377</v>
      </c>
      <c r="T14" s="2">
        <f>B14/4*P14</f>
        <v>49.490138977871972</v>
      </c>
      <c r="U14" s="6">
        <f t="shared" si="16"/>
        <v>100.21000000000001</v>
      </c>
      <c r="V14" s="6">
        <f t="shared" si="7"/>
        <v>100.21000000000001</v>
      </c>
      <c r="W14" s="6">
        <f t="shared" si="17"/>
        <v>100.21000000000001</v>
      </c>
      <c r="X14" s="2">
        <f t="shared" si="9"/>
        <v>25.052500000000002</v>
      </c>
    </row>
    <row r="15" spans="1:24">
      <c r="A15" t="s">
        <v>36</v>
      </c>
      <c r="B15" s="3">
        <v>40582</v>
      </c>
      <c r="C15" s="3" t="s">
        <v>24</v>
      </c>
      <c r="D15" s="3" t="s">
        <v>28</v>
      </c>
      <c r="E15" s="3">
        <v>6.7000000000000004E-2</v>
      </c>
      <c r="F15" s="3">
        <v>6.7000000000000004E-2</v>
      </c>
      <c r="G15">
        <f>F15</f>
        <v>6.7000000000000004E-2</v>
      </c>
      <c r="H15" s="3">
        <f>0.25*G15</f>
        <v>1.6750000000000001E-2</v>
      </c>
      <c r="I15" s="3">
        <v>1</v>
      </c>
      <c r="J15" s="3" t="s">
        <v>26</v>
      </c>
      <c r="K15" s="3" t="s">
        <v>27</v>
      </c>
      <c r="L15">
        <v>0.1</v>
      </c>
      <c r="M15" s="6">
        <f t="shared" ref="M15:M17" si="18">L15/H15</f>
        <v>5.9701492537313436</v>
      </c>
      <c r="N15" s="10">
        <v>1002.1</v>
      </c>
      <c r="O15" s="6">
        <v>1017.33903723293</v>
      </c>
      <c r="P15" s="7">
        <f t="shared" ref="P15:P17" si="19">8*(N15/B15)^2</f>
        <v>4.8780384385069212E-3</v>
      </c>
      <c r="Q15" s="7">
        <f t="shared" ref="Q15:Q17" si="20">8*(O15/B15)^2</f>
        <v>5.0275281732650116E-3</v>
      </c>
      <c r="R15" s="8">
        <f t="shared" ref="R15:R17" si="21">(Q15-P15)/P15</f>
        <v>3.0645460597035892E-2</v>
      </c>
      <c r="S15" s="6">
        <f t="shared" ref="S15:S17" si="22">200*2*O15/B15</f>
        <v>10.027490387195604</v>
      </c>
      <c r="T15" s="2">
        <f t="shared" ref="T15:T17" si="23">B15/4*P15</f>
        <v>49.490138977871972</v>
      </c>
      <c r="U15" s="6">
        <f>E15*N15</f>
        <v>67.14070000000001</v>
      </c>
      <c r="V15" s="6">
        <f t="shared" si="7"/>
        <v>67.14070000000001</v>
      </c>
      <c r="W15" s="6">
        <f t="shared" si="17"/>
        <v>67.14070000000001</v>
      </c>
      <c r="X15" s="2">
        <f t="shared" si="9"/>
        <v>16.785175000000002</v>
      </c>
    </row>
    <row r="16" spans="1:24">
      <c r="A16" t="s">
        <v>36</v>
      </c>
      <c r="B16" s="3">
        <v>40582</v>
      </c>
      <c r="C16" s="3" t="s">
        <v>24</v>
      </c>
      <c r="D16" s="3" t="s">
        <v>29</v>
      </c>
      <c r="E16" s="3">
        <v>0.05</v>
      </c>
      <c r="F16" s="3">
        <v>0.05</v>
      </c>
      <c r="G16">
        <f>F16</f>
        <v>0.05</v>
      </c>
      <c r="H16" s="3">
        <f>0.25*G16</f>
        <v>1.2500000000000001E-2</v>
      </c>
      <c r="I16" s="3">
        <v>1</v>
      </c>
      <c r="J16" s="3" t="s">
        <v>26</v>
      </c>
      <c r="K16" s="3" t="s">
        <v>27</v>
      </c>
      <c r="L16">
        <v>0.1</v>
      </c>
      <c r="M16" s="6">
        <f t="shared" si="18"/>
        <v>8</v>
      </c>
      <c r="N16" s="10">
        <v>1002.1</v>
      </c>
      <c r="O16" s="6">
        <v>1010.46731717254</v>
      </c>
      <c r="P16" s="7">
        <f t="shared" si="19"/>
        <v>4.8780384385069212E-3</v>
      </c>
      <c r="Q16" s="7">
        <f t="shared" si="20"/>
        <v>4.9598396510694993E-3</v>
      </c>
      <c r="R16" s="8">
        <f t="shared" si="21"/>
        <v>1.6769284127989757E-2</v>
      </c>
      <c r="S16" s="6">
        <f t="shared" si="22"/>
        <v>9.9597586828893601</v>
      </c>
      <c r="T16" s="2">
        <f t="shared" si="23"/>
        <v>49.490138977871972</v>
      </c>
      <c r="U16" s="6">
        <f t="shared" ref="U16:U17" si="24">E16*N16</f>
        <v>50.105000000000004</v>
      </c>
      <c r="V16" s="6">
        <f t="shared" si="7"/>
        <v>50.105000000000004</v>
      </c>
      <c r="W16" s="6">
        <f t="shared" ref="W16:W17" si="25">G16*N16</f>
        <v>50.105000000000004</v>
      </c>
      <c r="X16" s="2">
        <f t="shared" si="9"/>
        <v>12.526250000000001</v>
      </c>
    </row>
    <row r="17" spans="1:24">
      <c r="A17" t="s">
        <v>36</v>
      </c>
      <c r="B17" s="3">
        <v>40582</v>
      </c>
      <c r="C17" s="3" t="s">
        <v>24</v>
      </c>
      <c r="D17" s="3" t="s">
        <v>30</v>
      </c>
      <c r="E17" s="3">
        <v>3.3000000000000002E-2</v>
      </c>
      <c r="F17" s="3">
        <v>3.3000000000000002E-2</v>
      </c>
      <c r="G17">
        <f>F17</f>
        <v>3.3000000000000002E-2</v>
      </c>
      <c r="H17" s="3">
        <f>0.25*G17</f>
        <v>8.2500000000000004E-3</v>
      </c>
      <c r="I17" s="3">
        <v>1</v>
      </c>
      <c r="J17" s="3" t="s">
        <v>26</v>
      </c>
      <c r="K17" s="3" t="s">
        <v>27</v>
      </c>
      <c r="L17">
        <v>0.1</v>
      </c>
      <c r="M17" s="6">
        <f t="shared" si="18"/>
        <v>12.121212121212121</v>
      </c>
      <c r="N17" s="10">
        <v>1002.1</v>
      </c>
      <c r="O17" s="6">
        <v>1004.27068518261</v>
      </c>
      <c r="P17" s="7">
        <f t="shared" si="19"/>
        <v>4.8780384385069212E-3</v>
      </c>
      <c r="Q17" s="7">
        <f t="shared" si="20"/>
        <v>4.8991943192113327E-3</v>
      </c>
      <c r="R17" s="8">
        <f t="shared" si="21"/>
        <v>4.3369647392296632E-3</v>
      </c>
      <c r="S17" s="6">
        <f t="shared" si="22"/>
        <v>9.898681042655463</v>
      </c>
      <c r="T17" s="2">
        <f t="shared" si="23"/>
        <v>49.490138977871972</v>
      </c>
      <c r="U17" s="6">
        <f t="shared" si="24"/>
        <v>33.069300000000005</v>
      </c>
      <c r="V17" s="6">
        <f t="shared" si="7"/>
        <v>33.069300000000005</v>
      </c>
      <c r="W17" s="6">
        <f t="shared" si="25"/>
        <v>33.069300000000005</v>
      </c>
      <c r="X17" s="2">
        <f t="shared" si="9"/>
        <v>8.2673250000000014</v>
      </c>
    </row>
    <row r="18" spans="1:24">
      <c r="U18" s="6"/>
      <c r="V18" s="6"/>
      <c r="W18" s="6"/>
      <c r="X18" s="2"/>
    </row>
    <row r="19" spans="1:24">
      <c r="V19" s="6"/>
    </row>
    <row r="20" spans="1:24">
      <c r="A20" t="s">
        <v>39</v>
      </c>
      <c r="B20" s="3">
        <v>40582</v>
      </c>
      <c r="C20" s="3" t="s">
        <v>24</v>
      </c>
      <c r="D20" s="3" t="s">
        <v>70</v>
      </c>
      <c r="E20" s="14">
        <f>12.8/328</f>
        <v>3.9024390243902439E-2</v>
      </c>
      <c r="F20" s="17">
        <f>4.8/256</f>
        <v>1.8749999999999999E-2</v>
      </c>
      <c r="G20" s="16">
        <v>2.5850689999999999E-2</v>
      </c>
      <c r="H20" s="13">
        <v>7.0517210000000004E-4</v>
      </c>
      <c r="I20" s="15">
        <f>E20/F20</f>
        <v>2.0813008130081303</v>
      </c>
      <c r="J20" s="3" t="s">
        <v>50</v>
      </c>
      <c r="K20" s="3" t="s">
        <v>27</v>
      </c>
      <c r="L20" s="3" t="s">
        <v>38</v>
      </c>
      <c r="M20" s="15" t="s">
        <v>38</v>
      </c>
      <c r="N20" s="10">
        <v>1002.1</v>
      </c>
      <c r="O20" s="6">
        <v>1060.5001774294601</v>
      </c>
      <c r="P20" s="7">
        <f>8*(N20/B20)^2</f>
        <v>4.8780384385069212E-3</v>
      </c>
      <c r="Q20" s="7">
        <f>8*(O20/B20)^2</f>
        <v>5.4631683657940158E-3</v>
      </c>
      <c r="R20" s="8">
        <f>(Q20-P20)/P20</f>
        <v>0.11995188940458455</v>
      </c>
      <c r="S20" s="6">
        <f>200*O20/B20</f>
        <v>5.2264559530307038</v>
      </c>
      <c r="T20" s="2">
        <f>B20/4*P20</f>
        <v>49.490138977871972</v>
      </c>
      <c r="U20" s="6">
        <f t="shared" ref="U20" si="26">E20*N20</f>
        <v>39.106341463414637</v>
      </c>
      <c r="V20" s="6">
        <f t="shared" si="7"/>
        <v>18.789375</v>
      </c>
      <c r="W20" s="6">
        <f t="shared" ref="W20" si="27">G20*N20</f>
        <v>25.904976448999999</v>
      </c>
      <c r="X20" s="2">
        <f t="shared" ref="X20" si="28">H20*N20</f>
        <v>0.70665296141</v>
      </c>
    </row>
    <row r="21" spans="1:24">
      <c r="U21" s="6"/>
      <c r="V21" s="6"/>
      <c r="W21" s="6"/>
      <c r="X21" s="2"/>
    </row>
    <row r="22" spans="1:24">
      <c r="A22" t="s">
        <v>39</v>
      </c>
      <c r="B22" s="3">
        <v>40582</v>
      </c>
      <c r="C22" s="3" t="s">
        <v>71</v>
      </c>
      <c r="D22" s="3" t="s">
        <v>72</v>
      </c>
      <c r="E22" s="14">
        <f>6.28/64</f>
        <v>9.8125000000000004E-2</v>
      </c>
      <c r="F22" s="17">
        <f>2.355/64</f>
        <v>3.6796875E-2</v>
      </c>
      <c r="G22" s="16">
        <v>4.5993239999999998E-2</v>
      </c>
      <c r="H22" s="13">
        <v>2.54053E-3</v>
      </c>
      <c r="I22" s="15">
        <f>E22/F22</f>
        <v>2.666666666666667</v>
      </c>
      <c r="J22" s="3" t="s">
        <v>73</v>
      </c>
      <c r="K22" s="3" t="s">
        <v>27</v>
      </c>
      <c r="L22" s="3" t="s">
        <v>38</v>
      </c>
      <c r="M22" s="15" t="s">
        <v>38</v>
      </c>
      <c r="N22" s="10">
        <v>1002.1</v>
      </c>
      <c r="O22" s="6">
        <v>1035.8173676768899</v>
      </c>
      <c r="P22" s="7">
        <f>8*(N22/B22)^2</f>
        <v>4.8780384385069212E-3</v>
      </c>
      <c r="Q22" s="7">
        <f>8*(O22/B22)^2</f>
        <v>5.2118207564101869E-3</v>
      </c>
      <c r="R22" s="8">
        <f>(Q22-P22)/P22</f>
        <v>6.8425520239531037E-2</v>
      </c>
      <c r="S22" s="6">
        <f>200*O22/B22</f>
        <v>5.1048118263116162</v>
      </c>
      <c r="T22" s="2">
        <f>B22/4*P22</f>
        <v>49.490138977871972</v>
      </c>
      <c r="U22" s="6">
        <f>E22*N22</f>
        <v>98.331062500000002</v>
      </c>
      <c r="V22" s="6">
        <f t="shared" si="7"/>
        <v>36.874148437499997</v>
      </c>
      <c r="W22" s="6">
        <f>G22*N22</f>
        <v>46.089825804</v>
      </c>
      <c r="X22" s="2">
        <f>H22*N22</f>
        <v>2.5458651130000001</v>
      </c>
    </row>
    <row r="23" spans="1:24">
      <c r="A23" t="s">
        <v>74</v>
      </c>
      <c r="B23" s="3">
        <v>40582</v>
      </c>
      <c r="C23" s="3" t="s">
        <v>71</v>
      </c>
      <c r="D23" s="3" t="s">
        <v>72</v>
      </c>
      <c r="E23" s="14">
        <f>6.28/64</f>
        <v>9.8125000000000004E-2</v>
      </c>
      <c r="F23" s="17">
        <f>2.355/64</f>
        <v>3.6796875E-2</v>
      </c>
      <c r="G23" s="16">
        <v>4.5993239999999998E-2</v>
      </c>
      <c r="H23" s="13">
        <v>2.54053E-3</v>
      </c>
      <c r="I23" s="15">
        <f>E23/F23</f>
        <v>2.666666666666667</v>
      </c>
      <c r="J23" s="3" t="s">
        <v>73</v>
      </c>
      <c r="K23" s="3" t="s">
        <v>27</v>
      </c>
      <c r="L23" s="3" t="s">
        <v>38</v>
      </c>
      <c r="M23" s="15" t="s">
        <v>38</v>
      </c>
      <c r="N23" s="10">
        <v>1002.1</v>
      </c>
      <c r="O23" s="6">
        <v>1044.4499296860199</v>
      </c>
      <c r="P23" s="7">
        <f>8*(N23/B23)^2</f>
        <v>4.8780384385069212E-3</v>
      </c>
      <c r="Q23" s="7">
        <f>8*(O23/B23)^2</f>
        <v>5.2990539841896531E-3</v>
      </c>
      <c r="R23" s="8">
        <f>(Q23-P23)/P23</f>
        <v>8.6308369847859806E-2</v>
      </c>
      <c r="S23" s="6">
        <f>200*O23/B23</f>
        <v>5.1473556240994522</v>
      </c>
      <c r="T23" s="2">
        <f>B23/4*P23</f>
        <v>49.490138977871972</v>
      </c>
      <c r="U23" s="6">
        <f>E23*N23</f>
        <v>98.331062500000002</v>
      </c>
      <c r="V23" s="6">
        <f t="shared" si="7"/>
        <v>36.874148437499997</v>
      </c>
      <c r="W23" s="6">
        <f>G23*N23</f>
        <v>46.089825804</v>
      </c>
      <c r="X23" s="2">
        <f>H23*N23</f>
        <v>2.5458651130000001</v>
      </c>
    </row>
    <row r="24" spans="1:24">
      <c r="A24" t="s">
        <v>75</v>
      </c>
      <c r="B24" s="3">
        <v>40582</v>
      </c>
      <c r="C24" s="3" t="s">
        <v>71</v>
      </c>
      <c r="D24" s="3" t="s">
        <v>72</v>
      </c>
      <c r="E24" s="14">
        <f>6.28/64</f>
        <v>9.8125000000000004E-2</v>
      </c>
      <c r="F24" s="17">
        <f>2.355/64</f>
        <v>3.6796875E-2</v>
      </c>
      <c r="G24" s="16">
        <v>4.5993239999999998E-2</v>
      </c>
      <c r="H24" s="13">
        <v>2.54053E-3</v>
      </c>
      <c r="I24" s="15">
        <f>E24/F24</f>
        <v>2.666666666666667</v>
      </c>
      <c r="J24" s="3" t="s">
        <v>73</v>
      </c>
      <c r="K24" s="3" t="s">
        <v>27</v>
      </c>
      <c r="L24" s="3" t="s">
        <v>38</v>
      </c>
      <c r="M24" s="15" t="s">
        <v>38</v>
      </c>
      <c r="N24" s="10">
        <v>1002.1</v>
      </c>
      <c r="O24" s="6">
        <v>1038.51875727117</v>
      </c>
      <c r="P24" s="7">
        <f>8*(N24/B24)^2</f>
        <v>4.8780384385069212E-3</v>
      </c>
      <c r="Q24" s="7">
        <f>8*(O24/B24)^2</f>
        <v>5.23904083954615E-3</v>
      </c>
      <c r="R24" s="8">
        <f>(Q24-P24)/P24</f>
        <v>7.4005649112868624E-2</v>
      </c>
      <c r="S24" s="6">
        <f>200*O24/B24</f>
        <v>5.1181250666362921</v>
      </c>
      <c r="T24" s="2">
        <f>B24/4*P24</f>
        <v>49.490138977871972</v>
      </c>
      <c r="U24" s="6">
        <f>E24*N24</f>
        <v>98.331062500000002</v>
      </c>
      <c r="V24" s="6">
        <f t="shared" si="7"/>
        <v>36.874148437499997</v>
      </c>
      <c r="W24" s="6">
        <f>G24*N24</f>
        <v>46.089825804</v>
      </c>
      <c r="X24" s="2">
        <f>H24*N24</f>
        <v>2.5458651130000001</v>
      </c>
    </row>
    <row r="25" spans="1:24">
      <c r="A25" t="s">
        <v>76</v>
      </c>
      <c r="B25" s="3">
        <v>40582</v>
      </c>
      <c r="C25" s="3" t="s">
        <v>71</v>
      </c>
      <c r="D25" s="3" t="s">
        <v>72</v>
      </c>
      <c r="E25" s="14">
        <f>6.28/64</f>
        <v>9.8125000000000004E-2</v>
      </c>
      <c r="F25" s="17">
        <f>2.355/64</f>
        <v>3.6796875E-2</v>
      </c>
      <c r="G25" s="16">
        <v>4.5993239999999998E-2</v>
      </c>
      <c r="H25" s="13">
        <v>2.54053E-3</v>
      </c>
      <c r="I25" s="15">
        <f>E25/F25</f>
        <v>2.666666666666667</v>
      </c>
      <c r="J25" s="3" t="s">
        <v>73</v>
      </c>
      <c r="K25" s="3" t="s">
        <v>27</v>
      </c>
      <c r="L25" s="3" t="s">
        <v>38</v>
      </c>
      <c r="M25" s="15" t="s">
        <v>38</v>
      </c>
      <c r="N25" s="10">
        <v>1002.1</v>
      </c>
      <c r="O25" s="6">
        <v>1012.28640520007</v>
      </c>
      <c r="P25" s="7">
        <f>8*(N25/B25)^2</f>
        <v>4.8780384385069212E-3</v>
      </c>
      <c r="Q25" s="7">
        <f>8*(O25/B25)^2</f>
        <v>4.9777135714284782E-3</v>
      </c>
      <c r="R25" s="8">
        <f>(Q25-P25)/P25</f>
        <v>2.0433445569991403E-2</v>
      </c>
      <c r="S25" s="6">
        <f>200*O25/B25</f>
        <v>4.9888443408411121</v>
      </c>
      <c r="T25" s="2">
        <f>B25/4*P25</f>
        <v>49.490138977871972</v>
      </c>
      <c r="U25" s="6">
        <f t="shared" ref="U25" si="29">E25*N25</f>
        <v>98.331062500000002</v>
      </c>
      <c r="V25" s="6">
        <f t="shared" si="7"/>
        <v>36.874148437499997</v>
      </c>
      <c r="W25" s="6">
        <f t="shared" ref="W25" si="30">G25*N25</f>
        <v>46.089825804</v>
      </c>
      <c r="X25" s="2">
        <f t="shared" ref="X25" si="31">H25*N25</f>
        <v>2.5458651130000001</v>
      </c>
    </row>
    <row r="26" spans="1:24">
      <c r="V26" s="6"/>
    </row>
    <row r="27" spans="1:24">
      <c r="V27" s="6"/>
    </row>
    <row r="28" spans="1:24">
      <c r="A28" s="18" t="s">
        <v>47</v>
      </c>
      <c r="B28" s="19">
        <v>40582</v>
      </c>
      <c r="C28" s="19" t="s">
        <v>48</v>
      </c>
      <c r="D28" s="19" t="s">
        <v>77</v>
      </c>
      <c r="E28" s="20">
        <f>6.4/192</f>
        <v>3.3333333333333333E-2</v>
      </c>
      <c r="F28" s="21">
        <f>2.4/128</f>
        <v>1.8749999999999999E-2</v>
      </c>
      <c r="G28" s="29">
        <v>3.9572349999999999E-2</v>
      </c>
      <c r="H28" s="30">
        <v>1.094476E-3</v>
      </c>
      <c r="I28" s="23">
        <f>E28/F28</f>
        <v>1.7777777777777779</v>
      </c>
      <c r="J28" s="19" t="s">
        <v>50</v>
      </c>
      <c r="K28" s="19" t="s">
        <v>27</v>
      </c>
      <c r="L28" s="19" t="s">
        <v>38</v>
      </c>
      <c r="M28" s="23" t="s">
        <v>38</v>
      </c>
      <c r="N28" s="24">
        <v>1002.1</v>
      </c>
      <c r="O28" s="27">
        <v>1046.19877557157</v>
      </c>
      <c r="P28" s="25">
        <f>8*(N28/B28)^2</f>
        <v>4.8780384385069212E-3</v>
      </c>
      <c r="Q28" s="25">
        <f>8*(O28/B28)^2</f>
        <v>5.3168145050184754E-3</v>
      </c>
      <c r="R28" s="26">
        <f>(Q28-P28)/P28</f>
        <v>8.9949284336893323E-2</v>
      </c>
      <c r="S28" s="27">
        <f>200*O28/B28</f>
        <v>5.1559744496159379</v>
      </c>
      <c r="T28" s="28">
        <f>B28/4*P28</f>
        <v>49.490138977871972</v>
      </c>
      <c r="U28" s="27">
        <f>E28*N28</f>
        <v>33.403333333333336</v>
      </c>
      <c r="V28" s="6">
        <f t="shared" si="7"/>
        <v>18.789375</v>
      </c>
      <c r="W28" s="27">
        <f>G28*N28</f>
        <v>39.655451935000002</v>
      </c>
      <c r="X28" s="28">
        <f>H28*N28</f>
        <v>1.0967743996000001</v>
      </c>
    </row>
    <row r="29" spans="1:24">
      <c r="A29" s="18" t="s">
        <v>47</v>
      </c>
      <c r="B29" s="19">
        <v>40582</v>
      </c>
      <c r="C29" s="19" t="s">
        <v>48</v>
      </c>
      <c r="D29" s="19" t="s">
        <v>78</v>
      </c>
      <c r="E29" s="20">
        <f>6.4/192</f>
        <v>3.3333333333333333E-2</v>
      </c>
      <c r="F29" s="21">
        <f>2.4/128</f>
        <v>1.8749999999999999E-2</v>
      </c>
      <c r="G29" s="29">
        <v>1.9793720000000001E-2</v>
      </c>
      <c r="H29" s="30">
        <v>5.3669989999999995E-4</v>
      </c>
      <c r="I29" s="23">
        <f>E29/F29</f>
        <v>1.7777777777777779</v>
      </c>
      <c r="J29" s="19" t="s">
        <v>50</v>
      </c>
      <c r="K29" s="19" t="s">
        <v>27</v>
      </c>
      <c r="L29" s="19" t="s">
        <v>38</v>
      </c>
      <c r="M29" s="23" t="s">
        <v>38</v>
      </c>
      <c r="N29" s="24">
        <v>1002.1</v>
      </c>
      <c r="O29" s="27">
        <v>1055.9983617119799</v>
      </c>
      <c r="P29" s="25">
        <f>8*(N29/B29)^2</f>
        <v>4.8780384385069212E-3</v>
      </c>
      <c r="Q29" s="25">
        <f>8*(O29/B29)^2</f>
        <v>5.4168845901097955E-3</v>
      </c>
      <c r="R29" s="26">
        <f>(Q29-P29)/P29</f>
        <v>0.11046369527334132</v>
      </c>
      <c r="S29" s="27">
        <f>200*O29/B29</f>
        <v>5.2042696846482679</v>
      </c>
      <c r="T29" s="28">
        <f>B29/4*P29</f>
        <v>49.490138977871972</v>
      </c>
      <c r="U29" s="27">
        <f>E29*N29</f>
        <v>33.403333333333336</v>
      </c>
      <c r="V29" s="6">
        <f t="shared" si="7"/>
        <v>18.789375</v>
      </c>
      <c r="W29" s="27">
        <f>G29*N29</f>
        <v>19.835286812</v>
      </c>
      <c r="X29" s="28">
        <f>H29*N29</f>
        <v>0.53782696979</v>
      </c>
    </row>
    <row r="30" spans="1:24">
      <c r="A30" s="18" t="s">
        <v>57</v>
      </c>
      <c r="B30" s="19">
        <v>40582</v>
      </c>
      <c r="C30" s="19" t="s">
        <v>48</v>
      </c>
      <c r="D30" s="19" t="s">
        <v>77</v>
      </c>
      <c r="E30" s="20">
        <f>6.4/192</f>
        <v>3.3333333333333333E-2</v>
      </c>
      <c r="F30" s="21">
        <f>2.4/128</f>
        <v>1.8749999999999999E-2</v>
      </c>
      <c r="G30" s="29">
        <v>3.9572349999999999E-2</v>
      </c>
      <c r="H30" s="30">
        <v>1.094476E-3</v>
      </c>
      <c r="I30" s="23">
        <f>E30/F30</f>
        <v>1.7777777777777779</v>
      </c>
      <c r="J30" s="19" t="s">
        <v>50</v>
      </c>
      <c r="K30" s="19" t="s">
        <v>27</v>
      </c>
      <c r="L30" s="19" t="s">
        <v>38</v>
      </c>
      <c r="M30" s="23" t="s">
        <v>38</v>
      </c>
      <c r="N30" s="24">
        <v>1002.1</v>
      </c>
      <c r="O30" s="27">
        <v>1000.97649385535</v>
      </c>
      <c r="P30" s="25">
        <f>8*(N30/B30)^2</f>
        <v>4.8780384385069212E-3</v>
      </c>
      <c r="Q30" s="25">
        <f>8*(O30/B30)^2</f>
        <v>4.8671065276795957E-3</v>
      </c>
      <c r="R30" s="26">
        <f>(Q30-P30)/P30</f>
        <v>-2.2410464708579789E-3</v>
      </c>
      <c r="S30" s="27">
        <f>200*O30/B30</f>
        <v>4.9331057801752003</v>
      </c>
      <c r="T30" s="28">
        <f>B30/4*P30</f>
        <v>49.490138977871972</v>
      </c>
      <c r="U30" s="27">
        <f>E30*N30</f>
        <v>33.403333333333336</v>
      </c>
      <c r="V30" s="6">
        <f t="shared" si="7"/>
        <v>18.789375</v>
      </c>
      <c r="W30" s="27">
        <f>G30*N30</f>
        <v>39.655451935000002</v>
      </c>
      <c r="X30" s="28">
        <f>H30*N30</f>
        <v>1.0967743996000001</v>
      </c>
    </row>
    <row r="31" spans="1:24">
      <c r="A31" s="18" t="s">
        <v>57</v>
      </c>
      <c r="B31" s="19">
        <v>40582</v>
      </c>
      <c r="C31" s="19" t="s">
        <v>48</v>
      </c>
      <c r="D31" s="19" t="s">
        <v>78</v>
      </c>
      <c r="E31" s="20">
        <f>6.4/192</f>
        <v>3.3333333333333333E-2</v>
      </c>
      <c r="F31" s="21">
        <f>2.4/128</f>
        <v>1.8749999999999999E-2</v>
      </c>
      <c r="G31" s="29">
        <v>1.9793720000000001E-2</v>
      </c>
      <c r="H31" s="30">
        <v>5.3669989999999995E-4</v>
      </c>
      <c r="I31" s="23">
        <f>E31/F31</f>
        <v>1.7777777777777779</v>
      </c>
      <c r="J31" s="19" t="s">
        <v>50</v>
      </c>
      <c r="K31" s="19" t="s">
        <v>27</v>
      </c>
      <c r="L31" s="19" t="s">
        <v>38</v>
      </c>
      <c r="M31" s="23" t="s">
        <v>38</v>
      </c>
      <c r="N31" s="24">
        <v>1002.1</v>
      </c>
      <c r="O31" s="27">
        <v>1005.32545830855</v>
      </c>
      <c r="P31" s="25">
        <f>8*(N31/B31)^2</f>
        <v>4.8780384385069212E-3</v>
      </c>
      <c r="Q31" s="25">
        <f>8*(O31/B31)^2</f>
        <v>4.9094908503835646E-3</v>
      </c>
      <c r="R31" s="26">
        <f>(Q31-P31)/P31</f>
        <v>6.447758104643069E-3</v>
      </c>
      <c r="S31" s="27">
        <f>200*O31/B31</f>
        <v>4.9545387526910947</v>
      </c>
      <c r="T31" s="28">
        <f>B31/4*P31</f>
        <v>49.490138977871972</v>
      </c>
      <c r="U31" s="27">
        <f>E31*N31</f>
        <v>33.403333333333336</v>
      </c>
      <c r="V31" s="6">
        <f t="shared" si="7"/>
        <v>18.789375</v>
      </c>
      <c r="W31" s="27">
        <f>G31*N31</f>
        <v>19.835286812</v>
      </c>
      <c r="X31" s="28">
        <f>H31*N31</f>
        <v>0.53782696979</v>
      </c>
    </row>
    <row r="32" spans="1:24">
      <c r="V32" s="6"/>
    </row>
    <row r="33" spans="1:24">
      <c r="V33" s="6"/>
    </row>
    <row r="34" spans="1:24">
      <c r="V34" s="6"/>
    </row>
    <row r="35" spans="1:24">
      <c r="A35" t="s">
        <v>57</v>
      </c>
      <c r="B35" s="3">
        <v>40582</v>
      </c>
      <c r="C35" s="3" t="s">
        <v>48</v>
      </c>
      <c r="D35" s="3" t="s">
        <v>72</v>
      </c>
      <c r="E35" s="14">
        <f>6.4/64</f>
        <v>0.1</v>
      </c>
      <c r="F35" s="17">
        <f>2.4/64</f>
        <v>3.7499999999999999E-2</v>
      </c>
      <c r="G35" s="16">
        <v>5.2742379999999998E-2</v>
      </c>
      <c r="H35" s="13">
        <v>1.478437E-3</v>
      </c>
      <c r="I35" s="15">
        <f>E35/F35</f>
        <v>2.666666666666667</v>
      </c>
      <c r="J35" s="3" t="s">
        <v>50</v>
      </c>
      <c r="K35" s="3" t="s">
        <v>27</v>
      </c>
      <c r="L35" s="3" t="s">
        <v>38</v>
      </c>
      <c r="M35" s="15" t="s">
        <v>38</v>
      </c>
      <c r="N35" s="10">
        <v>1002.1</v>
      </c>
      <c r="O35" s="6">
        <v>961.50195851806302</v>
      </c>
      <c r="P35" s="7">
        <f>8*(N35/B35)^2</f>
        <v>4.8780384385069212E-3</v>
      </c>
      <c r="Q35" s="7">
        <f>8*(O35/B35)^2</f>
        <v>4.4907971705202242E-3</v>
      </c>
      <c r="R35" s="8">
        <f>(Q35-P35)/P35</f>
        <v>-7.9384628241105981E-2</v>
      </c>
      <c r="S35" s="6">
        <f>200*O35/B35</f>
        <v>4.7385636908878963</v>
      </c>
      <c r="T35" s="2">
        <f>B35/4*P35</f>
        <v>49.490138977871972</v>
      </c>
      <c r="U35" s="6">
        <f>E35*N35</f>
        <v>100.21000000000001</v>
      </c>
      <c r="V35" s="6">
        <f t="shared" si="7"/>
        <v>37.578749999999999</v>
      </c>
      <c r="W35" s="6">
        <f>G35*N35</f>
        <v>52.853138997999999</v>
      </c>
      <c r="X35" s="2">
        <f>H35*N35</f>
        <v>1.4815417177000001</v>
      </c>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2F51E-90FA-449F-904F-669D9897EDC7}">
  <dimension ref="A1:AD198"/>
  <sheetViews>
    <sheetView topLeftCell="A163" zoomScale="55" zoomScaleNormal="55" workbookViewId="0">
      <selection activeCell="X198" sqref="U198:X198"/>
    </sheetView>
  </sheetViews>
  <sheetFormatPr defaultRowHeight="14.5"/>
  <cols>
    <col min="1" max="1" width="29.54296875" customWidth="1"/>
    <col min="2" max="2" width="12.54296875" customWidth="1"/>
    <col min="3" max="3" width="12.1796875" customWidth="1"/>
    <col min="4" max="4" width="21.36328125" customWidth="1"/>
    <col min="5" max="5" width="8.1796875" customWidth="1"/>
    <col min="6" max="6" width="9.453125" customWidth="1"/>
    <col min="7" max="7" width="14.453125" customWidth="1"/>
    <col min="8" max="8" width="11.81640625" customWidth="1"/>
    <col min="9" max="9" width="10.1796875" customWidth="1"/>
    <col min="10" max="10" width="14.1796875" customWidth="1"/>
    <col min="12" max="12" width="8.81640625" customWidth="1"/>
    <col min="13" max="13" width="14.81640625" customWidth="1"/>
    <col min="14" max="14" width="12.1796875" customWidth="1"/>
    <col min="15" max="15" width="8.54296875" customWidth="1"/>
    <col min="16" max="16" width="10.81640625" customWidth="1"/>
    <col min="17" max="17" width="15.453125" customWidth="1"/>
    <col min="18" max="18" width="14.7265625" customWidth="1"/>
    <col min="19" max="19" width="19" customWidth="1"/>
    <col min="20" max="20" width="14.81640625" customWidth="1"/>
    <col min="21" max="21" width="14.1796875" customWidth="1"/>
    <col min="22" max="22" width="12" customWidth="1"/>
    <col min="23" max="23" width="13.54296875" customWidth="1"/>
    <col min="24" max="24" width="13.453125" customWidth="1"/>
    <col min="26" max="26" width="10.1796875" customWidth="1"/>
    <col min="27" max="27" width="10.90625" customWidth="1"/>
    <col min="28" max="28" width="8.7265625" customWidth="1"/>
    <col min="29" max="29" width="10.81640625" customWidth="1"/>
    <col min="30" max="30" width="10.90625" customWidth="1"/>
  </cols>
  <sheetData>
    <row r="1" spans="1:30">
      <c r="B1" s="3" t="s">
        <v>2</v>
      </c>
      <c r="C1" s="3" t="s">
        <v>3</v>
      </c>
      <c r="D1" s="3" t="s">
        <v>4</v>
      </c>
      <c r="E1" s="3" t="s">
        <v>0</v>
      </c>
      <c r="F1" s="3" t="s">
        <v>1</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Z1" s="3" t="s">
        <v>147</v>
      </c>
      <c r="AA1" s="3" t="s">
        <v>148</v>
      </c>
      <c r="AB1" s="3" t="s">
        <v>149</v>
      </c>
      <c r="AC1" s="3" t="s">
        <v>150</v>
      </c>
      <c r="AD1" s="3" t="s">
        <v>151</v>
      </c>
    </row>
    <row r="2" spans="1:30">
      <c r="A2" t="s">
        <v>23</v>
      </c>
      <c r="B2" s="3">
        <v>250000</v>
      </c>
      <c r="C2" s="3" t="s">
        <v>24</v>
      </c>
      <c r="D2" s="3" t="s">
        <v>116</v>
      </c>
      <c r="E2" s="3">
        <v>0.1</v>
      </c>
      <c r="F2" s="3">
        <v>0.1</v>
      </c>
      <c r="G2">
        <f>F2</f>
        <v>0.1</v>
      </c>
      <c r="H2" s="3">
        <f>0.25*G2</f>
        <v>2.5000000000000001E-2</v>
      </c>
      <c r="I2" s="3">
        <v>1</v>
      </c>
      <c r="J2" s="3" t="s">
        <v>26</v>
      </c>
      <c r="K2" s="3" t="s">
        <v>27</v>
      </c>
      <c r="L2">
        <v>0.1</v>
      </c>
      <c r="M2" s="6">
        <f>L2/H2</f>
        <v>4</v>
      </c>
      <c r="N2" s="6">
        <v>5185.8969999999999</v>
      </c>
      <c r="O2" s="6">
        <v>5587</v>
      </c>
      <c r="P2">
        <f>8*(N2/B2)^2</f>
        <v>3.4423715449099523E-3</v>
      </c>
      <c r="Q2" s="7">
        <f>8*(O2/B2)^2</f>
        <v>3.9954648319999999E-3</v>
      </c>
      <c r="R2" s="8">
        <f>(Q2-P2)/P2</f>
        <v>0.16067216448726362</v>
      </c>
      <c r="S2" s="6">
        <f>100*2*O2/B2</f>
        <v>4.4695999999999998</v>
      </c>
      <c r="T2" s="2">
        <f>B2/4*P2</f>
        <v>215.14822155687202</v>
      </c>
      <c r="U2" s="6">
        <f>E2*N2</f>
        <v>518.58969999999999</v>
      </c>
      <c r="V2" s="6">
        <f t="shared" ref="V2:V65" si="0">F2*N2</f>
        <v>518.58969999999999</v>
      </c>
      <c r="W2" s="6">
        <f>G2*N2</f>
        <v>518.58969999999999</v>
      </c>
      <c r="X2" s="2">
        <f>H2*N2</f>
        <v>129.647425</v>
      </c>
    </row>
    <row r="3" spans="1:30">
      <c r="A3" t="s">
        <v>23</v>
      </c>
      <c r="B3" s="3">
        <v>250000</v>
      </c>
      <c r="C3" s="3" t="s">
        <v>24</v>
      </c>
      <c r="D3" s="3" t="s">
        <v>117</v>
      </c>
      <c r="E3" s="3">
        <v>6.7000000000000004E-2</v>
      </c>
      <c r="F3" s="3">
        <v>6.7000000000000004E-2</v>
      </c>
      <c r="G3">
        <f>F3</f>
        <v>6.7000000000000004E-2</v>
      </c>
      <c r="H3" s="3">
        <f>0.25*G3</f>
        <v>1.6750000000000001E-2</v>
      </c>
      <c r="I3" s="3">
        <v>1</v>
      </c>
      <c r="J3" s="3" t="s">
        <v>26</v>
      </c>
      <c r="K3" s="3" t="s">
        <v>27</v>
      </c>
      <c r="L3">
        <v>0.1</v>
      </c>
      <c r="M3" s="6">
        <f>L3/H3</f>
        <v>5.9701492537313436</v>
      </c>
      <c r="N3" s="6">
        <v>5185.8969999999999</v>
      </c>
      <c r="O3" s="6">
        <v>4998</v>
      </c>
      <c r="P3">
        <f>8*(N3/B3)^2</f>
        <v>3.4423715449099523E-3</v>
      </c>
      <c r="Q3" s="7">
        <f>8*(O3/B3)^2</f>
        <v>3.1974405119999999E-3</v>
      </c>
      <c r="R3" s="8">
        <f t="shared" ref="R3:R5" si="1">(Q3-P3)/P3</f>
        <v>-7.1151829404387981E-2</v>
      </c>
      <c r="S3" s="6">
        <f>100*2*O3/B3</f>
        <v>3.9984000000000002</v>
      </c>
      <c r="T3" s="2">
        <f>B3/4*P3</f>
        <v>215.14822155687202</v>
      </c>
      <c r="U3" s="6">
        <f t="shared" ref="U3:U29" si="2">E3*N3</f>
        <v>347.45509900000002</v>
      </c>
      <c r="V3" s="6">
        <f t="shared" si="0"/>
        <v>347.45509900000002</v>
      </c>
      <c r="W3" s="6">
        <f t="shared" ref="W3:W29" si="3">G3*N3</f>
        <v>347.45509900000002</v>
      </c>
      <c r="X3" s="2">
        <f t="shared" ref="X3:X29" si="4">H3*N3</f>
        <v>86.863774750000005</v>
      </c>
    </row>
    <row r="4" spans="1:30">
      <c r="A4" t="s">
        <v>23</v>
      </c>
      <c r="B4" s="3">
        <v>250000</v>
      </c>
      <c r="C4" s="3" t="s">
        <v>24</v>
      </c>
      <c r="D4" s="3" t="s">
        <v>118</v>
      </c>
      <c r="E4" s="3">
        <v>0.05</v>
      </c>
      <c r="F4" s="10">
        <v>0.05</v>
      </c>
      <c r="G4">
        <f>F4</f>
        <v>0.05</v>
      </c>
      <c r="H4" s="3">
        <f>0.25*G4</f>
        <v>1.2500000000000001E-2</v>
      </c>
      <c r="I4" s="3">
        <v>1</v>
      </c>
      <c r="J4" s="3" t="s">
        <v>26</v>
      </c>
      <c r="K4" s="3" t="s">
        <v>27</v>
      </c>
      <c r="L4">
        <v>0.1</v>
      </c>
      <c r="M4" s="6">
        <f>L4/H4</f>
        <v>8</v>
      </c>
      <c r="N4" s="6">
        <v>5185.8969999999999</v>
      </c>
      <c r="O4" s="6">
        <v>4673</v>
      </c>
      <c r="P4">
        <f>8*(N4/B4)^2</f>
        <v>3.4423715449099523E-3</v>
      </c>
      <c r="Q4" s="7">
        <f>8*(O4/B4)^2</f>
        <v>2.795126912E-3</v>
      </c>
      <c r="R4" s="8">
        <f t="shared" si="1"/>
        <v>-0.18802288610216922</v>
      </c>
      <c r="S4" s="6">
        <f>100*2*O4/B4</f>
        <v>3.7383999999999999</v>
      </c>
      <c r="T4" s="2">
        <f>B4/4*P4</f>
        <v>215.14822155687202</v>
      </c>
      <c r="U4" s="6">
        <f t="shared" si="2"/>
        <v>259.29485</v>
      </c>
      <c r="V4" s="6">
        <f t="shared" si="0"/>
        <v>259.29485</v>
      </c>
      <c r="W4" s="6">
        <f t="shared" si="3"/>
        <v>259.29485</v>
      </c>
      <c r="X4" s="2">
        <f t="shared" si="4"/>
        <v>64.823712499999999</v>
      </c>
    </row>
    <row r="5" spans="1:30">
      <c r="A5" t="s">
        <v>23</v>
      </c>
      <c r="B5" s="3">
        <v>250000</v>
      </c>
      <c r="C5" s="3" t="s">
        <v>24</v>
      </c>
      <c r="D5" s="3" t="s">
        <v>119</v>
      </c>
      <c r="E5" s="3">
        <v>3.3000000000000002E-2</v>
      </c>
      <c r="F5" s="3">
        <v>3.3000000000000002E-2</v>
      </c>
      <c r="G5">
        <f>F5</f>
        <v>3.3000000000000002E-2</v>
      </c>
      <c r="H5" s="3">
        <f>0.25*G5</f>
        <v>8.2500000000000004E-3</v>
      </c>
      <c r="I5" s="3">
        <v>1</v>
      </c>
      <c r="J5" s="3" t="s">
        <v>26</v>
      </c>
      <c r="K5" s="3" t="s">
        <v>27</v>
      </c>
      <c r="L5">
        <v>0.1</v>
      </c>
      <c r="M5" s="6">
        <f>L5/H5</f>
        <v>12.121212121212121</v>
      </c>
      <c r="N5" s="6">
        <v>5185.8969999999999</v>
      </c>
      <c r="O5" s="6">
        <v>5040</v>
      </c>
      <c r="P5">
        <f>8*(N5/B5)^2</f>
        <v>3.4423715449099523E-3</v>
      </c>
      <c r="Q5" s="7">
        <f>8*(O5/B5)^2</f>
        <v>3.2514048000000001E-3</v>
      </c>
      <c r="R5" s="8">
        <f t="shared" si="1"/>
        <v>-5.5475343790917724E-2</v>
      </c>
      <c r="S5" s="6">
        <f>100*2*O5/B5</f>
        <v>4.032</v>
      </c>
      <c r="T5" s="2">
        <f>B5/4*P5</f>
        <v>215.14822155687202</v>
      </c>
      <c r="U5" s="6">
        <f t="shared" si="2"/>
        <v>171.134601</v>
      </c>
      <c r="V5" s="6">
        <f t="shared" si="0"/>
        <v>171.134601</v>
      </c>
      <c r="W5" s="6">
        <f t="shared" si="3"/>
        <v>171.134601</v>
      </c>
      <c r="X5" s="2">
        <f t="shared" si="4"/>
        <v>42.783650250000001</v>
      </c>
    </row>
    <row r="6" spans="1:30">
      <c r="A6" s="3"/>
      <c r="B6" s="3"/>
      <c r="C6" s="3"/>
      <c r="D6" s="3"/>
      <c r="E6" s="3"/>
      <c r="G6" s="3"/>
      <c r="H6" s="3"/>
      <c r="I6" s="3"/>
      <c r="J6" s="3"/>
      <c r="L6" s="6"/>
      <c r="M6" s="6"/>
      <c r="O6" s="6"/>
      <c r="P6" s="2"/>
      <c r="T6" s="4"/>
      <c r="U6" s="6"/>
      <c r="V6" s="6"/>
      <c r="W6" s="6"/>
      <c r="X6" s="2"/>
    </row>
    <row r="7" spans="1:30">
      <c r="O7" s="6"/>
      <c r="T7" s="4"/>
      <c r="U7" s="6"/>
      <c r="V7" s="6"/>
      <c r="W7" s="6"/>
      <c r="X7" s="2"/>
    </row>
    <row r="8" spans="1:30">
      <c r="A8" t="s">
        <v>34</v>
      </c>
      <c r="B8" s="3">
        <v>250000</v>
      </c>
      <c r="C8" s="3" t="s">
        <v>24</v>
      </c>
      <c r="D8" s="3" t="s">
        <v>116</v>
      </c>
      <c r="E8" s="3">
        <v>0.1</v>
      </c>
      <c r="F8" s="3">
        <v>0.1</v>
      </c>
      <c r="G8">
        <f>F8</f>
        <v>0.1</v>
      </c>
      <c r="H8" s="3">
        <f>0.25*G8</f>
        <v>2.5000000000000001E-2</v>
      </c>
      <c r="I8" s="3">
        <v>1</v>
      </c>
      <c r="J8" s="3" t="s">
        <v>26</v>
      </c>
      <c r="K8" s="3" t="s">
        <v>27</v>
      </c>
      <c r="L8">
        <v>0.1</v>
      </c>
      <c r="M8" s="6">
        <f>L8/H8</f>
        <v>4</v>
      </c>
      <c r="N8" s="6">
        <v>5185.8969999999999</v>
      </c>
      <c r="O8" s="6">
        <v>4862.8822243521199</v>
      </c>
      <c r="P8">
        <f>8*(N8/B8)^2</f>
        <v>3.4423715449099523E-3</v>
      </c>
      <c r="Q8" s="7">
        <f>8*(O8/B8)^2</f>
        <v>3.0268958115737374E-3</v>
      </c>
      <c r="R8" s="8">
        <f>(Q8-P8)/P8</f>
        <v>-0.12069462227299557</v>
      </c>
      <c r="S8" s="6">
        <f>500*2*O8/B8</f>
        <v>19.45152889740848</v>
      </c>
      <c r="T8" s="2">
        <f>B8/4*P8</f>
        <v>215.14822155687202</v>
      </c>
      <c r="U8" s="6">
        <f t="shared" si="2"/>
        <v>518.58969999999999</v>
      </c>
      <c r="V8" s="6">
        <f t="shared" si="0"/>
        <v>518.58969999999999</v>
      </c>
      <c r="W8" s="6">
        <f t="shared" si="3"/>
        <v>518.58969999999999</v>
      </c>
      <c r="X8" s="2">
        <f t="shared" si="4"/>
        <v>129.647425</v>
      </c>
    </row>
    <row r="9" spans="1:30">
      <c r="A9" t="s">
        <v>34</v>
      </c>
      <c r="B9" s="3">
        <v>250000</v>
      </c>
      <c r="C9" s="3" t="s">
        <v>24</v>
      </c>
      <c r="D9" s="3" t="s">
        <v>117</v>
      </c>
      <c r="E9" s="3">
        <v>6.7000000000000004E-2</v>
      </c>
      <c r="F9" s="3">
        <v>6.7000000000000004E-2</v>
      </c>
      <c r="G9">
        <f>F9</f>
        <v>6.7000000000000004E-2</v>
      </c>
      <c r="H9" s="3">
        <f>0.25*G9</f>
        <v>1.6750000000000001E-2</v>
      </c>
      <c r="I9" s="3">
        <v>1</v>
      </c>
      <c r="J9" s="3" t="s">
        <v>26</v>
      </c>
      <c r="K9" s="3" t="s">
        <v>27</v>
      </c>
      <c r="L9">
        <v>0.1</v>
      </c>
      <c r="M9" s="6">
        <f>L9/H9</f>
        <v>5.9701492537313436</v>
      </c>
      <c r="N9" s="6">
        <v>5185.8969999999999</v>
      </c>
      <c r="O9" s="6">
        <v>5124.0208644099903</v>
      </c>
      <c r="P9">
        <f>8*(N9/B9)^2</f>
        <v>3.4423715449099523E-3</v>
      </c>
      <c r="Q9" s="7">
        <f>8*(O9/B9)^2</f>
        <v>3.3607154968203403E-3</v>
      </c>
      <c r="R9" s="8">
        <f t="shared" ref="R9:R11" si="5">(Q9-P9)/P9</f>
        <v>-2.3720870052610196E-2</v>
      </c>
      <c r="S9" s="6">
        <f>500*2*O9/B9</f>
        <v>20.496083457639962</v>
      </c>
      <c r="T9" s="2">
        <f>B9/4*P9</f>
        <v>215.14822155687202</v>
      </c>
      <c r="U9" s="6">
        <f t="shared" si="2"/>
        <v>347.45509900000002</v>
      </c>
      <c r="V9" s="6">
        <f t="shared" si="0"/>
        <v>347.45509900000002</v>
      </c>
      <c r="W9" s="6">
        <f t="shared" si="3"/>
        <v>347.45509900000002</v>
      </c>
      <c r="X9" s="2">
        <f t="shared" si="4"/>
        <v>86.863774750000005</v>
      </c>
    </row>
    <row r="10" spans="1:30">
      <c r="A10" t="s">
        <v>34</v>
      </c>
      <c r="B10" s="3">
        <v>250000</v>
      </c>
      <c r="C10" s="3" t="s">
        <v>24</v>
      </c>
      <c r="D10" s="3" t="s">
        <v>118</v>
      </c>
      <c r="E10" s="3">
        <v>0.05</v>
      </c>
      <c r="F10" s="3">
        <v>0.05</v>
      </c>
      <c r="G10">
        <f>F10</f>
        <v>0.05</v>
      </c>
      <c r="H10" s="3">
        <f>0.25*G10</f>
        <v>1.2500000000000001E-2</v>
      </c>
      <c r="I10" s="3">
        <v>1</v>
      </c>
      <c r="J10" s="3" t="s">
        <v>26</v>
      </c>
      <c r="K10" s="3" t="s">
        <v>27</v>
      </c>
      <c r="L10">
        <v>0.1</v>
      </c>
      <c r="M10" s="6">
        <f>L10/H10</f>
        <v>8</v>
      </c>
      <c r="N10" s="6">
        <v>5185.8969999999999</v>
      </c>
      <c r="O10" s="6">
        <v>5139.2474953825704</v>
      </c>
      <c r="P10">
        <f>8*(N10/B10)^2</f>
        <v>3.4423715449099523E-3</v>
      </c>
      <c r="Q10" s="7">
        <f>8*(O10/B10)^2</f>
        <v>3.3807186968058912E-3</v>
      </c>
      <c r="R10" s="8">
        <f t="shared" si="5"/>
        <v>-1.7909992370005439E-2</v>
      </c>
      <c r="S10" s="6">
        <f>500*2*O10/B10</f>
        <v>20.556989981530283</v>
      </c>
      <c r="T10" s="2">
        <f>B10/4*P10</f>
        <v>215.14822155687202</v>
      </c>
      <c r="U10" s="6">
        <f t="shared" si="2"/>
        <v>259.29485</v>
      </c>
      <c r="V10" s="6">
        <f t="shared" si="0"/>
        <v>259.29485</v>
      </c>
      <c r="W10" s="6">
        <f t="shared" si="3"/>
        <v>259.29485</v>
      </c>
      <c r="X10" s="2">
        <f t="shared" si="4"/>
        <v>64.823712499999999</v>
      </c>
    </row>
    <row r="11" spans="1:30">
      <c r="A11" t="s">
        <v>34</v>
      </c>
      <c r="B11" s="3">
        <v>250000</v>
      </c>
      <c r="C11" s="3" t="s">
        <v>24</v>
      </c>
      <c r="D11" s="3" t="s">
        <v>119</v>
      </c>
      <c r="E11" s="3">
        <v>3.3000000000000002E-2</v>
      </c>
      <c r="F11" s="3">
        <v>3.3000000000000002E-2</v>
      </c>
      <c r="G11">
        <f>F11</f>
        <v>3.3000000000000002E-2</v>
      </c>
      <c r="H11" s="3">
        <f>0.25*G11</f>
        <v>8.2500000000000004E-3</v>
      </c>
      <c r="I11" s="3">
        <v>1</v>
      </c>
      <c r="J11" s="3" t="s">
        <v>26</v>
      </c>
      <c r="K11" s="3" t="s">
        <v>27</v>
      </c>
      <c r="L11">
        <v>0.1</v>
      </c>
      <c r="M11" s="6">
        <f>L11/H11</f>
        <v>12.121212121212121</v>
      </c>
      <c r="N11" s="6">
        <v>5185.8969999999999</v>
      </c>
      <c r="O11" s="6">
        <v>5166.3797844559504</v>
      </c>
      <c r="P11">
        <f>8*(N11/B11)^2</f>
        <v>3.4423715449099523E-3</v>
      </c>
      <c r="Q11" s="7">
        <f>8*(O11/B11)^2</f>
        <v>3.4165094498860944E-3</v>
      </c>
      <c r="R11" s="8">
        <f t="shared" si="5"/>
        <v>-7.5128714859669272E-3</v>
      </c>
      <c r="S11" s="6">
        <f>500*2*O11/B11</f>
        <v>20.6655191378238</v>
      </c>
      <c r="T11" s="2">
        <f>B11/4*P11</f>
        <v>215.14822155687202</v>
      </c>
      <c r="U11" s="6">
        <f t="shared" si="2"/>
        <v>171.134601</v>
      </c>
      <c r="V11" s="6">
        <f t="shared" si="0"/>
        <v>171.134601</v>
      </c>
      <c r="W11" s="6">
        <f t="shared" si="3"/>
        <v>171.134601</v>
      </c>
      <c r="X11" s="2">
        <f t="shared" si="4"/>
        <v>42.783650250000001</v>
      </c>
    </row>
    <row r="12" spans="1:30">
      <c r="O12" s="6"/>
      <c r="U12" s="6"/>
      <c r="V12" s="6"/>
      <c r="W12" s="6"/>
      <c r="X12" s="2"/>
    </row>
    <row r="13" spans="1:30">
      <c r="O13" s="6"/>
      <c r="U13" s="6"/>
      <c r="V13" s="6"/>
      <c r="W13" s="6"/>
      <c r="X13" s="2"/>
    </row>
    <row r="14" spans="1:30">
      <c r="A14" t="s">
        <v>79</v>
      </c>
      <c r="B14" s="3">
        <v>250000</v>
      </c>
      <c r="C14" s="3" t="s">
        <v>24</v>
      </c>
      <c r="D14" s="3" t="s">
        <v>116</v>
      </c>
      <c r="E14" s="3">
        <v>0.1</v>
      </c>
      <c r="F14" s="3">
        <v>0.1</v>
      </c>
      <c r="G14">
        <f>F14</f>
        <v>0.1</v>
      </c>
      <c r="H14" s="3">
        <f>0.25*G14</f>
        <v>2.5000000000000001E-2</v>
      </c>
      <c r="I14" s="3">
        <v>1</v>
      </c>
      <c r="J14" s="3" t="s">
        <v>26</v>
      </c>
      <c r="K14" s="3" t="s">
        <v>27</v>
      </c>
      <c r="L14">
        <v>0.1</v>
      </c>
      <c r="M14" s="6">
        <f>L14/H14</f>
        <v>4</v>
      </c>
      <c r="N14" s="6">
        <v>5185.8969999999999</v>
      </c>
      <c r="O14" s="6">
        <v>4875.9608767305699</v>
      </c>
      <c r="P14">
        <f>8*(N14/B14)^2</f>
        <v>3.4423715449099523E-3</v>
      </c>
      <c r="Q14" s="7">
        <f>8*(O14/B14)^2</f>
        <v>3.0431992923401147E-3</v>
      </c>
      <c r="R14" s="8">
        <f>(Q14-P14)/P14</f>
        <v>-0.11595850342188423</v>
      </c>
      <c r="S14" s="6">
        <f>500*2*O14/B14</f>
        <v>19.50384350692228</v>
      </c>
      <c r="T14" s="2">
        <f>B14/4*P14</f>
        <v>215.14822155687202</v>
      </c>
      <c r="U14" s="6">
        <f t="shared" si="2"/>
        <v>518.58969999999999</v>
      </c>
      <c r="V14" s="6">
        <f t="shared" si="0"/>
        <v>518.58969999999999</v>
      </c>
      <c r="W14" s="6">
        <f t="shared" si="3"/>
        <v>518.58969999999999</v>
      </c>
      <c r="X14" s="2">
        <f t="shared" si="4"/>
        <v>129.647425</v>
      </c>
    </row>
    <row r="15" spans="1:30">
      <c r="A15" t="s">
        <v>79</v>
      </c>
      <c r="B15" s="3">
        <v>250000</v>
      </c>
      <c r="C15" s="3" t="s">
        <v>24</v>
      </c>
      <c r="D15" s="3" t="s">
        <v>117</v>
      </c>
      <c r="E15" s="3">
        <v>6.7000000000000004E-2</v>
      </c>
      <c r="F15" s="3">
        <v>6.7000000000000004E-2</v>
      </c>
      <c r="G15">
        <f>F15</f>
        <v>6.7000000000000004E-2</v>
      </c>
      <c r="H15" s="3">
        <f>0.25*G15</f>
        <v>1.6750000000000001E-2</v>
      </c>
      <c r="I15" s="3">
        <v>1</v>
      </c>
      <c r="J15" s="3" t="s">
        <v>26</v>
      </c>
      <c r="K15" s="3" t="s">
        <v>27</v>
      </c>
      <c r="L15">
        <v>0.1</v>
      </c>
      <c r="M15" s="6">
        <f>L15/H15</f>
        <v>5.9701492537313436</v>
      </c>
      <c r="N15" s="6">
        <v>5185.8969999999999</v>
      </c>
      <c r="O15" s="6">
        <v>5136.7265536654104</v>
      </c>
      <c r="P15">
        <f>8*(N15/B15)^2</f>
        <v>3.4423715449099523E-3</v>
      </c>
      <c r="Q15" s="7">
        <f>8*(O15/B15)^2</f>
        <v>3.3774028399528098E-3</v>
      </c>
      <c r="R15" s="8">
        <f t="shared" ref="R15:R17" si="6">(Q15-P15)/P15</f>
        <v>-1.8873240180365815E-2</v>
      </c>
      <c r="S15" s="6">
        <f>500*2*O15/B15</f>
        <v>20.546906214661643</v>
      </c>
      <c r="T15" s="2">
        <f>B15/4*P15</f>
        <v>215.14822155687202</v>
      </c>
      <c r="U15" s="6">
        <f t="shared" si="2"/>
        <v>347.45509900000002</v>
      </c>
      <c r="V15" s="6">
        <f t="shared" si="0"/>
        <v>347.45509900000002</v>
      </c>
      <c r="W15" s="6">
        <f t="shared" si="3"/>
        <v>347.45509900000002</v>
      </c>
      <c r="X15" s="2">
        <f t="shared" si="4"/>
        <v>86.863774750000005</v>
      </c>
    </row>
    <row r="16" spans="1:30">
      <c r="A16" t="s">
        <v>79</v>
      </c>
      <c r="B16" s="3">
        <v>250000</v>
      </c>
      <c r="C16" s="3" t="s">
        <v>24</v>
      </c>
      <c r="D16" s="3" t="s">
        <v>118</v>
      </c>
      <c r="E16" s="3">
        <v>0.05</v>
      </c>
      <c r="F16" s="3">
        <v>0.05</v>
      </c>
      <c r="G16">
        <f>F16</f>
        <v>0.05</v>
      </c>
      <c r="H16" s="3">
        <f>0.25*G16</f>
        <v>1.2500000000000001E-2</v>
      </c>
      <c r="I16" s="3">
        <v>1</v>
      </c>
      <c r="J16" s="3" t="s">
        <v>26</v>
      </c>
      <c r="K16" s="3" t="s">
        <v>27</v>
      </c>
      <c r="L16">
        <v>0.1</v>
      </c>
      <c r="M16" s="6">
        <f>L16/H16</f>
        <v>8</v>
      </c>
      <c r="N16" s="6">
        <v>5185.8969999999999</v>
      </c>
      <c r="O16" s="6">
        <v>5147.0208386715803</v>
      </c>
      <c r="P16">
        <f>8*(N16/B16)^2</f>
        <v>3.4423715449099523E-3</v>
      </c>
      <c r="Q16" s="7">
        <f>8*(O16/B16)^2</f>
        <v>3.3909534097560962E-3</v>
      </c>
      <c r="R16" s="8">
        <f t="shared" si="6"/>
        <v>-1.4936834819554941E-2</v>
      </c>
      <c r="S16" s="6">
        <f>500*2*O16/B16</f>
        <v>20.588083354686319</v>
      </c>
      <c r="T16" s="2">
        <f>B16/4*P16</f>
        <v>215.14822155687202</v>
      </c>
      <c r="U16" s="6">
        <f t="shared" si="2"/>
        <v>259.29485</v>
      </c>
      <c r="V16" s="6">
        <f t="shared" si="0"/>
        <v>259.29485</v>
      </c>
      <c r="W16" s="6">
        <f t="shared" si="3"/>
        <v>259.29485</v>
      </c>
      <c r="X16" s="2">
        <f t="shared" si="4"/>
        <v>64.823712499999999</v>
      </c>
    </row>
    <row r="17" spans="1:24">
      <c r="A17" t="s">
        <v>79</v>
      </c>
      <c r="B17" s="3">
        <v>250000</v>
      </c>
      <c r="C17" s="3" t="s">
        <v>24</v>
      </c>
      <c r="D17" s="3" t="s">
        <v>119</v>
      </c>
      <c r="E17" s="3">
        <v>3.3000000000000002E-2</v>
      </c>
      <c r="F17" s="3">
        <v>3.3000000000000002E-2</v>
      </c>
      <c r="G17">
        <f>F17</f>
        <v>3.3000000000000002E-2</v>
      </c>
      <c r="H17" s="3">
        <f>0.25*G17</f>
        <v>8.2500000000000004E-3</v>
      </c>
      <c r="I17" s="3">
        <v>1</v>
      </c>
      <c r="J17" s="3" t="s">
        <v>26</v>
      </c>
      <c r="K17" s="3" t="s">
        <v>27</v>
      </c>
      <c r="L17">
        <v>0.1</v>
      </c>
      <c r="M17" s="6">
        <f>L17/H17</f>
        <v>12.121212121212121</v>
      </c>
      <c r="N17" s="6">
        <v>5185.8969999999999</v>
      </c>
      <c r="O17" s="6">
        <v>5190.7707276150904</v>
      </c>
      <c r="P17">
        <f>8*(N17/B17)^2</f>
        <v>3.4423715449099523E-3</v>
      </c>
      <c r="Q17" s="7">
        <f>8*(O17/B17)^2</f>
        <v>3.4488448955732093E-3</v>
      </c>
      <c r="R17" s="8">
        <f t="shared" si="6"/>
        <v>1.8804915677474731E-3</v>
      </c>
      <c r="S17" s="6">
        <f>500*2*O17/B17</f>
        <v>20.763082910460362</v>
      </c>
      <c r="T17" s="2">
        <f>B17/4*P17</f>
        <v>215.14822155687202</v>
      </c>
      <c r="U17" s="6">
        <f t="shared" si="2"/>
        <v>171.134601</v>
      </c>
      <c r="V17" s="6">
        <f t="shared" si="0"/>
        <v>171.134601</v>
      </c>
      <c r="W17" s="6">
        <f t="shared" si="3"/>
        <v>171.134601</v>
      </c>
      <c r="X17" s="2">
        <f t="shared" si="4"/>
        <v>42.783650250000001</v>
      </c>
    </row>
    <row r="18" spans="1:24">
      <c r="O18" s="6"/>
      <c r="U18" s="6"/>
      <c r="V18" s="6"/>
      <c r="W18" s="6"/>
      <c r="X18" s="2"/>
    </row>
    <row r="19" spans="1:24">
      <c r="O19" s="6"/>
      <c r="U19" s="6"/>
      <c r="V19" s="6">
        <f t="shared" si="0"/>
        <v>0</v>
      </c>
      <c r="W19" s="6"/>
      <c r="X19" s="2"/>
    </row>
    <row r="20" spans="1:24">
      <c r="A20" t="s">
        <v>80</v>
      </c>
      <c r="B20" s="3">
        <v>250000</v>
      </c>
      <c r="C20" s="3" t="s">
        <v>24</v>
      </c>
      <c r="D20" s="3" t="s">
        <v>116</v>
      </c>
      <c r="E20" s="3">
        <v>0.1</v>
      </c>
      <c r="F20" s="3">
        <v>0.1</v>
      </c>
      <c r="G20">
        <f>F20</f>
        <v>0.1</v>
      </c>
      <c r="H20" s="3">
        <f>0.25*G20</f>
        <v>2.5000000000000001E-2</v>
      </c>
      <c r="I20" s="3">
        <v>1</v>
      </c>
      <c r="J20" s="3" t="s">
        <v>26</v>
      </c>
      <c r="K20" s="3" t="s">
        <v>27</v>
      </c>
      <c r="L20">
        <v>0.1</v>
      </c>
      <c r="M20" s="6">
        <f>L20/H20</f>
        <v>4</v>
      </c>
      <c r="N20" s="6">
        <v>5185.8969999999999</v>
      </c>
      <c r="O20" s="6">
        <v>5210.6464404963799</v>
      </c>
      <c r="P20">
        <f>8*(N20/B20)^2</f>
        <v>3.4423715449099523E-3</v>
      </c>
      <c r="Q20" s="7">
        <f>8*(O20/B20)^2</f>
        <v>3.4753070499657724E-3</v>
      </c>
      <c r="R20" s="8">
        <f>(Q20-P20)/P20</f>
        <v>9.5676787430223845E-3</v>
      </c>
      <c r="S20" s="6">
        <f>500*2*O20/B20</f>
        <v>20.842585761985518</v>
      </c>
      <c r="T20" s="2">
        <f>B20/4*P20</f>
        <v>215.14822155687202</v>
      </c>
      <c r="U20" s="6">
        <f t="shared" si="2"/>
        <v>518.58969999999999</v>
      </c>
      <c r="V20" s="6">
        <f t="shared" si="0"/>
        <v>518.58969999999999</v>
      </c>
      <c r="W20" s="6">
        <f t="shared" si="3"/>
        <v>518.58969999999999</v>
      </c>
      <c r="X20" s="2">
        <f t="shared" si="4"/>
        <v>129.647425</v>
      </c>
    </row>
    <row r="21" spans="1:24">
      <c r="A21" t="s">
        <v>80</v>
      </c>
      <c r="B21" s="3">
        <v>250000</v>
      </c>
      <c r="C21" s="3" t="s">
        <v>24</v>
      </c>
      <c r="D21" s="3" t="s">
        <v>117</v>
      </c>
      <c r="E21" s="3">
        <v>6.7000000000000004E-2</v>
      </c>
      <c r="F21" s="3">
        <v>6.7000000000000004E-2</v>
      </c>
      <c r="G21">
        <f>F21</f>
        <v>6.7000000000000004E-2</v>
      </c>
      <c r="H21" s="3">
        <f>0.25*G21</f>
        <v>1.6750000000000001E-2</v>
      </c>
      <c r="I21" s="3">
        <v>1</v>
      </c>
      <c r="J21" s="3" t="s">
        <v>26</v>
      </c>
      <c r="K21" s="3" t="s">
        <v>27</v>
      </c>
      <c r="L21">
        <v>0.1</v>
      </c>
      <c r="M21" s="6">
        <f>L21/H21</f>
        <v>5.9701492537313436</v>
      </c>
      <c r="N21" s="6">
        <v>5185.8969999999999</v>
      </c>
      <c r="O21" s="6">
        <v>4956.1843727380501</v>
      </c>
      <c r="P21">
        <f>8*(N21/B21)^2</f>
        <v>3.4423715449099523E-3</v>
      </c>
      <c r="Q21" s="7">
        <f>8*(O21/B21)^2</f>
        <v>3.1441617326813261E-3</v>
      </c>
      <c r="R21" s="8">
        <f t="shared" ref="R21:R23" si="7">(Q21-P21)/P21</f>
        <v>-8.6629176524995632E-2</v>
      </c>
      <c r="S21" s="6">
        <f>500*2*O21/B21</f>
        <v>19.824737490952202</v>
      </c>
      <c r="T21" s="2">
        <f>B21/4*P21</f>
        <v>215.14822155687202</v>
      </c>
      <c r="U21" s="6">
        <f t="shared" si="2"/>
        <v>347.45509900000002</v>
      </c>
      <c r="V21" s="6">
        <f t="shared" si="0"/>
        <v>347.45509900000002</v>
      </c>
      <c r="W21" s="6">
        <f t="shared" si="3"/>
        <v>347.45509900000002</v>
      </c>
      <c r="X21" s="2">
        <f t="shared" si="4"/>
        <v>86.863774750000005</v>
      </c>
    </row>
    <row r="22" spans="1:24">
      <c r="A22" t="s">
        <v>80</v>
      </c>
      <c r="B22" s="3">
        <v>250000</v>
      </c>
      <c r="C22" s="3" t="s">
        <v>24</v>
      </c>
      <c r="D22" s="3" t="s">
        <v>118</v>
      </c>
      <c r="E22" s="3">
        <v>0.05</v>
      </c>
      <c r="F22" s="3">
        <v>0.05</v>
      </c>
      <c r="G22">
        <f>F22</f>
        <v>0.05</v>
      </c>
      <c r="H22" s="3">
        <f>0.25*G22</f>
        <v>1.2500000000000001E-2</v>
      </c>
      <c r="I22" s="3">
        <v>1</v>
      </c>
      <c r="J22" s="3" t="s">
        <v>26</v>
      </c>
      <c r="K22" s="3" t="s">
        <v>27</v>
      </c>
      <c r="L22">
        <v>0.1</v>
      </c>
      <c r="M22" s="6">
        <f>L22/H22</f>
        <v>8</v>
      </c>
      <c r="N22" s="6">
        <v>5185.8969999999999</v>
      </c>
      <c r="O22" s="6">
        <v>4967.0733698676504</v>
      </c>
      <c r="P22">
        <f>8*(N22/B22)^2</f>
        <v>3.4423715449099523E-3</v>
      </c>
      <c r="Q22" s="7">
        <f>8*(O22/B22)^2</f>
        <v>3.157992686290992E-3</v>
      </c>
      <c r="R22" s="8">
        <f t="shared" si="7"/>
        <v>-8.2611320396096075E-2</v>
      </c>
      <c r="S22" s="6">
        <f>500*2*O22/B22</f>
        <v>19.868293479470601</v>
      </c>
      <c r="T22" s="2">
        <f>B22/4*P22</f>
        <v>215.14822155687202</v>
      </c>
      <c r="U22" s="6">
        <f t="shared" si="2"/>
        <v>259.29485</v>
      </c>
      <c r="V22" s="6">
        <f t="shared" si="0"/>
        <v>259.29485</v>
      </c>
      <c r="W22" s="6">
        <f t="shared" si="3"/>
        <v>259.29485</v>
      </c>
      <c r="X22" s="2">
        <f t="shared" si="4"/>
        <v>64.823712499999999</v>
      </c>
    </row>
    <row r="23" spans="1:24">
      <c r="A23" t="s">
        <v>80</v>
      </c>
      <c r="B23" s="3">
        <v>250000</v>
      </c>
      <c r="C23" s="3" t="s">
        <v>24</v>
      </c>
      <c r="D23" s="3" t="s">
        <v>119</v>
      </c>
      <c r="E23" s="3">
        <v>3.3000000000000002E-2</v>
      </c>
      <c r="F23" s="3">
        <v>3.3000000000000002E-2</v>
      </c>
      <c r="G23">
        <f>F23</f>
        <v>3.3000000000000002E-2</v>
      </c>
      <c r="H23" s="3">
        <f>0.25*G23</f>
        <v>8.2500000000000004E-3</v>
      </c>
      <c r="I23" s="3">
        <v>1</v>
      </c>
      <c r="J23" s="3" t="s">
        <v>26</v>
      </c>
      <c r="K23" s="3" t="s">
        <v>27</v>
      </c>
      <c r="L23">
        <v>0.1</v>
      </c>
      <c r="M23" s="6">
        <f>L23/H23</f>
        <v>12.121212121212121</v>
      </c>
      <c r="N23" s="6">
        <v>5185.8969999999999</v>
      </c>
      <c r="O23" s="6">
        <v>5024.9827306890502</v>
      </c>
      <c r="P23">
        <f>8*(N23/B23)^2</f>
        <v>3.4423715449099523E-3</v>
      </c>
      <c r="Q23" s="7">
        <f>8*(O23/B23)^2</f>
        <v>3.2320577847965671E-3</v>
      </c>
      <c r="R23" s="8">
        <f t="shared" si="7"/>
        <v>-6.1095601497277274E-2</v>
      </c>
      <c r="S23" s="6">
        <f>500*2*O23/B23</f>
        <v>20.099930922756201</v>
      </c>
      <c r="T23" s="2">
        <f>B23/4*P23</f>
        <v>215.14822155687202</v>
      </c>
      <c r="U23" s="6">
        <f t="shared" si="2"/>
        <v>171.134601</v>
      </c>
      <c r="V23" s="6">
        <f t="shared" si="0"/>
        <v>171.134601</v>
      </c>
      <c r="W23" s="6">
        <f t="shared" si="3"/>
        <v>171.134601</v>
      </c>
      <c r="X23" s="2">
        <f t="shared" si="4"/>
        <v>42.783650250000001</v>
      </c>
    </row>
    <row r="24" spans="1:24">
      <c r="O24" s="6"/>
      <c r="U24" s="6"/>
      <c r="V24" s="6"/>
      <c r="W24" s="6"/>
      <c r="X24" s="2"/>
    </row>
    <row r="25" spans="1:24">
      <c r="O25" s="6"/>
      <c r="U25" s="6"/>
      <c r="V25" s="6"/>
      <c r="W25" s="6"/>
      <c r="X25" s="2"/>
    </row>
    <row r="26" spans="1:24">
      <c r="A26" t="s">
        <v>81</v>
      </c>
      <c r="B26" s="3">
        <v>250000</v>
      </c>
      <c r="C26" s="3" t="s">
        <v>24</v>
      </c>
      <c r="D26" s="3" t="s">
        <v>116</v>
      </c>
      <c r="E26" s="3">
        <v>0.1</v>
      </c>
      <c r="F26" s="3">
        <v>0.1</v>
      </c>
      <c r="G26">
        <f>F26</f>
        <v>0.1</v>
      </c>
      <c r="H26" s="3">
        <f>0.25*G26</f>
        <v>2.5000000000000001E-2</v>
      </c>
      <c r="I26" s="3">
        <v>1</v>
      </c>
      <c r="J26" s="3" t="s">
        <v>26</v>
      </c>
      <c r="K26" s="3" t="s">
        <v>27</v>
      </c>
      <c r="L26">
        <v>0.1</v>
      </c>
      <c r="M26" s="6">
        <f>L26/H26</f>
        <v>4</v>
      </c>
      <c r="N26" s="6">
        <v>5185.8969999999999</v>
      </c>
      <c r="O26" s="6">
        <v>4449.5032680837103</v>
      </c>
      <c r="P26">
        <f>8*(N26/B26)^2</f>
        <v>3.4423715449099523E-3</v>
      </c>
      <c r="Q26" s="7">
        <f>8*(O26/B26)^2</f>
        <v>2.5341541545840151E-3</v>
      </c>
      <c r="R26" s="8">
        <f>(Q26-P26)/P26</f>
        <v>-0.26383479484335992</v>
      </c>
      <c r="S26" s="6">
        <f>500*2*O26/B26</f>
        <v>17.79801307233484</v>
      </c>
      <c r="T26" s="2">
        <f>B26/4*P26</f>
        <v>215.14822155687202</v>
      </c>
      <c r="U26" s="6">
        <f t="shared" si="2"/>
        <v>518.58969999999999</v>
      </c>
      <c r="V26" s="6">
        <f t="shared" si="0"/>
        <v>518.58969999999999</v>
      </c>
      <c r="W26" s="6">
        <f t="shared" si="3"/>
        <v>518.58969999999999</v>
      </c>
      <c r="X26" s="2">
        <f t="shared" si="4"/>
        <v>129.647425</v>
      </c>
    </row>
    <row r="27" spans="1:24">
      <c r="A27" t="s">
        <v>81</v>
      </c>
      <c r="B27" s="3">
        <v>250000</v>
      </c>
      <c r="C27" s="3" t="s">
        <v>24</v>
      </c>
      <c r="D27" s="3" t="s">
        <v>117</v>
      </c>
      <c r="E27" s="3">
        <v>6.7000000000000004E-2</v>
      </c>
      <c r="F27" s="3">
        <v>6.7000000000000004E-2</v>
      </c>
      <c r="G27">
        <f>F27</f>
        <v>6.7000000000000004E-2</v>
      </c>
      <c r="H27" s="3">
        <f>0.25*G27</f>
        <v>1.6750000000000001E-2</v>
      </c>
      <c r="I27" s="3">
        <v>1</v>
      </c>
      <c r="J27" s="3" t="s">
        <v>26</v>
      </c>
      <c r="K27" s="3" t="s">
        <v>27</v>
      </c>
      <c r="L27">
        <v>0.1</v>
      </c>
      <c r="M27" s="6">
        <f>L27/H27</f>
        <v>5.9701492537313436</v>
      </c>
      <c r="N27" s="6">
        <v>5185.8969999999999</v>
      </c>
      <c r="O27" s="6">
        <v>4920.5720290005802</v>
      </c>
      <c r="P27">
        <f>8*(N27/B27)^2</f>
        <v>3.4423715449099523E-3</v>
      </c>
      <c r="Q27" s="7">
        <f>8*(O27/B27)^2</f>
        <v>3.0991397238506095E-3</v>
      </c>
      <c r="R27" s="8">
        <f t="shared" ref="R27:R29" si="8">(Q27-P27)/P27</f>
        <v>-9.9707953247191158E-2</v>
      </c>
      <c r="S27" s="6">
        <f>500*2*O27/B27</f>
        <v>19.682288116002322</v>
      </c>
      <c r="T27" s="2">
        <f>B27/4*P27</f>
        <v>215.14822155687202</v>
      </c>
      <c r="U27" s="6">
        <f t="shared" si="2"/>
        <v>347.45509900000002</v>
      </c>
      <c r="V27" s="6">
        <f t="shared" si="0"/>
        <v>347.45509900000002</v>
      </c>
      <c r="W27" s="6">
        <f t="shared" si="3"/>
        <v>347.45509900000002</v>
      </c>
      <c r="X27" s="2">
        <f t="shared" si="4"/>
        <v>86.863774750000005</v>
      </c>
    </row>
    <row r="28" spans="1:24">
      <c r="A28" t="s">
        <v>81</v>
      </c>
      <c r="B28" s="3">
        <v>250000</v>
      </c>
      <c r="C28" s="3" t="s">
        <v>24</v>
      </c>
      <c r="D28" s="3" t="s">
        <v>118</v>
      </c>
      <c r="E28" s="3">
        <v>0.05</v>
      </c>
      <c r="F28" s="3">
        <v>0.05</v>
      </c>
      <c r="G28">
        <f>F28</f>
        <v>0.05</v>
      </c>
      <c r="H28" s="3">
        <f>0.25*G28</f>
        <v>1.2500000000000001E-2</v>
      </c>
      <c r="I28" s="3">
        <v>1</v>
      </c>
      <c r="J28" s="3" t="s">
        <v>26</v>
      </c>
      <c r="K28" s="3" t="s">
        <v>27</v>
      </c>
      <c r="L28">
        <v>0.1</v>
      </c>
      <c r="M28" s="6">
        <f>L28/H28</f>
        <v>8</v>
      </c>
      <c r="N28" s="6">
        <v>5185.8969999999999</v>
      </c>
      <c r="O28" s="6">
        <v>5123.7630065744997</v>
      </c>
      <c r="P28">
        <f>8*(N28/B28)^2</f>
        <v>3.4423715449099523E-3</v>
      </c>
      <c r="Q28" s="7">
        <f>8*(O28/B28)^2</f>
        <v>3.3603772604852934E-3</v>
      </c>
      <c r="R28" s="8">
        <f t="shared" si="8"/>
        <v>-2.3819126830135286E-2</v>
      </c>
      <c r="S28" s="6">
        <f>500*2*O28/B28</f>
        <v>20.495052026297998</v>
      </c>
      <c r="T28" s="2">
        <f>B28/4*P28</f>
        <v>215.14822155687202</v>
      </c>
      <c r="U28" s="6">
        <f t="shared" si="2"/>
        <v>259.29485</v>
      </c>
      <c r="V28" s="6">
        <f t="shared" si="0"/>
        <v>259.29485</v>
      </c>
      <c r="W28" s="6">
        <f t="shared" si="3"/>
        <v>259.29485</v>
      </c>
      <c r="X28" s="2">
        <f t="shared" si="4"/>
        <v>64.823712499999999</v>
      </c>
    </row>
    <row r="29" spans="1:24">
      <c r="A29" t="s">
        <v>81</v>
      </c>
      <c r="B29" s="3">
        <v>250000</v>
      </c>
      <c r="C29" s="3" t="s">
        <v>24</v>
      </c>
      <c r="D29" s="3" t="s">
        <v>119</v>
      </c>
      <c r="E29" s="3">
        <v>3.3000000000000002E-2</v>
      </c>
      <c r="F29" s="3">
        <v>3.3000000000000002E-2</v>
      </c>
      <c r="G29">
        <f>F29</f>
        <v>3.3000000000000002E-2</v>
      </c>
      <c r="H29" s="3">
        <f>0.25*G29</f>
        <v>8.2500000000000004E-3</v>
      </c>
      <c r="I29" s="3">
        <v>1</v>
      </c>
      <c r="J29" s="3" t="s">
        <v>26</v>
      </c>
      <c r="K29" s="3" t="s">
        <v>27</v>
      </c>
      <c r="L29">
        <v>0.1</v>
      </c>
      <c r="M29" s="6">
        <f>L29/H29</f>
        <v>12.121212121212121</v>
      </c>
      <c r="N29" s="6">
        <v>5185.8969999999999</v>
      </c>
      <c r="O29" s="6">
        <v>5206.2071308491204</v>
      </c>
      <c r="P29">
        <f>8*(N29/B29)^2</f>
        <v>3.4423715449099523E-3</v>
      </c>
      <c r="Q29" s="7">
        <f>8*(O29/B29)^2</f>
        <v>3.4693878642309416E-3</v>
      </c>
      <c r="R29" s="8">
        <f t="shared" si="8"/>
        <v>7.8481706487891611E-3</v>
      </c>
      <c r="S29" s="6">
        <f>500*2*O29/B29</f>
        <v>20.82482852339648</v>
      </c>
      <c r="T29" s="2">
        <f>B29/4*P29</f>
        <v>215.14822155687202</v>
      </c>
      <c r="U29" s="6">
        <f t="shared" si="2"/>
        <v>171.134601</v>
      </c>
      <c r="V29" s="6">
        <f t="shared" si="0"/>
        <v>171.134601</v>
      </c>
      <c r="W29" s="6">
        <f t="shared" si="3"/>
        <v>171.134601</v>
      </c>
      <c r="X29" s="2">
        <f t="shared" si="4"/>
        <v>42.783650250000001</v>
      </c>
    </row>
    <row r="30" spans="1:24">
      <c r="O30" s="6"/>
      <c r="U30" s="6"/>
      <c r="V30" s="6"/>
      <c r="W30" s="6"/>
      <c r="X30" s="2"/>
    </row>
    <row r="31" spans="1:24">
      <c r="O31" s="6"/>
      <c r="U31" s="6"/>
      <c r="V31" s="6"/>
      <c r="W31" s="6"/>
      <c r="X31" s="2"/>
    </row>
    <row r="32" spans="1:24">
      <c r="A32" t="s">
        <v>82</v>
      </c>
      <c r="B32" s="3">
        <v>250000</v>
      </c>
      <c r="C32" s="3" t="s">
        <v>24</v>
      </c>
      <c r="D32" s="3" t="s">
        <v>116</v>
      </c>
      <c r="E32" s="3">
        <v>0.1</v>
      </c>
      <c r="F32" s="3">
        <v>0.1</v>
      </c>
      <c r="G32">
        <f>F32</f>
        <v>0.1</v>
      </c>
      <c r="H32" s="3">
        <f>0.25*G32</f>
        <v>2.5000000000000001E-2</v>
      </c>
      <c r="I32" s="3">
        <v>1</v>
      </c>
      <c r="J32" s="3" t="s">
        <v>26</v>
      </c>
      <c r="K32" s="3" t="s">
        <v>27</v>
      </c>
      <c r="L32">
        <v>0.1</v>
      </c>
      <c r="M32" s="6">
        <f>L32/H32</f>
        <v>4</v>
      </c>
      <c r="N32" s="6">
        <v>5185.8969999999999</v>
      </c>
      <c r="O32" s="6">
        <v>4968.7044767222396</v>
      </c>
      <c r="P32">
        <f>8*(N32/B32)^2</f>
        <v>3.4423715449099523E-3</v>
      </c>
      <c r="Q32" s="7">
        <f>8*(O32/B32)^2</f>
        <v>3.1600670946559523E-3</v>
      </c>
      <c r="R32" s="8">
        <f>(Q32-P32)/P32</f>
        <v>-8.2008710149672329E-2</v>
      </c>
      <c r="S32" s="6">
        <f>500*2*O32/B32</f>
        <v>19.874817906888957</v>
      </c>
      <c r="T32" s="2">
        <f>B32/4*P32</f>
        <v>215.14822155687202</v>
      </c>
      <c r="U32" s="6">
        <f t="shared" ref="U32:U59" si="9">E32*N32</f>
        <v>518.58969999999999</v>
      </c>
      <c r="V32" s="6">
        <f t="shared" si="0"/>
        <v>518.58969999999999</v>
      </c>
      <c r="W32" s="6">
        <f t="shared" ref="W32:W59" si="10">G32*N32</f>
        <v>518.58969999999999</v>
      </c>
      <c r="X32" s="2">
        <f t="shared" ref="X32:X59" si="11">H32*N32</f>
        <v>129.647425</v>
      </c>
    </row>
    <row r="33" spans="1:24">
      <c r="A33" t="s">
        <v>82</v>
      </c>
      <c r="B33" s="3">
        <v>250000</v>
      </c>
      <c r="C33" s="3" t="s">
        <v>24</v>
      </c>
      <c r="D33" s="3" t="s">
        <v>117</v>
      </c>
      <c r="E33" s="3">
        <v>6.7000000000000004E-2</v>
      </c>
      <c r="F33" s="3">
        <v>6.7000000000000004E-2</v>
      </c>
      <c r="G33">
        <f>F33</f>
        <v>6.7000000000000004E-2</v>
      </c>
      <c r="H33" s="3">
        <f>0.25*G33</f>
        <v>1.6750000000000001E-2</v>
      </c>
      <c r="I33" s="3">
        <v>1</v>
      </c>
      <c r="J33" s="3" t="s">
        <v>26</v>
      </c>
      <c r="K33" s="3" t="s">
        <v>27</v>
      </c>
      <c r="L33">
        <v>0.1</v>
      </c>
      <c r="M33" s="6">
        <f>L33/H33</f>
        <v>5.9701492537313436</v>
      </c>
      <c r="N33" s="6">
        <v>5185.8969999999999</v>
      </c>
      <c r="O33" s="6">
        <v>5151.55007882885</v>
      </c>
      <c r="P33">
        <f>8*(N33/B33)^2</f>
        <v>3.4423715449099523E-3</v>
      </c>
      <c r="Q33" s="7">
        <f>8*(O33/B33)^2</f>
        <v>3.3969239314792362E-3</v>
      </c>
      <c r="R33" s="8">
        <f t="shared" ref="R33:R35" si="12">(Q33-P33)/P33</f>
        <v>-1.3202413753947324E-2</v>
      </c>
      <c r="S33" s="6">
        <f>500*2*O33/B33</f>
        <v>20.606200315315398</v>
      </c>
      <c r="T33" s="2">
        <f>B33/4*P33</f>
        <v>215.14822155687202</v>
      </c>
      <c r="U33" s="6">
        <f t="shared" si="9"/>
        <v>347.45509900000002</v>
      </c>
      <c r="V33" s="6">
        <f t="shared" si="0"/>
        <v>347.45509900000002</v>
      </c>
      <c r="W33" s="6">
        <f t="shared" si="10"/>
        <v>347.45509900000002</v>
      </c>
      <c r="X33" s="2">
        <f t="shared" si="11"/>
        <v>86.863774750000005</v>
      </c>
    </row>
    <row r="34" spans="1:24">
      <c r="A34" t="s">
        <v>82</v>
      </c>
      <c r="B34" s="3">
        <v>250000</v>
      </c>
      <c r="C34" s="3" t="s">
        <v>24</v>
      </c>
      <c r="D34" s="3" t="s">
        <v>118</v>
      </c>
      <c r="E34" s="3">
        <v>0.05</v>
      </c>
      <c r="F34" s="3">
        <v>0.05</v>
      </c>
      <c r="G34">
        <f>F34</f>
        <v>0.05</v>
      </c>
      <c r="H34" s="3">
        <f>0.25*G34</f>
        <v>1.2500000000000001E-2</v>
      </c>
      <c r="I34" s="3">
        <v>1</v>
      </c>
      <c r="J34" s="3" t="s">
        <v>26</v>
      </c>
      <c r="K34" s="3" t="s">
        <v>27</v>
      </c>
      <c r="L34">
        <v>0.1</v>
      </c>
      <c r="M34" s="6">
        <f>L34/H34</f>
        <v>8</v>
      </c>
      <c r="N34" s="6">
        <v>5185.8969999999999</v>
      </c>
      <c r="O34" s="6">
        <v>5154.6921491920903</v>
      </c>
      <c r="P34">
        <f>8*(N34/B34)^2</f>
        <v>3.4423715449099523E-3</v>
      </c>
      <c r="Q34" s="7">
        <f>8*(O34/B34)^2</f>
        <v>3.4010689475766484E-3</v>
      </c>
      <c r="R34" s="8">
        <f t="shared" si="12"/>
        <v>-1.1998297334979957E-2</v>
      </c>
      <c r="S34" s="6">
        <f>500*2*O34/B34</f>
        <v>20.618768596768362</v>
      </c>
      <c r="T34" s="2">
        <f>B34/4*P34</f>
        <v>215.14822155687202</v>
      </c>
      <c r="U34" s="6">
        <f t="shared" si="9"/>
        <v>259.29485</v>
      </c>
      <c r="V34" s="6">
        <f t="shared" si="0"/>
        <v>259.29485</v>
      </c>
      <c r="W34" s="6">
        <f t="shared" si="10"/>
        <v>259.29485</v>
      </c>
      <c r="X34" s="2">
        <f t="shared" si="11"/>
        <v>64.823712499999999</v>
      </c>
    </row>
    <row r="35" spans="1:24">
      <c r="A35" t="s">
        <v>82</v>
      </c>
      <c r="B35" s="3">
        <v>250000</v>
      </c>
      <c r="C35" s="3" t="s">
        <v>24</v>
      </c>
      <c r="D35" s="3" t="s">
        <v>119</v>
      </c>
      <c r="E35" s="3">
        <v>3.3000000000000002E-2</v>
      </c>
      <c r="F35" s="3">
        <v>3.3000000000000002E-2</v>
      </c>
      <c r="G35">
        <f>F35</f>
        <v>3.3000000000000002E-2</v>
      </c>
      <c r="H35" s="3">
        <f>0.25*G35</f>
        <v>8.2500000000000004E-3</v>
      </c>
      <c r="I35" s="3">
        <v>1</v>
      </c>
      <c r="J35" s="3" t="s">
        <v>26</v>
      </c>
      <c r="K35" s="3" t="s">
        <v>27</v>
      </c>
      <c r="L35">
        <v>0.1</v>
      </c>
      <c r="M35" s="6">
        <f>L35/H35</f>
        <v>12.121212121212121</v>
      </c>
      <c r="N35" s="6">
        <v>5185.8969999999999</v>
      </c>
      <c r="O35" s="6">
        <v>5164.9259814324196</v>
      </c>
      <c r="P35">
        <f>8*(N35/B35)^2</f>
        <v>3.4423715449099523E-3</v>
      </c>
      <c r="Q35" s="7">
        <f>8*(O35/B35)^2</f>
        <v>3.4145869303904824E-3</v>
      </c>
      <c r="R35" s="8">
        <f t="shared" si="12"/>
        <v>-8.0713584100337785E-3</v>
      </c>
      <c r="S35" s="6">
        <f>500*2*O35/B35</f>
        <v>20.659703925729676</v>
      </c>
      <c r="T35" s="2">
        <f>B35/4*P35</f>
        <v>215.14822155687202</v>
      </c>
      <c r="U35" s="6">
        <f t="shared" si="9"/>
        <v>171.134601</v>
      </c>
      <c r="V35" s="6">
        <f t="shared" si="0"/>
        <v>171.134601</v>
      </c>
      <c r="W35" s="6">
        <f t="shared" si="10"/>
        <v>171.134601</v>
      </c>
      <c r="X35" s="2">
        <f t="shared" si="11"/>
        <v>42.783650250000001</v>
      </c>
    </row>
    <row r="36" spans="1:24">
      <c r="O36" s="6"/>
      <c r="U36" s="6"/>
      <c r="V36" s="6"/>
      <c r="W36" s="6"/>
      <c r="X36" s="2"/>
    </row>
    <row r="37" spans="1:24">
      <c r="O37" s="6"/>
      <c r="U37" s="6"/>
      <c r="V37" s="6"/>
      <c r="W37" s="6"/>
      <c r="X37" s="2"/>
    </row>
    <row r="38" spans="1:24">
      <c r="A38" t="s">
        <v>36</v>
      </c>
      <c r="B38" s="3">
        <v>250000</v>
      </c>
      <c r="C38" s="3" t="s">
        <v>24</v>
      </c>
      <c r="D38" s="3" t="s">
        <v>116</v>
      </c>
      <c r="E38" s="3">
        <v>0.1</v>
      </c>
      <c r="F38" s="3">
        <v>0.1</v>
      </c>
      <c r="G38">
        <f>F38</f>
        <v>0.1</v>
      </c>
      <c r="H38" s="3">
        <f>0.25*G38</f>
        <v>2.5000000000000001E-2</v>
      </c>
      <c r="I38" s="3">
        <v>1</v>
      </c>
      <c r="J38" s="3" t="s">
        <v>26</v>
      </c>
      <c r="K38" s="3" t="s">
        <v>27</v>
      </c>
      <c r="L38">
        <v>0.1</v>
      </c>
      <c r="M38" s="6">
        <f>L38/H38</f>
        <v>4</v>
      </c>
      <c r="N38" s="6">
        <v>5185.8969999999999</v>
      </c>
      <c r="O38" s="6">
        <v>4860.27441469514</v>
      </c>
      <c r="P38">
        <f>8*(N38/B38)^2</f>
        <v>3.4423715449099523E-3</v>
      </c>
      <c r="Q38" s="7">
        <f>8*(O38/B38)^2</f>
        <v>3.0236502254259432E-3</v>
      </c>
      <c r="R38" s="8">
        <f>(Q38-P38)/P38</f>
        <v>-0.12163745662583968</v>
      </c>
      <c r="S38" s="6">
        <f>500*2*O38/B38</f>
        <v>19.44109765878056</v>
      </c>
      <c r="T38" s="2">
        <f>B38/4*P38</f>
        <v>215.14822155687202</v>
      </c>
      <c r="U38" s="6">
        <f t="shared" si="9"/>
        <v>518.58969999999999</v>
      </c>
      <c r="V38" s="6">
        <f t="shared" si="0"/>
        <v>518.58969999999999</v>
      </c>
      <c r="W38" s="6">
        <f t="shared" si="10"/>
        <v>518.58969999999999</v>
      </c>
      <c r="X38" s="2">
        <f t="shared" si="11"/>
        <v>129.647425</v>
      </c>
    </row>
    <row r="39" spans="1:24">
      <c r="A39" t="s">
        <v>36</v>
      </c>
      <c r="B39" s="3">
        <v>250000</v>
      </c>
      <c r="C39" s="3" t="s">
        <v>24</v>
      </c>
      <c r="D39" s="3" t="s">
        <v>117</v>
      </c>
      <c r="E39" s="3">
        <v>6.7000000000000004E-2</v>
      </c>
      <c r="F39" s="3">
        <v>6.7000000000000004E-2</v>
      </c>
      <c r="G39">
        <f>F39</f>
        <v>6.7000000000000004E-2</v>
      </c>
      <c r="H39" s="3">
        <f>0.25*G39</f>
        <v>1.6750000000000001E-2</v>
      </c>
      <c r="I39" s="3">
        <v>1</v>
      </c>
      <c r="J39" s="3" t="s">
        <v>26</v>
      </c>
      <c r="K39" s="3" t="s">
        <v>27</v>
      </c>
      <c r="L39">
        <v>0.1</v>
      </c>
      <c r="M39" s="6">
        <f>L39/H39</f>
        <v>5.9701492537313436</v>
      </c>
      <c r="N39" s="6">
        <v>5185.8969999999999</v>
      </c>
      <c r="O39" s="6">
        <v>5115.32676697441</v>
      </c>
      <c r="P39">
        <f>8*(N39/B39)^2</f>
        <v>3.4423715449099523E-3</v>
      </c>
      <c r="Q39" s="7">
        <f>8*(O39/B39)^2</f>
        <v>3.3493206954143834E-3</v>
      </c>
      <c r="R39" s="8">
        <f t="shared" ref="R39:R41" si="13">(Q39-P39)/P39</f>
        <v>-2.7031030288743259E-2</v>
      </c>
      <c r="S39" s="6">
        <f>500*2*O39/B39</f>
        <v>20.461307067897639</v>
      </c>
      <c r="T39" s="2">
        <f>B39/4*P39</f>
        <v>215.14822155687202</v>
      </c>
      <c r="U39" s="6">
        <f t="shared" si="9"/>
        <v>347.45509900000002</v>
      </c>
      <c r="V39" s="6">
        <f t="shared" si="0"/>
        <v>347.45509900000002</v>
      </c>
      <c r="W39" s="6">
        <f t="shared" si="10"/>
        <v>347.45509900000002</v>
      </c>
      <c r="X39" s="2">
        <f t="shared" si="11"/>
        <v>86.863774750000005</v>
      </c>
    </row>
    <row r="40" spans="1:24">
      <c r="A40" t="s">
        <v>36</v>
      </c>
      <c r="B40" s="3">
        <v>250000</v>
      </c>
      <c r="C40" s="3" t="s">
        <v>24</v>
      </c>
      <c r="D40" s="3" t="s">
        <v>118</v>
      </c>
      <c r="E40" s="3">
        <v>0.05</v>
      </c>
      <c r="F40" s="3">
        <v>0.05</v>
      </c>
      <c r="G40">
        <f>F40</f>
        <v>0.05</v>
      </c>
      <c r="H40" s="3">
        <f>0.25*G40</f>
        <v>1.2500000000000001E-2</v>
      </c>
      <c r="I40" s="3">
        <v>1</v>
      </c>
      <c r="J40" s="3" t="s">
        <v>26</v>
      </c>
      <c r="K40" s="3" t="s">
        <v>27</v>
      </c>
      <c r="L40">
        <v>0.1</v>
      </c>
      <c r="M40" s="6">
        <f>L40/H40</f>
        <v>8</v>
      </c>
      <c r="N40" s="6">
        <v>5185.8969999999999</v>
      </c>
      <c r="O40" s="6">
        <v>5125.0459836528198</v>
      </c>
      <c r="P40">
        <f>8*(N40/B40)^2</f>
        <v>3.4423715449099523E-3</v>
      </c>
      <c r="Q40" s="7">
        <f>8*(O40/B40)^2</f>
        <v>3.3620603308231549E-3</v>
      </c>
      <c r="R40" s="8">
        <f t="shared" si="13"/>
        <v>-2.3330199264965799E-2</v>
      </c>
      <c r="S40" s="6">
        <f>500*2*O40/B40</f>
        <v>20.500183934611279</v>
      </c>
      <c r="T40" s="2">
        <f>B40/4*P40</f>
        <v>215.14822155687202</v>
      </c>
      <c r="U40" s="6">
        <f t="shared" si="9"/>
        <v>259.29485</v>
      </c>
      <c r="V40" s="6">
        <f t="shared" si="0"/>
        <v>259.29485</v>
      </c>
      <c r="W40" s="6">
        <f t="shared" si="10"/>
        <v>259.29485</v>
      </c>
      <c r="X40" s="2">
        <f t="shared" si="11"/>
        <v>64.823712499999999</v>
      </c>
    </row>
    <row r="41" spans="1:24">
      <c r="A41" t="s">
        <v>36</v>
      </c>
      <c r="B41" s="3">
        <v>250000</v>
      </c>
      <c r="C41" s="3" t="s">
        <v>24</v>
      </c>
      <c r="D41" s="3" t="s">
        <v>119</v>
      </c>
      <c r="E41" s="3">
        <v>3.3000000000000002E-2</v>
      </c>
      <c r="F41" s="3">
        <v>3.3000000000000002E-2</v>
      </c>
      <c r="G41">
        <f>F41</f>
        <v>3.3000000000000002E-2</v>
      </c>
      <c r="H41" s="3">
        <f>0.25*G41</f>
        <v>8.2500000000000004E-3</v>
      </c>
      <c r="I41" s="3">
        <v>1</v>
      </c>
      <c r="J41" s="3" t="s">
        <v>26</v>
      </c>
      <c r="K41" s="3" t="s">
        <v>27</v>
      </c>
      <c r="L41">
        <v>0.1</v>
      </c>
      <c r="M41" s="6">
        <f>L41/H41</f>
        <v>12.121212121212121</v>
      </c>
      <c r="N41" s="6">
        <v>5185.8969999999999</v>
      </c>
      <c r="O41" s="6">
        <v>5082.5638219350403</v>
      </c>
      <c r="P41">
        <f>8*(N41/B41)^2</f>
        <v>3.4423715449099523E-3</v>
      </c>
      <c r="Q41" s="7">
        <f>8*(O41/B41)^2</f>
        <v>3.3065542405174937E-3</v>
      </c>
      <c r="R41" s="8">
        <f t="shared" si="13"/>
        <v>-3.9454574446876389E-2</v>
      </c>
      <c r="S41" s="6">
        <f>500*2*O41/B41</f>
        <v>20.330255287740158</v>
      </c>
      <c r="T41" s="2">
        <f>B41/4*P41</f>
        <v>215.14822155687202</v>
      </c>
      <c r="U41" s="6">
        <f t="shared" si="9"/>
        <v>171.134601</v>
      </c>
      <c r="V41" s="6">
        <f t="shared" si="0"/>
        <v>171.134601</v>
      </c>
      <c r="W41" s="6">
        <f t="shared" si="10"/>
        <v>171.134601</v>
      </c>
      <c r="X41" s="2">
        <f t="shared" si="11"/>
        <v>42.783650250000001</v>
      </c>
    </row>
    <row r="42" spans="1:24">
      <c r="O42" s="6"/>
      <c r="U42" s="6"/>
      <c r="V42" s="6"/>
      <c r="W42" s="6"/>
      <c r="X42" s="2"/>
    </row>
    <row r="43" spans="1:24">
      <c r="O43" s="6"/>
      <c r="U43" s="6"/>
      <c r="V43" s="6"/>
      <c r="W43" s="6"/>
      <c r="X43" s="2"/>
    </row>
    <row r="44" spans="1:24">
      <c r="A44" t="s">
        <v>83</v>
      </c>
      <c r="B44" s="3">
        <v>250000</v>
      </c>
      <c r="C44" s="3" t="s">
        <v>24</v>
      </c>
      <c r="D44" s="3" t="s">
        <v>116</v>
      </c>
      <c r="E44" s="3">
        <v>0.1</v>
      </c>
      <c r="F44" s="3">
        <v>0.1</v>
      </c>
      <c r="G44">
        <f>F44</f>
        <v>0.1</v>
      </c>
      <c r="H44" s="3">
        <f>0.25*G44</f>
        <v>2.5000000000000001E-2</v>
      </c>
      <c r="I44" s="3">
        <v>1</v>
      </c>
      <c r="J44" s="3" t="s">
        <v>26</v>
      </c>
      <c r="K44" s="3" t="s">
        <v>27</v>
      </c>
      <c r="L44">
        <v>0.1</v>
      </c>
      <c r="M44" s="6">
        <f>L44/H44</f>
        <v>4</v>
      </c>
      <c r="N44" s="6">
        <v>5185.8969999999999</v>
      </c>
      <c r="O44" s="6">
        <v>4861.1847284975702</v>
      </c>
      <c r="P44">
        <f>8*(N44/B44)^2</f>
        <v>3.4423715449099523E-3</v>
      </c>
      <c r="Q44" s="7">
        <f>8*(O44/B44)^2</f>
        <v>3.0247829714659838E-3</v>
      </c>
      <c r="R44" s="8">
        <f>(Q44-P44)/P44</f>
        <v>-0.12130839684096101</v>
      </c>
      <c r="S44" s="6">
        <f>500*2*O44/B44</f>
        <v>19.444738913990282</v>
      </c>
      <c r="T44" s="2">
        <f>B44/4*P44</f>
        <v>215.14822155687202</v>
      </c>
      <c r="U44" s="6">
        <f t="shared" si="9"/>
        <v>518.58969999999999</v>
      </c>
      <c r="V44" s="6">
        <f t="shared" si="0"/>
        <v>518.58969999999999</v>
      </c>
      <c r="W44" s="6">
        <f t="shared" si="10"/>
        <v>518.58969999999999</v>
      </c>
      <c r="X44" s="2">
        <f t="shared" si="11"/>
        <v>129.647425</v>
      </c>
    </row>
    <row r="45" spans="1:24">
      <c r="A45" t="s">
        <v>83</v>
      </c>
      <c r="B45" s="3">
        <v>250000</v>
      </c>
      <c r="C45" s="3" t="s">
        <v>24</v>
      </c>
      <c r="D45" s="3" t="s">
        <v>117</v>
      </c>
      <c r="E45" s="3">
        <v>6.7000000000000004E-2</v>
      </c>
      <c r="F45" s="3">
        <v>6.7000000000000004E-2</v>
      </c>
      <c r="G45">
        <f>F45</f>
        <v>6.7000000000000004E-2</v>
      </c>
      <c r="H45" s="3">
        <f>0.25*G45</f>
        <v>1.6750000000000001E-2</v>
      </c>
      <c r="I45" s="3">
        <v>1</v>
      </c>
      <c r="J45" s="3" t="s">
        <v>26</v>
      </c>
      <c r="K45" s="3" t="s">
        <v>27</v>
      </c>
      <c r="L45">
        <v>0.1</v>
      </c>
      <c r="M45" s="6">
        <f>L45/H45</f>
        <v>5.9701492537313436</v>
      </c>
      <c r="N45" s="6">
        <v>5185.8969999999999</v>
      </c>
      <c r="O45" s="6">
        <v>5114.3460867537297</v>
      </c>
      <c r="P45">
        <f>8*(N45/B45)^2</f>
        <v>3.4423715449099523E-3</v>
      </c>
      <c r="Q45" s="7">
        <f>8*(O45/B45)^2</f>
        <v>3.3480365945719281E-3</v>
      </c>
      <c r="R45" s="8">
        <f t="shared" ref="R45:R47" si="14">(Q45-P45)/P45</f>
        <v>-2.7404058250920682E-2</v>
      </c>
      <c r="S45" s="6">
        <f>500*2*O45/B45</f>
        <v>20.457384347014919</v>
      </c>
      <c r="T45" s="2">
        <f>B45/4*P45</f>
        <v>215.14822155687202</v>
      </c>
      <c r="U45" s="6">
        <f t="shared" si="9"/>
        <v>347.45509900000002</v>
      </c>
      <c r="V45" s="6">
        <f t="shared" si="0"/>
        <v>347.45509900000002</v>
      </c>
      <c r="W45" s="6">
        <f t="shared" si="10"/>
        <v>347.45509900000002</v>
      </c>
      <c r="X45" s="2">
        <f t="shared" si="11"/>
        <v>86.863774750000005</v>
      </c>
    </row>
    <row r="46" spans="1:24">
      <c r="A46" t="s">
        <v>83</v>
      </c>
      <c r="B46" s="3">
        <v>250000</v>
      </c>
      <c r="C46" s="3" t="s">
        <v>24</v>
      </c>
      <c r="D46" s="3" t="s">
        <v>118</v>
      </c>
      <c r="E46" s="3">
        <v>0.05</v>
      </c>
      <c r="F46" s="3">
        <v>0.05</v>
      </c>
      <c r="G46">
        <f>F46</f>
        <v>0.05</v>
      </c>
      <c r="H46" s="3">
        <f>0.25*G46</f>
        <v>1.2500000000000001E-2</v>
      </c>
      <c r="I46" s="3">
        <v>1</v>
      </c>
      <c r="J46" s="3" t="s">
        <v>26</v>
      </c>
      <c r="K46" s="3" t="s">
        <v>27</v>
      </c>
      <c r="L46">
        <v>0.1</v>
      </c>
      <c r="M46" s="6">
        <f>L46/H46</f>
        <v>8</v>
      </c>
      <c r="N46" s="6">
        <v>5185.8969999999999</v>
      </c>
      <c r="O46" s="6">
        <v>5128.4397753326903</v>
      </c>
      <c r="P46">
        <f>8*(N46/B46)^2</f>
        <v>3.4423715449099523E-3</v>
      </c>
      <c r="Q46" s="7">
        <f>8*(O46/B46)^2</f>
        <v>3.3665144997394457E-3</v>
      </c>
      <c r="R46" s="8">
        <f t="shared" si="14"/>
        <v>-2.2036274754441386E-2</v>
      </c>
      <c r="S46" s="6">
        <f>500*2*O46/B46</f>
        <v>20.513759101330759</v>
      </c>
      <c r="T46" s="2">
        <f>B46/4*P46</f>
        <v>215.14822155687202</v>
      </c>
      <c r="U46" s="6">
        <f t="shared" si="9"/>
        <v>259.29485</v>
      </c>
      <c r="V46" s="6">
        <f t="shared" si="0"/>
        <v>259.29485</v>
      </c>
      <c r="W46" s="6">
        <f t="shared" si="10"/>
        <v>259.29485</v>
      </c>
      <c r="X46" s="2">
        <f t="shared" si="11"/>
        <v>64.823712499999999</v>
      </c>
    </row>
    <row r="47" spans="1:24">
      <c r="A47" t="s">
        <v>83</v>
      </c>
      <c r="B47" s="3">
        <v>250000</v>
      </c>
      <c r="C47" s="3" t="s">
        <v>24</v>
      </c>
      <c r="D47" s="3" t="s">
        <v>119</v>
      </c>
      <c r="E47" s="3">
        <v>3.3000000000000002E-2</v>
      </c>
      <c r="F47" s="3">
        <v>3.3000000000000002E-2</v>
      </c>
      <c r="G47">
        <f>F47</f>
        <v>3.3000000000000002E-2</v>
      </c>
      <c r="H47" s="3">
        <f>0.25*G47</f>
        <v>8.2500000000000004E-3</v>
      </c>
      <c r="I47" s="3">
        <v>1</v>
      </c>
      <c r="J47" s="3" t="s">
        <v>26</v>
      </c>
      <c r="K47" s="3" t="s">
        <v>27</v>
      </c>
      <c r="L47">
        <v>0.1</v>
      </c>
      <c r="M47" s="6">
        <f>L47/H47</f>
        <v>12.121212121212121</v>
      </c>
      <c r="N47" s="6">
        <v>5185.8969999999999</v>
      </c>
      <c r="O47" s="6">
        <v>5071.0831041415604</v>
      </c>
      <c r="P47">
        <f>8*(N47/B47)^2</f>
        <v>3.4423715449099523E-3</v>
      </c>
      <c r="Q47" s="7">
        <f>8*(O47/B47)^2</f>
        <v>3.2916331326860804E-3</v>
      </c>
      <c r="R47" s="8">
        <f t="shared" si="14"/>
        <v>-4.3789117547976646E-2</v>
      </c>
      <c r="S47" s="6">
        <f>500*2*O47/B47</f>
        <v>20.28433241656624</v>
      </c>
      <c r="T47" s="2">
        <f>B47/4*P47</f>
        <v>215.14822155687202</v>
      </c>
      <c r="U47" s="6">
        <f t="shared" si="9"/>
        <v>171.134601</v>
      </c>
      <c r="V47" s="6">
        <f t="shared" si="0"/>
        <v>171.134601</v>
      </c>
      <c r="W47" s="6">
        <f t="shared" si="10"/>
        <v>171.134601</v>
      </c>
      <c r="X47" s="2">
        <f t="shared" si="11"/>
        <v>42.783650250000001</v>
      </c>
    </row>
    <row r="48" spans="1:24">
      <c r="O48" s="6"/>
      <c r="U48" s="6"/>
      <c r="V48" s="6"/>
      <c r="W48" s="6"/>
      <c r="X48" s="2"/>
    </row>
    <row r="49" spans="1:24">
      <c r="O49" s="6"/>
      <c r="U49" s="6"/>
      <c r="V49" s="6"/>
      <c r="W49" s="6"/>
      <c r="X49" s="2"/>
    </row>
    <row r="50" spans="1:24">
      <c r="A50" t="s">
        <v>84</v>
      </c>
      <c r="B50" s="3">
        <v>250000</v>
      </c>
      <c r="C50" s="3" t="s">
        <v>24</v>
      </c>
      <c r="D50" s="3" t="s">
        <v>116</v>
      </c>
      <c r="E50" s="3">
        <v>0.1</v>
      </c>
      <c r="F50" s="3">
        <v>0.1</v>
      </c>
      <c r="G50">
        <f>F50</f>
        <v>0.1</v>
      </c>
      <c r="H50" s="3">
        <f>0.25*G50</f>
        <v>2.5000000000000001E-2</v>
      </c>
      <c r="I50" s="3">
        <v>1</v>
      </c>
      <c r="J50" s="3" t="s">
        <v>26</v>
      </c>
      <c r="K50" s="3" t="s">
        <v>27</v>
      </c>
      <c r="L50">
        <v>0.1</v>
      </c>
      <c r="M50" s="6">
        <f>L50/H50</f>
        <v>4</v>
      </c>
      <c r="N50" s="6">
        <v>5185.8969999999999</v>
      </c>
      <c r="O50" s="6">
        <v>4839.8902912821904</v>
      </c>
      <c r="P50">
        <f>8*(N50/B50)^2</f>
        <v>3.4423715449099523E-3</v>
      </c>
      <c r="Q50" s="7">
        <f>8*(O50/B50)^2</f>
        <v>2.9983408680508937E-3</v>
      </c>
      <c r="R50" s="8">
        <f>(Q50-P50)/P50</f>
        <v>-0.12898975925931722</v>
      </c>
      <c r="S50" s="6">
        <f>500*2*O50/B50</f>
        <v>19.35956116512876</v>
      </c>
      <c r="T50" s="2">
        <f>B50/4*P50</f>
        <v>215.14822155687202</v>
      </c>
      <c r="U50" s="6">
        <f t="shared" si="9"/>
        <v>518.58969999999999</v>
      </c>
      <c r="V50" s="6">
        <f t="shared" si="0"/>
        <v>518.58969999999999</v>
      </c>
      <c r="W50" s="6">
        <f t="shared" si="10"/>
        <v>518.58969999999999</v>
      </c>
      <c r="X50" s="2">
        <f t="shared" si="11"/>
        <v>129.647425</v>
      </c>
    </row>
    <row r="51" spans="1:24">
      <c r="A51" t="s">
        <v>84</v>
      </c>
      <c r="B51" s="3">
        <v>250000</v>
      </c>
      <c r="C51" s="3" t="s">
        <v>24</v>
      </c>
      <c r="D51" s="3" t="s">
        <v>117</v>
      </c>
      <c r="E51" s="3">
        <v>6.7000000000000004E-2</v>
      </c>
      <c r="F51" s="3">
        <v>6.7000000000000004E-2</v>
      </c>
      <c r="G51">
        <f>F51</f>
        <v>6.7000000000000004E-2</v>
      </c>
      <c r="H51" s="3">
        <f>0.25*G51</f>
        <v>1.6750000000000001E-2</v>
      </c>
      <c r="I51" s="3">
        <v>1</v>
      </c>
      <c r="J51" s="3" t="s">
        <v>26</v>
      </c>
      <c r="K51" s="3" t="s">
        <v>27</v>
      </c>
      <c r="L51">
        <v>0.1</v>
      </c>
      <c r="M51" s="6">
        <f>L51/H51</f>
        <v>5.9701492537313436</v>
      </c>
      <c r="N51" s="6">
        <v>5185.8969999999999</v>
      </c>
      <c r="O51" s="6">
        <v>5098.0300379374303</v>
      </c>
      <c r="P51">
        <f>8*(N51/B51)^2</f>
        <v>3.4423715449099523E-3</v>
      </c>
      <c r="Q51" s="7">
        <f>8*(O51/B51)^2</f>
        <v>3.3267085142671764E-3</v>
      </c>
      <c r="R51" s="8">
        <f t="shared" ref="R51:R53" si="15">(Q51-P51)/P51</f>
        <v>-3.3599810227864714E-2</v>
      </c>
      <c r="S51" s="6">
        <f>500*2*O51/B51</f>
        <v>20.392120151749722</v>
      </c>
      <c r="T51" s="2">
        <f>B51/4*P51</f>
        <v>215.14822155687202</v>
      </c>
      <c r="U51" s="6">
        <f t="shared" si="9"/>
        <v>347.45509900000002</v>
      </c>
      <c r="V51" s="6">
        <f t="shared" si="0"/>
        <v>347.45509900000002</v>
      </c>
      <c r="W51" s="6">
        <f t="shared" si="10"/>
        <v>347.45509900000002</v>
      </c>
      <c r="X51" s="2">
        <f t="shared" si="11"/>
        <v>86.863774750000005</v>
      </c>
    </row>
    <row r="52" spans="1:24">
      <c r="A52" t="s">
        <v>84</v>
      </c>
      <c r="B52" s="3">
        <v>250000</v>
      </c>
      <c r="C52" s="3" t="s">
        <v>24</v>
      </c>
      <c r="D52" s="3" t="s">
        <v>118</v>
      </c>
      <c r="E52" s="3">
        <v>0.05</v>
      </c>
      <c r="F52" s="3">
        <v>0.05</v>
      </c>
      <c r="G52">
        <f>F52</f>
        <v>0.05</v>
      </c>
      <c r="H52" s="3">
        <f>0.25*G52</f>
        <v>1.2500000000000001E-2</v>
      </c>
      <c r="I52" s="3">
        <v>1</v>
      </c>
      <c r="J52" s="3" t="s">
        <v>26</v>
      </c>
      <c r="K52" s="3" t="s">
        <v>27</v>
      </c>
      <c r="L52">
        <v>0.1</v>
      </c>
      <c r="M52" s="6">
        <f>L52/H52</f>
        <v>8</v>
      </c>
      <c r="N52" s="6">
        <v>5185.8969999999999</v>
      </c>
      <c r="O52" s="6">
        <v>5115.2850269746104</v>
      </c>
      <c r="P52">
        <f>8*(N52/B52)^2</f>
        <v>3.4423715449099523E-3</v>
      </c>
      <c r="Q52" s="7">
        <f>8*(O52/B52)^2</f>
        <v>3.3492660361204023E-3</v>
      </c>
      <c r="R52" s="8">
        <f t="shared" si="15"/>
        <v>-2.7046908671790545E-2</v>
      </c>
      <c r="S52" s="6">
        <f>500*2*O52/B52</f>
        <v>20.461140107898441</v>
      </c>
      <c r="T52" s="2">
        <f>B52/4*P52</f>
        <v>215.14822155687202</v>
      </c>
      <c r="U52" s="6">
        <f t="shared" si="9"/>
        <v>259.29485</v>
      </c>
      <c r="V52" s="6">
        <f t="shared" si="0"/>
        <v>259.29485</v>
      </c>
      <c r="W52" s="6">
        <f t="shared" si="10"/>
        <v>259.29485</v>
      </c>
      <c r="X52" s="2">
        <f t="shared" si="11"/>
        <v>64.823712499999999</v>
      </c>
    </row>
    <row r="53" spans="1:24">
      <c r="A53" t="s">
        <v>84</v>
      </c>
      <c r="B53" s="3">
        <v>250000</v>
      </c>
      <c r="C53" s="3" t="s">
        <v>24</v>
      </c>
      <c r="D53" s="3" t="s">
        <v>119</v>
      </c>
      <c r="E53" s="3">
        <v>3.3000000000000002E-2</v>
      </c>
      <c r="F53" s="3">
        <v>3.3000000000000002E-2</v>
      </c>
      <c r="G53">
        <f>F53</f>
        <v>3.3000000000000002E-2</v>
      </c>
      <c r="H53" s="3">
        <f>0.25*G53</f>
        <v>8.2500000000000004E-3</v>
      </c>
      <c r="I53" s="3">
        <v>1</v>
      </c>
      <c r="J53" s="3" t="s">
        <v>26</v>
      </c>
      <c r="K53" s="3" t="s">
        <v>27</v>
      </c>
      <c r="L53">
        <v>0.1</v>
      </c>
      <c r="M53" s="6">
        <f>L53/H53</f>
        <v>12.121212121212121</v>
      </c>
      <c r="N53" s="6">
        <v>5185.8969999999999</v>
      </c>
      <c r="O53" s="6">
        <v>5085.5458759715702</v>
      </c>
      <c r="P53">
        <f>8*(N53/B53)^2</f>
        <v>3.4423715449099523E-3</v>
      </c>
      <c r="Q53" s="7">
        <f>8*(O53/B53)^2</f>
        <v>3.3104354376462647E-3</v>
      </c>
      <c r="R53" s="8">
        <f t="shared" si="15"/>
        <v>-3.8327096753624487E-2</v>
      </c>
      <c r="S53" s="6">
        <f>500*2*O53/B53</f>
        <v>20.342183503886282</v>
      </c>
      <c r="T53" s="2">
        <f>B53/4*P53</f>
        <v>215.14822155687202</v>
      </c>
      <c r="U53" s="6">
        <f t="shared" si="9"/>
        <v>171.134601</v>
      </c>
      <c r="V53" s="6">
        <f t="shared" si="0"/>
        <v>171.134601</v>
      </c>
      <c r="W53" s="6">
        <f t="shared" si="10"/>
        <v>171.134601</v>
      </c>
      <c r="X53" s="2">
        <f t="shared" si="11"/>
        <v>42.783650250000001</v>
      </c>
    </row>
    <row r="54" spans="1:24">
      <c r="O54" s="6"/>
      <c r="U54" s="6"/>
      <c r="V54" s="6"/>
      <c r="W54" s="6"/>
      <c r="X54" s="2"/>
    </row>
    <row r="55" spans="1:24">
      <c r="O55" s="6"/>
      <c r="U55" s="6"/>
      <c r="V55" s="6"/>
      <c r="W55" s="6"/>
      <c r="X55" s="2"/>
    </row>
    <row r="56" spans="1:24">
      <c r="A56" t="s">
        <v>85</v>
      </c>
      <c r="B56" s="3">
        <v>250000</v>
      </c>
      <c r="C56" s="3" t="s">
        <v>86</v>
      </c>
      <c r="D56" s="3" t="s">
        <v>133</v>
      </c>
      <c r="E56" s="3">
        <v>0.1</v>
      </c>
      <c r="F56" s="3">
        <v>0.1</v>
      </c>
      <c r="G56">
        <f>F56</f>
        <v>0.1</v>
      </c>
      <c r="H56" s="3">
        <f>0.25*G56</f>
        <v>2.5000000000000001E-2</v>
      </c>
      <c r="I56" s="3">
        <v>1</v>
      </c>
      <c r="J56" s="3" t="s">
        <v>26</v>
      </c>
      <c r="K56" s="3" t="s">
        <v>27</v>
      </c>
      <c r="L56">
        <v>0.1</v>
      </c>
      <c r="M56" s="6">
        <f>L56/H56</f>
        <v>4</v>
      </c>
      <c r="N56" s="6">
        <v>5185.8969999999999</v>
      </c>
      <c r="O56" s="6">
        <v>4865.4971166567602</v>
      </c>
      <c r="P56">
        <f>8*(N56/B56)^2</f>
        <v>3.4423715449099523E-3</v>
      </c>
      <c r="Q56" s="7">
        <f>8*(O56/B56)^2</f>
        <v>3.030151960600992E-3</v>
      </c>
      <c r="R56" s="8">
        <f>(Q56-P56)/P56</f>
        <v>-0.11974871943108145</v>
      </c>
      <c r="S56" s="6">
        <f>500*2*O56/B56</f>
        <v>19.461988466627044</v>
      </c>
      <c r="T56" s="2">
        <f>B56/4*P56</f>
        <v>215.14822155687202</v>
      </c>
      <c r="U56" s="6">
        <f t="shared" si="9"/>
        <v>518.58969999999999</v>
      </c>
      <c r="V56" s="6">
        <f t="shared" si="0"/>
        <v>518.58969999999999</v>
      </c>
      <c r="W56" s="6">
        <f t="shared" si="10"/>
        <v>518.58969999999999</v>
      </c>
      <c r="X56" s="2">
        <f t="shared" si="11"/>
        <v>129.647425</v>
      </c>
    </row>
    <row r="57" spans="1:24">
      <c r="A57" t="s">
        <v>85</v>
      </c>
      <c r="B57" s="3">
        <v>250000</v>
      </c>
      <c r="C57" s="3" t="s">
        <v>86</v>
      </c>
      <c r="D57" s="3" t="s">
        <v>134</v>
      </c>
      <c r="E57" s="3">
        <v>6.7000000000000004E-2</v>
      </c>
      <c r="F57" s="3">
        <v>6.7000000000000004E-2</v>
      </c>
      <c r="G57">
        <f>F57</f>
        <v>6.7000000000000004E-2</v>
      </c>
      <c r="H57" s="3">
        <f>0.25*G57</f>
        <v>1.6750000000000001E-2</v>
      </c>
      <c r="I57" s="3">
        <v>1</v>
      </c>
      <c r="J57" s="3" t="s">
        <v>26</v>
      </c>
      <c r="K57" s="3" t="s">
        <v>27</v>
      </c>
      <c r="L57">
        <v>0.1</v>
      </c>
      <c r="M57" s="6">
        <f>L57/H57</f>
        <v>5.9701492537313436</v>
      </c>
      <c r="N57" s="6">
        <v>5185.8969999999999</v>
      </c>
      <c r="O57" s="6">
        <v>5122.4277977756801</v>
      </c>
      <c r="P57">
        <f>8*(N57/B57)^2</f>
        <v>3.4423715449099523E-3</v>
      </c>
      <c r="Q57" s="7">
        <f>8*(O57/B57)^2</f>
        <v>3.3586261175584009E-3</v>
      </c>
      <c r="R57" s="8">
        <f t="shared" ref="R57:R59" si="16">(Q57-P57)/P57</f>
        <v>-2.4327829305753234E-2</v>
      </c>
      <c r="S57" s="6">
        <f>500*2*O57/B57</f>
        <v>20.489711191102721</v>
      </c>
      <c r="T57" s="2">
        <f>B57/4*P57</f>
        <v>215.14822155687202</v>
      </c>
      <c r="U57" s="6">
        <f t="shared" si="9"/>
        <v>347.45509900000002</v>
      </c>
      <c r="V57" s="6">
        <f t="shared" si="0"/>
        <v>347.45509900000002</v>
      </c>
      <c r="W57" s="6">
        <f t="shared" si="10"/>
        <v>347.45509900000002</v>
      </c>
      <c r="X57" s="2">
        <f t="shared" si="11"/>
        <v>86.863774750000005</v>
      </c>
    </row>
    <row r="58" spans="1:24">
      <c r="A58" t="s">
        <v>85</v>
      </c>
      <c r="B58" s="3">
        <v>250000</v>
      </c>
      <c r="C58" s="3" t="s">
        <v>86</v>
      </c>
      <c r="D58" s="3" t="s">
        <v>135</v>
      </c>
      <c r="E58" s="3">
        <v>0.05</v>
      </c>
      <c r="F58" s="3">
        <v>0.05</v>
      </c>
      <c r="G58">
        <f>F58</f>
        <v>0.05</v>
      </c>
      <c r="H58" s="3">
        <f>0.25*G58</f>
        <v>1.2500000000000001E-2</v>
      </c>
      <c r="I58" s="3">
        <v>1</v>
      </c>
      <c r="J58" s="3" t="s">
        <v>26</v>
      </c>
      <c r="K58" s="3" t="s">
        <v>27</v>
      </c>
      <c r="L58">
        <v>0.1</v>
      </c>
      <c r="M58" s="6">
        <f>L58/H58</f>
        <v>8</v>
      </c>
      <c r="N58" s="6">
        <v>5185.8969999999999</v>
      </c>
      <c r="O58" s="6">
        <v>5140.7578715457903</v>
      </c>
      <c r="P58">
        <f>8*(N58/B58)^2</f>
        <v>3.4423715449099523E-3</v>
      </c>
      <c r="Q58" s="7">
        <f>8*(O58/B58)^2</f>
        <v>3.382706111214081E-3</v>
      </c>
      <c r="R58" s="8">
        <f t="shared" si="16"/>
        <v>-1.7332653642252921E-2</v>
      </c>
      <c r="S58" s="6">
        <f>500*2*O58/B58</f>
        <v>20.563031486183164</v>
      </c>
      <c r="T58" s="2">
        <f>B58/4*P58</f>
        <v>215.14822155687202</v>
      </c>
      <c r="U58" s="6">
        <f t="shared" si="9"/>
        <v>259.29485</v>
      </c>
      <c r="V58" s="6">
        <f t="shared" si="0"/>
        <v>259.29485</v>
      </c>
      <c r="W58" s="6">
        <f t="shared" si="10"/>
        <v>259.29485</v>
      </c>
      <c r="X58" s="2">
        <f t="shared" si="11"/>
        <v>64.823712499999999</v>
      </c>
    </row>
    <row r="59" spans="1:24">
      <c r="A59" t="s">
        <v>85</v>
      </c>
      <c r="B59" s="3">
        <v>250000</v>
      </c>
      <c r="C59" s="3" t="s">
        <v>86</v>
      </c>
      <c r="D59" s="3" t="s">
        <v>136</v>
      </c>
      <c r="E59" s="3">
        <v>3.3000000000000002E-2</v>
      </c>
      <c r="F59" s="3">
        <v>3.3000000000000002E-2</v>
      </c>
      <c r="G59">
        <f>F59</f>
        <v>3.3000000000000002E-2</v>
      </c>
      <c r="H59" s="3">
        <f>0.25*G59</f>
        <v>8.2500000000000004E-3</v>
      </c>
      <c r="I59" s="3">
        <v>1</v>
      </c>
      <c r="J59" s="3" t="s">
        <v>26</v>
      </c>
      <c r="K59" s="3" t="s">
        <v>27</v>
      </c>
      <c r="L59">
        <v>0.1</v>
      </c>
      <c r="M59" s="6">
        <f>L59/H59</f>
        <v>12.121212121212121</v>
      </c>
      <c r="N59" s="6">
        <v>5185.8969999999999</v>
      </c>
      <c r="O59" s="6">
        <v>5161.2717558357099</v>
      </c>
      <c r="P59">
        <f>8*(N59/B59)^2</f>
        <v>3.4423715449099523E-3</v>
      </c>
      <c r="Q59" s="7">
        <f>8*(O59/B59)^2</f>
        <v>3.4097569456111917E-3</v>
      </c>
      <c r="R59" s="8">
        <f t="shared" si="16"/>
        <v>-9.4744564534255601E-3</v>
      </c>
      <c r="S59" s="6">
        <f>500*2*O59/B59</f>
        <v>20.645087023342839</v>
      </c>
      <c r="T59" s="2">
        <f>B59/4*P59</f>
        <v>215.14822155687202</v>
      </c>
      <c r="U59" s="6">
        <f t="shared" si="9"/>
        <v>171.134601</v>
      </c>
      <c r="V59" s="6">
        <f t="shared" si="0"/>
        <v>171.134601</v>
      </c>
      <c r="W59" s="6">
        <f t="shared" si="10"/>
        <v>171.134601</v>
      </c>
      <c r="X59" s="2">
        <f t="shared" si="11"/>
        <v>42.783650250000001</v>
      </c>
    </row>
    <row r="60" spans="1:24">
      <c r="O60" s="6"/>
      <c r="U60" s="6"/>
      <c r="V60" s="6"/>
      <c r="W60" s="6"/>
      <c r="X60" s="2"/>
    </row>
    <row r="61" spans="1:24">
      <c r="O61" s="6"/>
      <c r="U61" s="6"/>
      <c r="V61" s="6"/>
      <c r="W61" s="6"/>
      <c r="X61" s="2"/>
    </row>
    <row r="62" spans="1:24">
      <c r="A62" t="s">
        <v>35</v>
      </c>
      <c r="B62" s="3">
        <v>250000</v>
      </c>
      <c r="C62" s="3" t="s">
        <v>24</v>
      </c>
      <c r="D62" s="3" t="s">
        <v>116</v>
      </c>
      <c r="E62" s="3">
        <v>0.1</v>
      </c>
      <c r="F62" s="3">
        <v>0.1</v>
      </c>
      <c r="G62">
        <f>F62</f>
        <v>0.1</v>
      </c>
      <c r="H62" s="3">
        <f>0.25*G62</f>
        <v>2.5000000000000001E-2</v>
      </c>
      <c r="I62" s="3">
        <v>1</v>
      </c>
      <c r="J62" s="3" t="s">
        <v>26</v>
      </c>
      <c r="K62" s="3" t="s">
        <v>27</v>
      </c>
      <c r="L62">
        <v>0.1</v>
      </c>
      <c r="M62" s="6">
        <f>L62/H62</f>
        <v>4</v>
      </c>
      <c r="N62" s="6">
        <v>5185.8969999999999</v>
      </c>
      <c r="O62" s="6">
        <v>4863.0764273383802</v>
      </c>
      <c r="P62">
        <f>8*(N62/B62)^2</f>
        <v>3.4423715449099523E-3</v>
      </c>
      <c r="Q62" s="7">
        <f>8*(O62/B62)^2</f>
        <v>3.0271375792811804E-3</v>
      </c>
      <c r="R62" s="8">
        <f>(Q62-P62)/P62</f>
        <v>-0.12062438938142973</v>
      </c>
      <c r="S62" s="6">
        <f>500*2*O62/B62</f>
        <v>19.452305709353521</v>
      </c>
      <c r="T62" s="2">
        <f>B62/4*P62</f>
        <v>215.14822155687202</v>
      </c>
      <c r="U62" s="6">
        <f t="shared" ref="U62:U71" si="17">E62*N62</f>
        <v>518.58969999999999</v>
      </c>
      <c r="V62" s="6">
        <f t="shared" si="0"/>
        <v>518.58969999999999</v>
      </c>
      <c r="W62" s="6">
        <f t="shared" ref="W62:W71" si="18">G62*N62</f>
        <v>518.58969999999999</v>
      </c>
      <c r="X62" s="2">
        <f t="shared" ref="X62:X71" si="19">H62*N62</f>
        <v>129.647425</v>
      </c>
    </row>
    <row r="63" spans="1:24">
      <c r="A63" t="s">
        <v>35</v>
      </c>
      <c r="B63" s="3">
        <v>250000</v>
      </c>
      <c r="C63" s="3" t="s">
        <v>24</v>
      </c>
      <c r="D63" s="3" t="s">
        <v>117</v>
      </c>
      <c r="E63" s="3">
        <v>6.7000000000000004E-2</v>
      </c>
      <c r="F63" s="3">
        <v>6.7000000000000004E-2</v>
      </c>
      <c r="G63">
        <f>F63</f>
        <v>6.7000000000000004E-2</v>
      </c>
      <c r="H63" s="3">
        <f>0.25*G63</f>
        <v>1.6750000000000001E-2</v>
      </c>
      <c r="I63" s="3">
        <v>1</v>
      </c>
      <c r="J63" s="3" t="s">
        <v>26</v>
      </c>
      <c r="K63" s="3" t="s">
        <v>27</v>
      </c>
      <c r="L63">
        <v>0.1</v>
      </c>
      <c r="M63" s="6">
        <f>L63/H63</f>
        <v>5.9701492537313436</v>
      </c>
      <c r="N63" s="6">
        <v>5185.8969999999999</v>
      </c>
      <c r="O63" s="6">
        <v>5118.5994558266202</v>
      </c>
      <c r="P63">
        <f>8*(N63/B63)^2</f>
        <v>3.4423715449099523E-3</v>
      </c>
      <c r="Q63" s="7">
        <f>8*(O63/B63)^2</f>
        <v>3.353607729816137E-3</v>
      </c>
      <c r="R63" s="8">
        <f t="shared" ref="R63:R65" si="20">(Q63-P63)/P63</f>
        <v>-2.5785657920936959E-2</v>
      </c>
      <c r="S63" s="6">
        <f>500*2*O63/B63</f>
        <v>20.474397823306482</v>
      </c>
      <c r="T63" s="2">
        <f>B63/4*P63</f>
        <v>215.14822155687202</v>
      </c>
      <c r="U63" s="6">
        <f t="shared" si="17"/>
        <v>347.45509900000002</v>
      </c>
      <c r="V63" s="6">
        <f t="shared" si="0"/>
        <v>347.45509900000002</v>
      </c>
      <c r="W63" s="6">
        <f t="shared" si="18"/>
        <v>347.45509900000002</v>
      </c>
      <c r="X63" s="2">
        <f t="shared" si="19"/>
        <v>86.863774750000005</v>
      </c>
    </row>
    <row r="64" spans="1:24">
      <c r="A64" t="s">
        <v>35</v>
      </c>
      <c r="B64" s="3">
        <v>250000</v>
      </c>
      <c r="C64" s="3" t="s">
        <v>24</v>
      </c>
      <c r="D64" s="3" t="s">
        <v>118</v>
      </c>
      <c r="E64" s="3">
        <v>0.05</v>
      </c>
      <c r="F64" s="3">
        <v>0.05</v>
      </c>
      <c r="G64">
        <f>F64</f>
        <v>0.05</v>
      </c>
      <c r="H64" s="3">
        <f>0.25*G64</f>
        <v>1.2500000000000001E-2</v>
      </c>
      <c r="I64" s="3">
        <v>1</v>
      </c>
      <c r="J64" s="3" t="s">
        <v>26</v>
      </c>
      <c r="K64" s="3" t="s">
        <v>27</v>
      </c>
      <c r="L64">
        <v>0.1</v>
      </c>
      <c r="M64" s="6">
        <f>L64/H64</f>
        <v>8</v>
      </c>
      <c r="N64" s="6">
        <v>5185.8969999999999</v>
      </c>
      <c r="O64" s="6">
        <v>5140.2711235485604</v>
      </c>
      <c r="P64">
        <f>8*(N64/B64)^2</f>
        <v>3.4423715449099523E-3</v>
      </c>
      <c r="Q64" s="7">
        <f>8*(O64/B64)^2</f>
        <v>3.3820655646191588E-3</v>
      </c>
      <c r="R64" s="8">
        <f t="shared" si="20"/>
        <v>-1.7518730765702695E-2</v>
      </c>
      <c r="S64" s="6">
        <f>500*2*O64/B64</f>
        <v>20.561084494194244</v>
      </c>
      <c r="T64" s="2">
        <f>B64/4*P64</f>
        <v>215.14822155687202</v>
      </c>
      <c r="U64" s="6">
        <f t="shared" si="17"/>
        <v>259.29485</v>
      </c>
      <c r="V64" s="6">
        <f t="shared" si="0"/>
        <v>259.29485</v>
      </c>
      <c r="W64" s="6">
        <f t="shared" si="18"/>
        <v>259.29485</v>
      </c>
      <c r="X64" s="2">
        <f t="shared" si="19"/>
        <v>64.823712499999999</v>
      </c>
    </row>
    <row r="65" spans="1:24">
      <c r="A65" t="s">
        <v>35</v>
      </c>
      <c r="B65" s="3">
        <v>250000</v>
      </c>
      <c r="C65" s="3" t="s">
        <v>24</v>
      </c>
      <c r="D65" s="3" t="s">
        <v>119</v>
      </c>
      <c r="E65" s="3">
        <v>3.3000000000000002E-2</v>
      </c>
      <c r="F65" s="3">
        <v>3.3000000000000002E-2</v>
      </c>
      <c r="G65">
        <f>F65</f>
        <v>3.3000000000000002E-2</v>
      </c>
      <c r="H65" s="3">
        <f>0.25*G65</f>
        <v>8.2500000000000004E-3</v>
      </c>
      <c r="I65" s="3">
        <v>1</v>
      </c>
      <c r="J65" s="3" t="s">
        <v>26</v>
      </c>
      <c r="K65" s="3" t="s">
        <v>27</v>
      </c>
      <c r="L65">
        <v>0.1</v>
      </c>
      <c r="M65" s="6">
        <f>L65/H65</f>
        <v>12.121212121212121</v>
      </c>
      <c r="N65" s="6">
        <v>5185.8969999999999</v>
      </c>
      <c r="O65" s="6">
        <v>5164.2975147391799</v>
      </c>
      <c r="P65">
        <f>8*(N65/B65)^2</f>
        <v>3.4423715449099523E-3</v>
      </c>
      <c r="Q65" s="7">
        <f>8*(O65/B65)^2</f>
        <v>3.4137560090548827E-3</v>
      </c>
      <c r="R65" s="8">
        <f t="shared" si="20"/>
        <v>-8.3127389015813305E-3</v>
      </c>
      <c r="S65" s="6">
        <f>500*2*O65/B65</f>
        <v>20.657190058956719</v>
      </c>
      <c r="T65" s="2">
        <f>B65/4*P65</f>
        <v>215.14822155687202</v>
      </c>
      <c r="U65" s="6">
        <f t="shared" si="17"/>
        <v>171.134601</v>
      </c>
      <c r="V65" s="6">
        <f t="shared" si="0"/>
        <v>171.134601</v>
      </c>
      <c r="W65" s="6">
        <f t="shared" si="18"/>
        <v>171.134601</v>
      </c>
      <c r="X65" s="2">
        <f t="shared" si="19"/>
        <v>42.783650250000001</v>
      </c>
    </row>
    <row r="66" spans="1:24">
      <c r="O66" s="6"/>
      <c r="U66" s="6"/>
      <c r="V66" s="6"/>
      <c r="W66" s="6"/>
      <c r="X66" s="2"/>
    </row>
    <row r="67" spans="1:24">
      <c r="O67" s="6"/>
      <c r="U67" s="6"/>
      <c r="V67" s="6"/>
      <c r="W67" s="6"/>
      <c r="X67" s="2"/>
    </row>
    <row r="68" spans="1:24">
      <c r="A68" t="s">
        <v>39</v>
      </c>
      <c r="B68" s="3">
        <v>250000</v>
      </c>
      <c r="C68" s="3" t="s">
        <v>24</v>
      </c>
      <c r="D68" s="3" t="s">
        <v>116</v>
      </c>
      <c r="E68" s="3">
        <v>0.1</v>
      </c>
      <c r="F68" s="3">
        <v>0.1</v>
      </c>
      <c r="G68">
        <f>F68</f>
        <v>0.1</v>
      </c>
      <c r="H68" s="3">
        <f>0.25*G68</f>
        <v>2.5000000000000001E-2</v>
      </c>
      <c r="I68" s="3">
        <v>1</v>
      </c>
      <c r="J68" s="3" t="s">
        <v>26</v>
      </c>
      <c r="K68" s="3" t="s">
        <v>27</v>
      </c>
      <c r="L68">
        <v>0.1</v>
      </c>
      <c r="M68" s="6">
        <f>L68/H68</f>
        <v>4</v>
      </c>
      <c r="N68" s="6">
        <v>5185.8969999999999</v>
      </c>
      <c r="O68" s="6">
        <v>2724.2680660745</v>
      </c>
      <c r="P68">
        <f>8*(N68/B68)^2</f>
        <v>3.4423715449099523E-3</v>
      </c>
      <c r="Q68" s="7">
        <f>8*(O68/B68)^2</f>
        <v>9.4996947146666177E-4</v>
      </c>
      <c r="R68" s="8">
        <f>(Q68-P68)/P68</f>
        <v>-0.72403633394212485</v>
      </c>
      <c r="S68" s="6">
        <f>500*2*O68/B68</f>
        <v>10.897072264298</v>
      </c>
      <c r="T68" s="2">
        <f>B68/4*P68</f>
        <v>215.14822155687202</v>
      </c>
      <c r="U68" s="6">
        <f t="shared" si="17"/>
        <v>518.58969999999999</v>
      </c>
      <c r="V68" s="6">
        <f t="shared" ref="V68:V82" si="21">F68*N68</f>
        <v>518.58969999999999</v>
      </c>
      <c r="W68" s="6">
        <f t="shared" si="18"/>
        <v>518.58969999999999</v>
      </c>
      <c r="X68" s="2">
        <f t="shared" si="19"/>
        <v>129.647425</v>
      </c>
    </row>
    <row r="69" spans="1:24">
      <c r="A69" t="s">
        <v>39</v>
      </c>
      <c r="B69" s="3">
        <v>250000</v>
      </c>
      <c r="C69" s="3" t="s">
        <v>24</v>
      </c>
      <c r="D69" s="3" t="s">
        <v>117</v>
      </c>
      <c r="E69" s="3">
        <v>6.7000000000000004E-2</v>
      </c>
      <c r="F69" s="3">
        <v>6.7000000000000004E-2</v>
      </c>
      <c r="G69">
        <f>F69</f>
        <v>6.7000000000000004E-2</v>
      </c>
      <c r="H69" s="3">
        <f>0.25*G69</f>
        <v>1.6750000000000001E-2</v>
      </c>
      <c r="I69" s="3">
        <v>1</v>
      </c>
      <c r="J69" s="3" t="s">
        <v>26</v>
      </c>
      <c r="K69" s="3" t="s">
        <v>27</v>
      </c>
      <c r="L69">
        <v>0.1</v>
      </c>
      <c r="M69" s="6">
        <f>L69/H69</f>
        <v>5.9701492537313436</v>
      </c>
      <c r="N69" s="6">
        <v>5185.8969999999999</v>
      </c>
      <c r="O69" s="6">
        <v>3249.6541421002298</v>
      </c>
      <c r="P69">
        <f>8*(N69/B69)^2</f>
        <v>3.4423715449099523E-3</v>
      </c>
      <c r="Q69" s="7">
        <f>8*(O69/B69)^2</f>
        <v>1.3517122615384551E-3</v>
      </c>
      <c r="R69" s="8">
        <f>(Q69-P69)/P69</f>
        <v>-0.60733109604709623</v>
      </c>
      <c r="S69" s="6">
        <f>500*2*O69/B69</f>
        <v>12.998616568400919</v>
      </c>
      <c r="T69" s="2">
        <f>B69/4*P69</f>
        <v>215.14822155687202</v>
      </c>
      <c r="U69" s="6">
        <f t="shared" si="17"/>
        <v>347.45509900000002</v>
      </c>
      <c r="V69" s="6">
        <f t="shared" si="21"/>
        <v>347.45509900000002</v>
      </c>
      <c r="W69" s="6">
        <f t="shared" si="18"/>
        <v>347.45509900000002</v>
      </c>
      <c r="X69" s="2">
        <f t="shared" si="19"/>
        <v>86.863774750000005</v>
      </c>
    </row>
    <row r="70" spans="1:24">
      <c r="A70" t="s">
        <v>39</v>
      </c>
      <c r="B70" s="3">
        <v>250000</v>
      </c>
      <c r="C70" s="3" t="s">
        <v>24</v>
      </c>
      <c r="D70" s="3" t="s">
        <v>118</v>
      </c>
      <c r="E70" s="3">
        <v>0.05</v>
      </c>
      <c r="F70" s="3">
        <v>0.05</v>
      </c>
      <c r="G70">
        <f>F70</f>
        <v>0.05</v>
      </c>
      <c r="H70" s="3">
        <f>0.25*G70</f>
        <v>1.2500000000000001E-2</v>
      </c>
      <c r="I70" s="3">
        <v>1</v>
      </c>
      <c r="J70" s="3" t="s">
        <v>26</v>
      </c>
      <c r="K70" s="3" t="s">
        <v>27</v>
      </c>
      <c r="L70">
        <v>0.1</v>
      </c>
      <c r="M70" s="6">
        <f>L70/H70</f>
        <v>8</v>
      </c>
      <c r="N70" s="6">
        <v>5185.8969999999999</v>
      </c>
      <c r="O70" s="6">
        <v>3651.2078850357898</v>
      </c>
      <c r="P70">
        <f>8*(N70/B70)^2</f>
        <v>3.4423715449099523E-3</v>
      </c>
      <c r="Q70" s="7">
        <f>8*(O70/B70)^2</f>
        <v>1.7064088345276833E-3</v>
      </c>
      <c r="R70" s="8">
        <f>(Q70-P70)/P70</f>
        <v>-0.50429266211810941</v>
      </c>
      <c r="S70" s="6">
        <f>500*2*O70/B70</f>
        <v>14.604831540143158</v>
      </c>
      <c r="T70" s="2">
        <f>B70/4*P70</f>
        <v>215.14822155687202</v>
      </c>
      <c r="U70" s="6">
        <f t="shared" si="17"/>
        <v>259.29485</v>
      </c>
      <c r="V70" s="6">
        <f t="shared" si="21"/>
        <v>259.29485</v>
      </c>
      <c r="W70" s="6">
        <f t="shared" si="18"/>
        <v>259.29485</v>
      </c>
      <c r="X70" s="2">
        <f t="shared" si="19"/>
        <v>64.823712499999999</v>
      </c>
    </row>
    <row r="71" spans="1:24">
      <c r="A71" t="s">
        <v>39</v>
      </c>
      <c r="B71" s="3">
        <v>250000</v>
      </c>
      <c r="C71" s="3" t="s">
        <v>24</v>
      </c>
      <c r="D71" s="3" t="s">
        <v>119</v>
      </c>
      <c r="E71" s="3">
        <v>3.3000000000000002E-2</v>
      </c>
      <c r="F71" s="3">
        <v>3.3000000000000002E-2</v>
      </c>
      <c r="G71">
        <f>F71</f>
        <v>3.3000000000000002E-2</v>
      </c>
      <c r="H71" s="3">
        <f>0.25*G71</f>
        <v>8.2500000000000004E-3</v>
      </c>
      <c r="I71" s="3">
        <v>1</v>
      </c>
      <c r="J71" s="3" t="s">
        <v>26</v>
      </c>
      <c r="K71" s="3" t="s">
        <v>27</v>
      </c>
      <c r="L71">
        <v>0.1</v>
      </c>
      <c r="M71" s="6">
        <f>L71/H71</f>
        <v>12.121212121212121</v>
      </c>
      <c r="N71" s="6">
        <v>5185.8969999999999</v>
      </c>
      <c r="O71" s="6">
        <v>4190.8299084087803</v>
      </c>
      <c r="P71">
        <f>8*(N71/B71)^2</f>
        <v>3.4423715449099523E-3</v>
      </c>
      <c r="Q71" s="7">
        <f>8*(O71/B71)^2</f>
        <v>2.248071081115334E-3</v>
      </c>
      <c r="R71" s="8">
        <f>(Q71-P71)/P71</f>
        <v>-0.34694118523044543</v>
      </c>
      <c r="S71" s="6">
        <f>500*2*O71/B71</f>
        <v>16.76331963363512</v>
      </c>
      <c r="T71" s="2">
        <f>B71/4*P71</f>
        <v>215.14822155687202</v>
      </c>
      <c r="U71" s="6">
        <f t="shared" si="17"/>
        <v>171.134601</v>
      </c>
      <c r="V71" s="6">
        <f t="shared" si="21"/>
        <v>171.134601</v>
      </c>
      <c r="W71" s="6">
        <f t="shared" si="18"/>
        <v>171.134601</v>
      </c>
      <c r="X71" s="2">
        <f t="shared" si="19"/>
        <v>42.783650250000001</v>
      </c>
    </row>
    <row r="72" spans="1:24">
      <c r="O72" s="6"/>
      <c r="U72" s="6"/>
      <c r="V72" s="6"/>
      <c r="W72" s="6"/>
      <c r="X72" s="2"/>
    </row>
    <row r="73" spans="1:24">
      <c r="O73" s="6"/>
      <c r="U73" s="6"/>
      <c r="V73" s="6"/>
      <c r="W73" s="6"/>
      <c r="X73" s="2"/>
    </row>
    <row r="74" spans="1:24">
      <c r="A74" t="s">
        <v>37</v>
      </c>
      <c r="B74" s="3">
        <v>250000</v>
      </c>
      <c r="C74" s="3" t="s">
        <v>24</v>
      </c>
      <c r="D74" s="3" t="s">
        <v>116</v>
      </c>
      <c r="E74" s="3">
        <v>0.1</v>
      </c>
      <c r="F74" s="3">
        <v>0.1</v>
      </c>
      <c r="G74">
        <f>F74</f>
        <v>0.1</v>
      </c>
      <c r="H74" s="3">
        <f>0.25*G74</f>
        <v>2.5000000000000001E-2</v>
      </c>
      <c r="I74" s="3">
        <v>1</v>
      </c>
      <c r="J74" s="3" t="s">
        <v>26</v>
      </c>
      <c r="K74" s="3" t="s">
        <v>27</v>
      </c>
      <c r="L74">
        <v>0.1</v>
      </c>
      <c r="M74" s="6">
        <f>L74/H74</f>
        <v>4</v>
      </c>
      <c r="N74" s="6">
        <v>5185.8969999999999</v>
      </c>
      <c r="O74" s="6">
        <v>2697.3210756077401</v>
      </c>
      <c r="P74">
        <f>8*(N74/B74)^2</f>
        <v>3.4423715449099523E-3</v>
      </c>
      <c r="Q74" s="7">
        <f>8*(O74/B74)^2</f>
        <v>9.3126924606946502E-4</v>
      </c>
      <c r="R74" s="8">
        <f>(Q74-P74)/P74</f>
        <v>-0.72946870088835059</v>
      </c>
      <c r="S74" s="6">
        <f>500*2*O74/B74</f>
        <v>10.789284302430961</v>
      </c>
      <c r="T74" s="2">
        <f>B74/4*P74</f>
        <v>215.14822155687202</v>
      </c>
      <c r="U74" s="6">
        <f t="shared" ref="U74:U77" si="22">E74*N74</f>
        <v>518.58969999999999</v>
      </c>
      <c r="V74" s="6">
        <f t="shared" si="21"/>
        <v>518.58969999999999</v>
      </c>
      <c r="W74" s="6">
        <f>G74*N74</f>
        <v>518.58969999999999</v>
      </c>
      <c r="X74" s="2">
        <f>H74*N74</f>
        <v>129.647425</v>
      </c>
    </row>
    <row r="75" spans="1:24">
      <c r="A75" t="s">
        <v>37</v>
      </c>
      <c r="B75" s="3">
        <v>250000</v>
      </c>
      <c r="C75" s="3" t="s">
        <v>24</v>
      </c>
      <c r="D75" s="3" t="s">
        <v>117</v>
      </c>
      <c r="E75" s="3">
        <v>6.7000000000000004E-2</v>
      </c>
      <c r="F75" s="3">
        <v>6.7000000000000004E-2</v>
      </c>
      <c r="G75">
        <f>F75</f>
        <v>6.7000000000000004E-2</v>
      </c>
      <c r="H75" s="3">
        <f>0.25*G75</f>
        <v>1.6750000000000001E-2</v>
      </c>
      <c r="I75" s="3">
        <v>1</v>
      </c>
      <c r="J75" s="3" t="s">
        <v>26</v>
      </c>
      <c r="K75" s="3" t="s">
        <v>27</v>
      </c>
      <c r="L75">
        <v>0.1</v>
      </c>
      <c r="M75" s="6">
        <f>L75/H75</f>
        <v>5.9701492537313436</v>
      </c>
      <c r="N75" s="6">
        <v>5185.8969999999999</v>
      </c>
      <c r="O75" s="6">
        <v>3203.56766590502</v>
      </c>
      <c r="P75">
        <f>8*(N75/B75)^2</f>
        <v>3.4423715449099523E-3</v>
      </c>
      <c r="Q75" s="7">
        <f>8*(O75/B75)^2</f>
        <v>1.3136442611241135E-3</v>
      </c>
      <c r="R75" s="8">
        <f>(Q75-P75)/P75</f>
        <v>-0.61838975137168806</v>
      </c>
      <c r="S75" s="6">
        <f>500*2*O75/B75</f>
        <v>12.81427066362008</v>
      </c>
      <c r="T75" s="2">
        <f>B75/4*P75</f>
        <v>215.14822155687202</v>
      </c>
      <c r="U75" s="6">
        <f t="shared" si="22"/>
        <v>347.45509900000002</v>
      </c>
      <c r="V75" s="6">
        <f t="shared" si="21"/>
        <v>347.45509900000002</v>
      </c>
      <c r="W75" s="6">
        <f>G75*N75</f>
        <v>347.45509900000002</v>
      </c>
      <c r="X75" s="2">
        <f>H75*N75</f>
        <v>86.863774750000005</v>
      </c>
    </row>
    <row r="76" spans="1:24">
      <c r="A76" t="s">
        <v>37</v>
      </c>
      <c r="B76" s="3">
        <v>250000</v>
      </c>
      <c r="C76" s="3" t="s">
        <v>24</v>
      </c>
      <c r="D76" s="3" t="s">
        <v>118</v>
      </c>
      <c r="E76" s="3">
        <v>0.05</v>
      </c>
      <c r="F76" s="3">
        <v>0.05</v>
      </c>
      <c r="G76">
        <f>F76</f>
        <v>0.05</v>
      </c>
      <c r="H76" s="3">
        <f>0.25*G76</f>
        <v>1.2500000000000001E-2</v>
      </c>
      <c r="I76" s="3">
        <v>1</v>
      </c>
      <c r="J76" s="3" t="s">
        <v>26</v>
      </c>
      <c r="K76" s="3" t="s">
        <v>27</v>
      </c>
      <c r="L76">
        <v>0.1</v>
      </c>
      <c r="M76" s="6">
        <f>L76/H76</f>
        <v>8</v>
      </c>
      <c r="N76" s="6">
        <v>5185.8969999999999</v>
      </c>
      <c r="O76" s="6">
        <v>3590.06113505848</v>
      </c>
      <c r="P76">
        <f>8*(N76/B76)^2</f>
        <v>3.4423715449099523E-3</v>
      </c>
      <c r="Q76" s="7">
        <f>8*(O76/B76)^2</f>
        <v>1.6497329860425448E-3</v>
      </c>
      <c r="R76" s="8">
        <f>(Q76-P76)/P76</f>
        <v>-0.52075684901534947</v>
      </c>
      <c r="S76" s="6">
        <f>500*2*O76/B76</f>
        <v>14.36024454023392</v>
      </c>
      <c r="T76" s="2">
        <f>B76/4*P76</f>
        <v>215.14822155687202</v>
      </c>
      <c r="U76" s="6">
        <f t="shared" si="22"/>
        <v>259.29485</v>
      </c>
      <c r="V76" s="6">
        <f t="shared" si="21"/>
        <v>259.29485</v>
      </c>
      <c r="W76" s="6">
        <f>G76*N76</f>
        <v>259.29485</v>
      </c>
      <c r="X76" s="2">
        <f>H76*N76</f>
        <v>64.823712499999999</v>
      </c>
    </row>
    <row r="77" spans="1:24">
      <c r="A77" t="s">
        <v>37</v>
      </c>
      <c r="B77" s="3">
        <v>250000</v>
      </c>
      <c r="C77" s="3" t="s">
        <v>24</v>
      </c>
      <c r="D77" s="3" t="s">
        <v>119</v>
      </c>
      <c r="E77" s="3">
        <v>3.3000000000000002E-2</v>
      </c>
      <c r="F77" s="3">
        <v>3.3000000000000002E-2</v>
      </c>
      <c r="G77">
        <f>F77</f>
        <v>3.3000000000000002E-2</v>
      </c>
      <c r="H77" s="3">
        <f>0.25*G77</f>
        <v>8.2500000000000004E-3</v>
      </c>
      <c r="I77" s="3">
        <v>1</v>
      </c>
      <c r="J77" s="3" t="s">
        <v>26</v>
      </c>
      <c r="K77" s="3" t="s">
        <v>27</v>
      </c>
      <c r="L77">
        <v>0.1</v>
      </c>
      <c r="M77" s="6">
        <f>L77/H77</f>
        <v>12.121212121212121</v>
      </c>
      <c r="N77" s="6">
        <v>5185.8969999999999</v>
      </c>
      <c r="O77" s="6">
        <v>4143.26859044925</v>
      </c>
      <c r="P77">
        <f>8*(N77/B77)^2</f>
        <v>3.4423715449099523E-3</v>
      </c>
      <c r="Q77" s="7">
        <f>8*(O77/B77)^2</f>
        <v>2.1973343504132241E-3</v>
      </c>
      <c r="R77" s="8">
        <f>(Q77-P77)/P77</f>
        <v>-0.36168007382517936</v>
      </c>
      <c r="S77" s="6">
        <f>500*2*O77/B77</f>
        <v>16.573074361796998</v>
      </c>
      <c r="T77" s="2">
        <f>B77/4*P77</f>
        <v>215.14822155687202</v>
      </c>
      <c r="U77" s="6">
        <f t="shared" si="22"/>
        <v>171.134601</v>
      </c>
      <c r="V77" s="6">
        <f t="shared" si="21"/>
        <v>171.134601</v>
      </c>
      <c r="W77" s="6">
        <f>G77*N77</f>
        <v>171.134601</v>
      </c>
      <c r="X77" s="2">
        <f>H77*N77</f>
        <v>42.783650250000001</v>
      </c>
    </row>
    <row r="78" spans="1:24">
      <c r="O78" s="6"/>
      <c r="V78" s="6"/>
    </row>
    <row r="79" spans="1:24">
      <c r="O79" s="6"/>
      <c r="V79" s="6"/>
    </row>
    <row r="80" spans="1:24">
      <c r="A80" t="s">
        <v>87</v>
      </c>
      <c r="B80" s="3">
        <v>250000</v>
      </c>
      <c r="C80" s="3" t="s">
        <v>24</v>
      </c>
      <c r="D80" s="3" t="s">
        <v>116</v>
      </c>
      <c r="E80" s="3">
        <v>0.1</v>
      </c>
      <c r="F80" s="3">
        <v>0.1</v>
      </c>
      <c r="G80">
        <f>F80</f>
        <v>0.1</v>
      </c>
      <c r="H80" s="3">
        <f>0.25*G80</f>
        <v>2.5000000000000001E-2</v>
      </c>
      <c r="I80" s="3">
        <v>1</v>
      </c>
      <c r="J80" s="3" t="s">
        <v>26</v>
      </c>
      <c r="K80" s="3" t="s">
        <v>27</v>
      </c>
      <c r="L80">
        <v>0.1</v>
      </c>
      <c r="M80" s="6">
        <f>L80/H80</f>
        <v>4</v>
      </c>
      <c r="N80" s="6">
        <v>5185.8969999999999</v>
      </c>
      <c r="O80" s="6">
        <v>4936.4000411562001</v>
      </c>
      <c r="P80">
        <f>8*(N80/B80)^2</f>
        <v>3.4423715449099523E-3</v>
      </c>
      <c r="Q80" s="7">
        <f>8*(O80/B80)^2</f>
        <v>3.119109806889848E-3</v>
      </c>
      <c r="R80" s="8">
        <f>(Q80-P80)/P80</f>
        <v>-9.3906695951543592E-2</v>
      </c>
      <c r="S80" s="6">
        <f>500*2*O80/B80</f>
        <v>19.7456001646248</v>
      </c>
      <c r="T80" s="2">
        <f>B80/4*P80</f>
        <v>215.14822155687202</v>
      </c>
      <c r="U80" s="6">
        <f t="shared" ref="U80:U83" si="23">E80*N80</f>
        <v>518.58969999999999</v>
      </c>
      <c r="V80" s="6">
        <f t="shared" si="21"/>
        <v>518.58969999999999</v>
      </c>
      <c r="W80" s="6">
        <f>G80*N80</f>
        <v>518.58969999999999</v>
      </c>
      <c r="X80" s="2">
        <f>H80*N80</f>
        <v>129.647425</v>
      </c>
    </row>
    <row r="81" spans="1:24">
      <c r="A81" t="s">
        <v>87</v>
      </c>
      <c r="B81" s="3">
        <v>250000</v>
      </c>
      <c r="C81" s="3" t="s">
        <v>24</v>
      </c>
      <c r="D81" s="3" t="s">
        <v>117</v>
      </c>
      <c r="E81" s="3">
        <v>6.7000000000000004E-2</v>
      </c>
      <c r="F81" s="3">
        <v>6.7000000000000004E-2</v>
      </c>
      <c r="G81">
        <f>F81</f>
        <v>6.7000000000000004E-2</v>
      </c>
      <c r="H81" s="3">
        <f>0.25*G81</f>
        <v>1.6750000000000001E-2</v>
      </c>
      <c r="I81" s="3">
        <v>1</v>
      </c>
      <c r="J81" s="3" t="s">
        <v>26</v>
      </c>
      <c r="K81" s="3" t="s">
        <v>27</v>
      </c>
      <c r="L81">
        <v>0.1</v>
      </c>
      <c r="M81" s="6">
        <f>L81/H81</f>
        <v>5.9701492537313436</v>
      </c>
      <c r="N81" s="6">
        <v>5185.8969999999999</v>
      </c>
      <c r="O81" s="6">
        <v>5089.9640376142997</v>
      </c>
      <c r="P81">
        <f>8*(N81/B81)^2</f>
        <v>3.4423715449099523E-3</v>
      </c>
      <c r="Q81" s="7">
        <f>8*(O81/B81)^2</f>
        <v>3.3161899397384782E-3</v>
      </c>
      <c r="R81" s="8">
        <f>(Q81-P81)/P81</f>
        <v>-3.6655428830177257E-2</v>
      </c>
      <c r="S81" s="6">
        <f>500*2*O81/B81</f>
        <v>20.359856150457201</v>
      </c>
      <c r="T81" s="2">
        <f>B81/4*P81</f>
        <v>215.14822155687202</v>
      </c>
      <c r="U81" s="6">
        <f t="shared" si="23"/>
        <v>347.45509900000002</v>
      </c>
      <c r="V81" s="6">
        <f t="shared" si="21"/>
        <v>347.45509900000002</v>
      </c>
      <c r="W81" s="6">
        <f>G81*N81</f>
        <v>347.45509900000002</v>
      </c>
      <c r="X81" s="2">
        <f>H81*N81</f>
        <v>86.863774750000005</v>
      </c>
    </row>
    <row r="82" spans="1:24">
      <c r="A82" t="s">
        <v>87</v>
      </c>
      <c r="B82" s="3">
        <v>250000</v>
      </c>
      <c r="C82" s="3" t="s">
        <v>24</v>
      </c>
      <c r="D82" s="3" t="s">
        <v>118</v>
      </c>
      <c r="E82" s="3">
        <v>0.05</v>
      </c>
      <c r="F82" s="3">
        <v>0.05</v>
      </c>
      <c r="G82">
        <f>F82</f>
        <v>0.05</v>
      </c>
      <c r="H82" s="3">
        <f>0.25*G82</f>
        <v>1.2500000000000001E-2</v>
      </c>
      <c r="I82" s="3">
        <v>1</v>
      </c>
      <c r="J82" s="3" t="s">
        <v>26</v>
      </c>
      <c r="K82" s="3" t="s">
        <v>27</v>
      </c>
      <c r="L82">
        <v>0.1</v>
      </c>
      <c r="M82" s="6">
        <f>L82/H82</f>
        <v>8</v>
      </c>
      <c r="N82" s="6">
        <v>5185.8969999999999</v>
      </c>
      <c r="O82" s="6">
        <v>5125.7005876618396</v>
      </c>
      <c r="P82">
        <f>8*(N82/B82)^2</f>
        <v>3.4423715449099523E-3</v>
      </c>
      <c r="Q82" s="7">
        <f>8*(O82/B82)^2</f>
        <v>3.3629192338376869E-3</v>
      </c>
      <c r="R82" s="8">
        <f>(Q82-P82)/P82</f>
        <v>-2.308069016830773E-2</v>
      </c>
      <c r="S82" s="6">
        <f>500*2*O82/B82</f>
        <v>20.502802350647361</v>
      </c>
      <c r="T82" s="2">
        <f>B82/4*P82</f>
        <v>215.14822155687202</v>
      </c>
      <c r="U82" s="6">
        <f t="shared" si="23"/>
        <v>259.29485</v>
      </c>
      <c r="V82" s="6">
        <f t="shared" si="21"/>
        <v>259.29485</v>
      </c>
      <c r="W82" s="6">
        <f>G82*N82</f>
        <v>259.29485</v>
      </c>
      <c r="X82" s="2">
        <f>H82*N82</f>
        <v>64.823712499999999</v>
      </c>
    </row>
    <row r="83" spans="1:24">
      <c r="A83" t="s">
        <v>87</v>
      </c>
      <c r="B83" s="3">
        <v>250000</v>
      </c>
      <c r="C83" s="3" t="s">
        <v>24</v>
      </c>
      <c r="D83" s="3" t="s">
        <v>119</v>
      </c>
      <c r="E83" s="3">
        <v>3.3000000000000002E-2</v>
      </c>
      <c r="F83" s="3">
        <v>3.3000000000000002E-2</v>
      </c>
      <c r="G83">
        <f>F83</f>
        <v>3.3000000000000002E-2</v>
      </c>
      <c r="H83" s="3">
        <f>0.25*G83</f>
        <v>8.2500000000000004E-3</v>
      </c>
      <c r="I83" s="3">
        <v>1</v>
      </c>
      <c r="J83" s="3" t="s">
        <v>26</v>
      </c>
      <c r="K83" s="3" t="s">
        <v>27</v>
      </c>
      <c r="L83">
        <v>0.1</v>
      </c>
      <c r="M83" s="6">
        <f>L83/H83</f>
        <v>12.121212121212121</v>
      </c>
      <c r="N83" s="6">
        <v>5185.8969999999999</v>
      </c>
      <c r="O83" s="6">
        <v>5141.6319533251299</v>
      </c>
      <c r="P83">
        <f>8*(N83/B83)^2</f>
        <v>3.4423715449099523E-3</v>
      </c>
      <c r="Q83" s="7">
        <f>8*(O83/B83)^2</f>
        <v>3.3838565303621103E-3</v>
      </c>
      <c r="R83" s="8">
        <f>(Q83-P83)/P83</f>
        <v>-1.699845986536954E-2</v>
      </c>
      <c r="S83" s="6">
        <f>500*2*O83/B83</f>
        <v>20.566527813300521</v>
      </c>
      <c r="T83" s="2">
        <f>B83/4*P83</f>
        <v>215.14822155687202</v>
      </c>
      <c r="U83" s="6">
        <f t="shared" si="23"/>
        <v>171.134601</v>
      </c>
      <c r="V83" s="6">
        <f t="shared" ref="V83:V95" si="24">F83*N83</f>
        <v>171.134601</v>
      </c>
      <c r="W83" s="6">
        <f>G83*N83</f>
        <v>171.134601</v>
      </c>
      <c r="X83" s="2">
        <f>H83*N83</f>
        <v>42.783650250000001</v>
      </c>
    </row>
    <row r="84" spans="1:24">
      <c r="O84" s="6"/>
      <c r="V84" s="6"/>
    </row>
    <row r="85" spans="1:24">
      <c r="O85" s="6"/>
      <c r="V85" s="6"/>
    </row>
    <row r="86" spans="1:24">
      <c r="A86" t="s">
        <v>68</v>
      </c>
      <c r="B86" s="3">
        <v>250000</v>
      </c>
      <c r="C86" s="3" t="s">
        <v>48</v>
      </c>
      <c r="D86" s="3" t="s">
        <v>127</v>
      </c>
      <c r="E86" s="3">
        <v>0.1</v>
      </c>
      <c r="F86" s="3">
        <v>0.1</v>
      </c>
      <c r="G86">
        <f>F86</f>
        <v>0.1</v>
      </c>
      <c r="H86" s="3">
        <f>0.25*G86</f>
        <v>2.5000000000000001E-2</v>
      </c>
      <c r="I86" s="3">
        <v>1</v>
      </c>
      <c r="J86" s="3" t="s">
        <v>26</v>
      </c>
      <c r="K86" s="3" t="s">
        <v>27</v>
      </c>
      <c r="L86">
        <v>0.1</v>
      </c>
      <c r="M86" s="6">
        <f>L86/H86</f>
        <v>4</v>
      </c>
      <c r="N86" s="6">
        <v>5185.8969999999999</v>
      </c>
      <c r="O86" s="6">
        <v>4902.8200076165804</v>
      </c>
      <c r="P86">
        <f>8*(N86/B86)^2</f>
        <v>3.4423715449099523E-3</v>
      </c>
      <c r="Q86" s="7">
        <f>8*(O86/B86)^2</f>
        <v>3.0768184354669371E-3</v>
      </c>
      <c r="R86" s="8">
        <f>(Q86-P86)/P86</f>
        <v>-0.10619222959344372</v>
      </c>
      <c r="S86" s="6">
        <f>500*2*O86/B86</f>
        <v>19.611280030466322</v>
      </c>
      <c r="T86" s="2">
        <f>B86/4*P86</f>
        <v>215.14822155687202</v>
      </c>
      <c r="U86" s="6">
        <f t="shared" ref="U86:U89" si="25">E86*N86</f>
        <v>518.58969999999999</v>
      </c>
      <c r="V86" s="6">
        <f t="shared" si="24"/>
        <v>518.58969999999999</v>
      </c>
      <c r="W86" s="6">
        <f>G86*N86</f>
        <v>518.58969999999999</v>
      </c>
      <c r="X86" s="2">
        <f>H86*N86</f>
        <v>129.647425</v>
      </c>
    </row>
    <row r="87" spans="1:24">
      <c r="A87" t="s">
        <v>68</v>
      </c>
      <c r="B87" s="3">
        <v>250000</v>
      </c>
      <c r="C87" s="3" t="s">
        <v>48</v>
      </c>
      <c r="D87" s="3" t="s">
        <v>128</v>
      </c>
      <c r="E87" s="3">
        <v>6.7000000000000004E-2</v>
      </c>
      <c r="F87" s="3">
        <v>6.7000000000000004E-2</v>
      </c>
      <c r="G87">
        <f>F87</f>
        <v>6.7000000000000004E-2</v>
      </c>
      <c r="H87" s="3">
        <f>0.25*G87</f>
        <v>1.6750000000000001E-2</v>
      </c>
      <c r="I87" s="3">
        <v>1</v>
      </c>
      <c r="J87" s="3" t="s">
        <v>26</v>
      </c>
      <c r="K87" s="3" t="s">
        <v>27</v>
      </c>
      <c r="L87">
        <v>0.1</v>
      </c>
      <c r="M87" s="6">
        <f>L87/H87</f>
        <v>5.9701492537313436</v>
      </c>
      <c r="N87" s="6">
        <v>5185.8969999999999</v>
      </c>
      <c r="O87" s="6">
        <v>5077.5857203841197</v>
      </c>
      <c r="P87">
        <f>8*(N87/B87)^2</f>
        <v>3.4423715449099523E-3</v>
      </c>
      <c r="Q87" s="7">
        <f>8*(O87/B87)^2</f>
        <v>3.300080223724636E-3</v>
      </c>
      <c r="R87" s="8">
        <f>(Q87-P87)/P87</f>
        <v>-4.1335259523544096E-2</v>
      </c>
      <c r="S87" s="6">
        <f>500*2*O87/B87</f>
        <v>20.310342881536481</v>
      </c>
      <c r="T87" s="2">
        <f>B87/4*P87</f>
        <v>215.14822155687202</v>
      </c>
      <c r="U87" s="6">
        <f t="shared" si="25"/>
        <v>347.45509900000002</v>
      </c>
      <c r="V87" s="6">
        <f t="shared" si="24"/>
        <v>347.45509900000002</v>
      </c>
      <c r="W87" s="6">
        <f>G87*N87</f>
        <v>347.45509900000002</v>
      </c>
      <c r="X87" s="2">
        <f>H87*N87</f>
        <v>86.863774750000005</v>
      </c>
    </row>
    <row r="88" spans="1:24">
      <c r="A88" t="s">
        <v>68</v>
      </c>
      <c r="B88" s="3">
        <v>250000</v>
      </c>
      <c r="C88" s="3" t="s">
        <v>48</v>
      </c>
      <c r="D88" s="3" t="s">
        <v>129</v>
      </c>
      <c r="E88" s="3">
        <v>0.05</v>
      </c>
      <c r="F88" s="3">
        <v>0.05</v>
      </c>
      <c r="G88">
        <f>F88</f>
        <v>0.05</v>
      </c>
      <c r="H88" s="3">
        <f>0.25*G88</f>
        <v>1.2500000000000001E-2</v>
      </c>
      <c r="I88" s="3">
        <v>1</v>
      </c>
      <c r="J88" s="3" t="s">
        <v>26</v>
      </c>
      <c r="K88" s="3" t="s">
        <v>27</v>
      </c>
      <c r="L88">
        <v>0.1</v>
      </c>
      <c r="M88" s="6">
        <f>L88/H88</f>
        <v>8</v>
      </c>
      <c r="N88" s="6">
        <v>5185.8969999999999</v>
      </c>
      <c r="O88" s="6">
        <v>5117.3540900069702</v>
      </c>
      <c r="P88">
        <f>8*(N88/B88)^2</f>
        <v>3.4423715449099523E-3</v>
      </c>
      <c r="Q88" s="7">
        <f>8*(O88/B88)^2</f>
        <v>3.3519760489614161E-3</v>
      </c>
      <c r="R88" s="8">
        <f>(Q88-P88)/P88</f>
        <v>-2.6259656974622368E-2</v>
      </c>
      <c r="S88" s="6">
        <f>500*2*O88/B88</f>
        <v>20.469416360027878</v>
      </c>
      <c r="T88" s="2">
        <f>B88/4*P88</f>
        <v>215.14822155687202</v>
      </c>
      <c r="U88" s="6">
        <f t="shared" si="25"/>
        <v>259.29485</v>
      </c>
      <c r="V88" s="6">
        <f t="shared" si="24"/>
        <v>259.29485</v>
      </c>
      <c r="W88" s="6">
        <f>G88*N88</f>
        <v>259.29485</v>
      </c>
      <c r="X88" s="2">
        <f>H88*N88</f>
        <v>64.823712499999999</v>
      </c>
    </row>
    <row r="89" spans="1:24">
      <c r="A89" t="s">
        <v>68</v>
      </c>
      <c r="B89" s="3">
        <v>250000</v>
      </c>
      <c r="C89" s="3" t="s">
        <v>48</v>
      </c>
      <c r="D89" s="3" t="s">
        <v>130</v>
      </c>
      <c r="E89" s="3">
        <v>3.3000000000000002E-2</v>
      </c>
      <c r="F89" s="3">
        <v>3.3000000000000002E-2</v>
      </c>
      <c r="G89">
        <f>F89</f>
        <v>3.3000000000000002E-2</v>
      </c>
      <c r="H89" s="3">
        <f>0.25*G89</f>
        <v>8.2500000000000004E-3</v>
      </c>
      <c r="I89" s="3">
        <v>1</v>
      </c>
      <c r="J89" s="3" t="s">
        <v>26</v>
      </c>
      <c r="K89" s="3" t="s">
        <v>27</v>
      </c>
      <c r="L89">
        <v>0.1</v>
      </c>
      <c r="M89" s="6">
        <f>L89/H89</f>
        <v>12.121212121212121</v>
      </c>
      <c r="N89" s="6">
        <v>5185.8969999999999</v>
      </c>
      <c r="O89" s="6">
        <v>5163.6548122326203</v>
      </c>
      <c r="P89">
        <f>8*(N89/B89)^2</f>
        <v>3.4423715449099523E-3</v>
      </c>
      <c r="Q89" s="7">
        <f>8*(O89/B89)^2</f>
        <v>3.412906370546317E-3</v>
      </c>
      <c r="R89" s="8">
        <f>(Q89-P89)/P89</f>
        <v>-8.5595566832998744E-3</v>
      </c>
      <c r="S89" s="6">
        <f>500*2*O89/B89</f>
        <v>20.65461924893048</v>
      </c>
      <c r="T89" s="2">
        <f>B89/4*P89</f>
        <v>215.14822155687202</v>
      </c>
      <c r="U89" s="6">
        <f t="shared" si="25"/>
        <v>171.134601</v>
      </c>
      <c r="V89" s="6">
        <f t="shared" si="24"/>
        <v>171.134601</v>
      </c>
      <c r="W89" s="6">
        <f>G89*N89</f>
        <v>171.134601</v>
      </c>
      <c r="X89" s="2">
        <f>H89*N89</f>
        <v>42.783650250000001</v>
      </c>
    </row>
    <row r="90" spans="1:24">
      <c r="O90" s="6"/>
      <c r="V90" s="6"/>
    </row>
    <row r="91" spans="1:24">
      <c r="O91" s="6"/>
      <c r="V91" s="6"/>
    </row>
    <row r="92" spans="1:24">
      <c r="A92" t="s">
        <v>88</v>
      </c>
      <c r="B92" s="3">
        <v>250000</v>
      </c>
      <c r="C92" s="3" t="s">
        <v>48</v>
      </c>
      <c r="D92" s="3" t="s">
        <v>127</v>
      </c>
      <c r="E92" s="3">
        <v>0.1</v>
      </c>
      <c r="F92" s="3">
        <v>0.1</v>
      </c>
      <c r="G92">
        <f>F92</f>
        <v>0.1</v>
      </c>
      <c r="H92" s="3">
        <f>0.25*G92</f>
        <v>2.5000000000000001E-2</v>
      </c>
      <c r="I92" s="3">
        <v>1</v>
      </c>
      <c r="J92" s="3" t="s">
        <v>26</v>
      </c>
      <c r="K92" s="3" t="s">
        <v>27</v>
      </c>
      <c r="L92">
        <v>0.1</v>
      </c>
      <c r="M92" s="6">
        <f>L92/H92</f>
        <v>4</v>
      </c>
      <c r="N92" s="6">
        <v>5185.8969999999999</v>
      </c>
      <c r="O92" s="6">
        <v>5161.2796463928098</v>
      </c>
      <c r="P92">
        <f>8*(N92/B92)^2</f>
        <v>3.4423715449099523E-3</v>
      </c>
      <c r="Q92" s="7">
        <f>8*(O92/B92)^2</f>
        <v>3.4097673712983915E-3</v>
      </c>
      <c r="R92" s="8">
        <f>(Q92-P92)/P92</f>
        <v>-9.4714278183512142E-3</v>
      </c>
      <c r="S92" s="6">
        <f>500*2*O92/B92</f>
        <v>20.64511858557124</v>
      </c>
      <c r="T92" s="2">
        <f>B92/4*P92</f>
        <v>215.14822155687202</v>
      </c>
      <c r="U92" s="6">
        <f t="shared" ref="U92:U95" si="26">E92*N92</f>
        <v>518.58969999999999</v>
      </c>
      <c r="V92" s="6">
        <f t="shared" si="24"/>
        <v>518.58969999999999</v>
      </c>
      <c r="W92" s="6">
        <f>G92*N92</f>
        <v>518.58969999999999</v>
      </c>
      <c r="X92" s="2">
        <f>H92*N92</f>
        <v>129.647425</v>
      </c>
    </row>
    <row r="93" spans="1:24">
      <c r="A93" t="s">
        <v>88</v>
      </c>
      <c r="B93" s="3">
        <v>250000</v>
      </c>
      <c r="C93" s="3" t="s">
        <v>48</v>
      </c>
      <c r="D93" s="3" t="s">
        <v>128</v>
      </c>
      <c r="E93" s="3">
        <v>6.7000000000000004E-2</v>
      </c>
      <c r="F93" s="3">
        <v>6.7000000000000004E-2</v>
      </c>
      <c r="G93">
        <f>F93</f>
        <v>6.7000000000000004E-2</v>
      </c>
      <c r="H93" s="3">
        <f>0.25*G93</f>
        <v>1.6750000000000001E-2</v>
      </c>
      <c r="I93" s="3">
        <v>1</v>
      </c>
      <c r="J93" s="3" t="s">
        <v>26</v>
      </c>
      <c r="K93" s="3" t="s">
        <v>27</v>
      </c>
      <c r="L93">
        <v>0.1</v>
      </c>
      <c r="M93" s="6">
        <f>L93/H93</f>
        <v>5.9701492537313436</v>
      </c>
      <c r="N93" s="6">
        <v>5185.8969999999999</v>
      </c>
      <c r="O93" s="6">
        <v>5137.6418223186201</v>
      </c>
      <c r="P93">
        <f>8*(N93/B93)^2</f>
        <v>3.4423715449099523E-3</v>
      </c>
      <c r="Q93" s="7">
        <f>8*(O93/B93)^2</f>
        <v>3.3786065272879864E-3</v>
      </c>
      <c r="R93" s="8">
        <f>(Q93-P93)/P93</f>
        <v>-1.8523572133360134E-2</v>
      </c>
      <c r="S93" s="6">
        <f>500*2*O93/B93</f>
        <v>20.550567289274479</v>
      </c>
      <c r="T93" s="2">
        <f>B93/4*P93</f>
        <v>215.14822155687202</v>
      </c>
      <c r="U93" s="6">
        <f t="shared" si="26"/>
        <v>347.45509900000002</v>
      </c>
      <c r="V93" s="6">
        <f t="shared" si="24"/>
        <v>347.45509900000002</v>
      </c>
      <c r="W93" s="6">
        <f>G93*N93</f>
        <v>347.45509900000002</v>
      </c>
      <c r="X93" s="2">
        <f>H93*N93</f>
        <v>86.863774750000005</v>
      </c>
    </row>
    <row r="94" spans="1:24">
      <c r="A94" t="s">
        <v>88</v>
      </c>
      <c r="B94" s="3">
        <v>250000</v>
      </c>
      <c r="C94" s="3" t="s">
        <v>48</v>
      </c>
      <c r="D94" s="3" t="s">
        <v>129</v>
      </c>
      <c r="E94" s="3">
        <v>0.05</v>
      </c>
      <c r="F94" s="3">
        <v>0.05</v>
      </c>
      <c r="G94">
        <f>F94</f>
        <v>0.05</v>
      </c>
      <c r="H94" s="3">
        <f>0.25*G94</f>
        <v>1.2500000000000001E-2</v>
      </c>
      <c r="I94" s="3">
        <v>1</v>
      </c>
      <c r="J94" s="3" t="s">
        <v>26</v>
      </c>
      <c r="K94" s="3" t="s">
        <v>27</v>
      </c>
      <c r="L94">
        <v>0.1</v>
      </c>
      <c r="M94" s="6">
        <f>L94/H94</f>
        <v>8</v>
      </c>
      <c r="N94" s="6">
        <v>5185.8969999999999</v>
      </c>
      <c r="O94" s="6">
        <v>5175.4405682218103</v>
      </c>
      <c r="P94">
        <f>8*(N94/B94)^2</f>
        <v>3.4423715449099523E-3</v>
      </c>
      <c r="Q94" s="7">
        <f>8*(O94/B94)^2</f>
        <v>3.4285036896251008E-3</v>
      </c>
      <c r="R94" s="8">
        <f>(Q94-P94)/P94</f>
        <v>-4.0285759697721007E-3</v>
      </c>
      <c r="S94" s="6">
        <f>500*2*O94/B94</f>
        <v>20.70176227288724</v>
      </c>
      <c r="T94" s="2">
        <f>B94/4*P94</f>
        <v>215.14822155687202</v>
      </c>
      <c r="U94" s="6">
        <f t="shared" si="26"/>
        <v>259.29485</v>
      </c>
      <c r="V94" s="6">
        <f t="shared" si="24"/>
        <v>259.29485</v>
      </c>
      <c r="W94" s="6">
        <f>G94*N94</f>
        <v>259.29485</v>
      </c>
      <c r="X94" s="2">
        <f>H94*N94</f>
        <v>64.823712499999999</v>
      </c>
    </row>
    <row r="95" spans="1:24">
      <c r="A95" t="s">
        <v>88</v>
      </c>
      <c r="B95" s="3">
        <v>250000</v>
      </c>
      <c r="C95" s="3" t="s">
        <v>48</v>
      </c>
      <c r="D95" s="3" t="s">
        <v>130</v>
      </c>
      <c r="E95" s="3">
        <v>3.3000000000000002E-2</v>
      </c>
      <c r="F95" s="3">
        <v>3.3000000000000002E-2</v>
      </c>
      <c r="G95">
        <f>F95</f>
        <v>3.3000000000000002E-2</v>
      </c>
      <c r="H95" s="3">
        <f>0.25*G95</f>
        <v>8.2500000000000004E-3</v>
      </c>
      <c r="I95" s="3">
        <v>1</v>
      </c>
      <c r="J95" s="3" t="s">
        <v>26</v>
      </c>
      <c r="K95" s="3" t="s">
        <v>27</v>
      </c>
      <c r="L95">
        <v>0.1</v>
      </c>
      <c r="M95" s="6">
        <f>L95/H95</f>
        <v>12.121212121212121</v>
      </c>
      <c r="N95" s="6">
        <v>5185.8969999999999</v>
      </c>
      <c r="O95" s="6">
        <v>5160.3492684698103</v>
      </c>
      <c r="P95">
        <f>8*(N95/B95)^2</f>
        <v>3.4423715449099523E-3</v>
      </c>
      <c r="Q95" s="7">
        <f>8*(O95/B95)^2</f>
        <v>3.4085381852924043E-3</v>
      </c>
      <c r="R95" s="8">
        <f>(Q95-P95)/P95</f>
        <v>-9.8285031630521037E-3</v>
      </c>
      <c r="S95" s="6">
        <f>500*2*O95/B95</f>
        <v>20.641397073879244</v>
      </c>
      <c r="T95" s="2">
        <f>B95/4*P95</f>
        <v>215.14822155687202</v>
      </c>
      <c r="U95" s="6">
        <f t="shared" si="26"/>
        <v>171.134601</v>
      </c>
      <c r="V95" s="6">
        <f t="shared" si="24"/>
        <v>171.134601</v>
      </c>
      <c r="W95" s="6">
        <f>G95*N95</f>
        <v>171.134601</v>
      </c>
      <c r="X95" s="2">
        <f>H95*N95</f>
        <v>42.783650250000001</v>
      </c>
    </row>
    <row r="96" spans="1:24">
      <c r="O96" s="6"/>
      <c r="V96" s="6"/>
    </row>
    <row r="97" spans="1:24">
      <c r="O97" s="6"/>
      <c r="V97" s="6"/>
    </row>
    <row r="98" spans="1:24">
      <c r="A98" t="s">
        <v>89</v>
      </c>
      <c r="B98" s="3">
        <v>250000</v>
      </c>
      <c r="C98" s="3" t="s">
        <v>48</v>
      </c>
      <c r="D98" s="3" t="s">
        <v>127</v>
      </c>
      <c r="E98" s="3">
        <v>0.1</v>
      </c>
      <c r="F98" s="3">
        <v>0.1</v>
      </c>
      <c r="G98">
        <f>F98</f>
        <v>0.1</v>
      </c>
      <c r="H98" s="3">
        <f>0.25*G98</f>
        <v>2.5000000000000001E-2</v>
      </c>
      <c r="I98" s="3">
        <v>1</v>
      </c>
      <c r="J98" s="3" t="s">
        <v>26</v>
      </c>
      <c r="K98" s="3" t="s">
        <v>27</v>
      </c>
      <c r="L98">
        <v>0.1</v>
      </c>
      <c r="M98" s="6">
        <f>L98/H98</f>
        <v>4</v>
      </c>
      <c r="N98" s="6">
        <v>5185.8969999999999</v>
      </c>
      <c r="O98" s="6">
        <v>5150.2287556594101</v>
      </c>
      <c r="P98">
        <f>8*(N98/B98)^2</f>
        <v>3.4423715449099523E-3</v>
      </c>
      <c r="Q98" s="7">
        <f>8*(O98/B98)^2</f>
        <v>3.3951815981594973E-3</v>
      </c>
      <c r="R98" s="8">
        <f>(Q98-P98)/P98</f>
        <v>-1.3708557061550242E-2</v>
      </c>
      <c r="S98" s="6">
        <f>500*2*O98/B98</f>
        <v>20.60091502263764</v>
      </c>
      <c r="T98" s="2">
        <f>B98/4*P98</f>
        <v>215.14822155687202</v>
      </c>
      <c r="U98" s="6">
        <f t="shared" ref="U98:U101" si="27">E98*N98</f>
        <v>518.58969999999999</v>
      </c>
      <c r="V98" s="6">
        <f t="shared" ref="V98:V119" si="28">F98*N98</f>
        <v>518.58969999999999</v>
      </c>
      <c r="W98" s="6">
        <f>G98*N98</f>
        <v>518.58969999999999</v>
      </c>
      <c r="X98" s="2">
        <f>H98*N98</f>
        <v>129.647425</v>
      </c>
    </row>
    <row r="99" spans="1:24">
      <c r="A99" t="s">
        <v>89</v>
      </c>
      <c r="B99" s="3">
        <v>250000</v>
      </c>
      <c r="C99" s="3" t="s">
        <v>48</v>
      </c>
      <c r="D99" s="3" t="s">
        <v>128</v>
      </c>
      <c r="E99" s="3">
        <v>6.7000000000000004E-2</v>
      </c>
      <c r="F99" s="3">
        <v>6.7000000000000004E-2</v>
      </c>
      <c r="G99">
        <f>F99</f>
        <v>6.7000000000000004E-2</v>
      </c>
      <c r="H99" s="3">
        <f>0.25*G99</f>
        <v>1.6750000000000001E-2</v>
      </c>
      <c r="I99" s="3">
        <v>1</v>
      </c>
      <c r="J99" s="3" t="s">
        <v>26</v>
      </c>
      <c r="K99" s="3" t="s">
        <v>27</v>
      </c>
      <c r="L99">
        <v>0.1</v>
      </c>
      <c r="M99" s="6">
        <f>L99/H99</f>
        <v>5.9701492537313436</v>
      </c>
      <c r="N99" s="6">
        <v>5185.8969999999999</v>
      </c>
      <c r="O99" s="6">
        <v>5138.61073565483</v>
      </c>
      <c r="P99">
        <f>8*(N99/B99)^2</f>
        <v>3.4423715449099523E-3</v>
      </c>
      <c r="Q99" s="7">
        <f>8*(O99/B99)^2</f>
        <v>3.3798809974511447E-3</v>
      </c>
      <c r="R99" s="8">
        <f>(Q99-P99)/P99</f>
        <v>-1.8153341858524522E-2</v>
      </c>
      <c r="S99" s="6">
        <f>500*2*O99/B99</f>
        <v>20.554442942619321</v>
      </c>
      <c r="T99" s="2">
        <f>B99/4*P99</f>
        <v>215.14822155687202</v>
      </c>
      <c r="U99" s="6">
        <f t="shared" si="27"/>
        <v>347.45509900000002</v>
      </c>
      <c r="V99" s="6">
        <f t="shared" si="28"/>
        <v>347.45509900000002</v>
      </c>
      <c r="W99" s="6">
        <f>G99*N99</f>
        <v>347.45509900000002</v>
      </c>
      <c r="X99" s="2">
        <f>H99*N99</f>
        <v>86.863774750000005</v>
      </c>
    </row>
    <row r="100" spans="1:24">
      <c r="A100" t="s">
        <v>89</v>
      </c>
      <c r="B100" s="3">
        <v>250000</v>
      </c>
      <c r="C100" s="3" t="s">
        <v>48</v>
      </c>
      <c r="D100" s="3" t="s">
        <v>129</v>
      </c>
      <c r="E100" s="3">
        <v>0.05</v>
      </c>
      <c r="F100" s="3">
        <v>0.05</v>
      </c>
      <c r="G100">
        <f>F100</f>
        <v>0.05</v>
      </c>
      <c r="H100" s="3">
        <f>0.25*G100</f>
        <v>1.2500000000000001E-2</v>
      </c>
      <c r="I100" s="3">
        <v>1</v>
      </c>
      <c r="J100" s="3" t="s">
        <v>26</v>
      </c>
      <c r="K100" s="3" t="s">
        <v>27</v>
      </c>
      <c r="L100">
        <v>0.1</v>
      </c>
      <c r="M100" s="6">
        <f>L100/H100</f>
        <v>8</v>
      </c>
      <c r="N100" s="6">
        <v>5185.8969999999999</v>
      </c>
      <c r="O100" s="6">
        <v>5163.2875780213199</v>
      </c>
      <c r="P100">
        <f>8*(N100/B100)^2</f>
        <v>3.4423715449099523E-3</v>
      </c>
      <c r="Q100" s="7">
        <f>8*(O100/B100)^2</f>
        <v>3.4124209425087063E-3</v>
      </c>
      <c r="R100" s="8">
        <f>(Q100-P100)/P100</f>
        <v>-8.7005722684212698E-3</v>
      </c>
      <c r="S100" s="6">
        <f>500*2*O100/B100</f>
        <v>20.653150312085277</v>
      </c>
      <c r="T100" s="2">
        <f>B100/4*P100</f>
        <v>215.14822155687202</v>
      </c>
      <c r="U100" s="6">
        <f t="shared" si="27"/>
        <v>259.29485</v>
      </c>
      <c r="V100" s="6">
        <f t="shared" si="28"/>
        <v>259.29485</v>
      </c>
      <c r="W100" s="6">
        <f>G100*N100</f>
        <v>259.29485</v>
      </c>
      <c r="X100" s="2">
        <f>H100*N100</f>
        <v>64.823712499999999</v>
      </c>
    </row>
    <row r="101" spans="1:24">
      <c r="A101" t="s">
        <v>89</v>
      </c>
      <c r="B101" s="3">
        <v>250000</v>
      </c>
      <c r="C101" s="3" t="s">
        <v>48</v>
      </c>
      <c r="D101" s="3" t="s">
        <v>130</v>
      </c>
      <c r="E101" s="3">
        <v>3.3000000000000002E-2</v>
      </c>
      <c r="F101" s="3">
        <v>3.3000000000000002E-2</v>
      </c>
      <c r="G101">
        <f>F101</f>
        <v>3.3000000000000002E-2</v>
      </c>
      <c r="H101" s="3">
        <f>0.25*G101</f>
        <v>8.2500000000000004E-3</v>
      </c>
      <c r="I101" s="3">
        <v>1</v>
      </c>
      <c r="J101" s="3" t="s">
        <v>26</v>
      </c>
      <c r="K101" s="3" t="s">
        <v>27</v>
      </c>
      <c r="L101">
        <v>0.1</v>
      </c>
      <c r="M101" s="6">
        <f>L101/H101</f>
        <v>12.121212121212121</v>
      </c>
      <c r="N101" s="6">
        <v>5185.8969999999999</v>
      </c>
      <c r="O101" s="6">
        <v>5149.6803129002901</v>
      </c>
      <c r="P101">
        <f>8*(N101/B101)^2</f>
        <v>3.4423715449099523E-3</v>
      </c>
      <c r="Q101" s="7">
        <f>8*(O101/B101)^2</f>
        <v>3.394458537609322E-3</v>
      </c>
      <c r="R101" s="8">
        <f>(Q101-P101)/P101</f>
        <v>-1.391860427485715E-2</v>
      </c>
      <c r="S101" s="6">
        <f>500*2*O101/B101</f>
        <v>20.598721251601159</v>
      </c>
      <c r="T101" s="2">
        <f>B101/4*P101</f>
        <v>215.14822155687202</v>
      </c>
      <c r="U101" s="6">
        <f t="shared" si="27"/>
        <v>171.134601</v>
      </c>
      <c r="V101" s="6">
        <f t="shared" si="28"/>
        <v>171.134601</v>
      </c>
      <c r="W101" s="6">
        <f>G101*N101</f>
        <v>171.134601</v>
      </c>
      <c r="X101" s="2">
        <f>H101*N101</f>
        <v>42.783650250000001</v>
      </c>
    </row>
    <row r="102" spans="1:24">
      <c r="O102" s="6"/>
      <c r="V102" s="6"/>
    </row>
    <row r="103" spans="1:24">
      <c r="A103" t="s">
        <v>67</v>
      </c>
      <c r="O103" s="6"/>
      <c r="V103" s="6"/>
    </row>
    <row r="104" spans="1:24">
      <c r="A104" t="s">
        <v>69</v>
      </c>
      <c r="B104" s="3">
        <v>250000</v>
      </c>
      <c r="C104" s="3" t="s">
        <v>48</v>
      </c>
      <c r="D104" s="3" t="s">
        <v>127</v>
      </c>
      <c r="E104" s="3">
        <v>0.1</v>
      </c>
      <c r="F104" s="3">
        <v>0.1</v>
      </c>
      <c r="G104">
        <f>F104</f>
        <v>0.1</v>
      </c>
      <c r="H104" s="3">
        <f>0.25*G104</f>
        <v>2.5000000000000001E-2</v>
      </c>
      <c r="I104" s="3">
        <v>1</v>
      </c>
      <c r="J104" s="3" t="s">
        <v>26</v>
      </c>
      <c r="K104" s="3" t="s">
        <v>27</v>
      </c>
      <c r="L104">
        <v>0.1</v>
      </c>
      <c r="M104" s="6">
        <f>L104/H104</f>
        <v>4</v>
      </c>
      <c r="N104" s="6">
        <v>5185.8969999999999</v>
      </c>
      <c r="O104" s="6">
        <v>5223.4826079345203</v>
      </c>
      <c r="P104">
        <f>8*(N104/B104)^2</f>
        <v>3.4423715449099523E-3</v>
      </c>
      <c r="Q104" s="7">
        <f>8*(O104/B104)^2</f>
        <v>3.4924506310904852E-3</v>
      </c>
      <c r="R104" s="8">
        <f>(Q104-P104)/P104</f>
        <v>1.4547844567964248E-2</v>
      </c>
      <c r="S104" s="6">
        <f>500*2*O104/B104</f>
        <v>20.893930431738081</v>
      </c>
      <c r="T104" s="2">
        <f>B104/4*P104</f>
        <v>215.14822155687202</v>
      </c>
      <c r="U104" s="6">
        <f t="shared" ref="U104:U107" si="29">E104*N104</f>
        <v>518.58969999999999</v>
      </c>
      <c r="V104" s="6">
        <f t="shared" si="28"/>
        <v>518.58969999999999</v>
      </c>
      <c r="W104" s="6">
        <f>G104*N104</f>
        <v>518.58969999999999</v>
      </c>
      <c r="X104" s="2">
        <f>H104*N104</f>
        <v>129.647425</v>
      </c>
    </row>
    <row r="105" spans="1:24">
      <c r="A105" t="s">
        <v>69</v>
      </c>
      <c r="B105" s="3">
        <v>250000</v>
      </c>
      <c r="C105" s="3" t="s">
        <v>48</v>
      </c>
      <c r="D105" s="3" t="s">
        <v>128</v>
      </c>
      <c r="E105" s="3">
        <v>6.7000000000000004E-2</v>
      </c>
      <c r="F105" s="3">
        <v>6.7000000000000004E-2</v>
      </c>
      <c r="G105">
        <f>F105</f>
        <v>6.7000000000000004E-2</v>
      </c>
      <c r="H105" s="3">
        <f>0.25*G105</f>
        <v>1.6750000000000001E-2</v>
      </c>
      <c r="I105" s="3">
        <v>1</v>
      </c>
      <c r="J105" s="3" t="s">
        <v>26</v>
      </c>
      <c r="K105" s="3" t="s">
        <v>27</v>
      </c>
      <c r="L105">
        <v>0.1</v>
      </c>
      <c r="M105" s="6">
        <f>L105/H105</f>
        <v>5.9701492537313436</v>
      </c>
      <c r="N105" s="6">
        <v>5185.8969999999999</v>
      </c>
      <c r="O105" s="6">
        <v>5221.7433220266303</v>
      </c>
      <c r="P105">
        <f>8*(N105/B105)^2</f>
        <v>3.4423715449099523E-3</v>
      </c>
      <c r="Q105" s="7">
        <f>8*(O105/B105)^2</f>
        <v>3.4901252251046027E-3</v>
      </c>
      <c r="R105" s="8">
        <f>(Q105-P105)/P105</f>
        <v>1.3872320164062809E-2</v>
      </c>
      <c r="S105" s="6">
        <f>500*2*O105/B105</f>
        <v>20.886973288106521</v>
      </c>
      <c r="T105" s="2">
        <f>B105/4*P105</f>
        <v>215.14822155687202</v>
      </c>
      <c r="U105" s="6">
        <f t="shared" si="29"/>
        <v>347.45509900000002</v>
      </c>
      <c r="V105" s="6">
        <f t="shared" si="28"/>
        <v>347.45509900000002</v>
      </c>
      <c r="W105" s="6">
        <f>G105*N105</f>
        <v>347.45509900000002</v>
      </c>
      <c r="X105" s="2">
        <f>H105*N105</f>
        <v>86.863774750000005</v>
      </c>
    </row>
    <row r="106" spans="1:24">
      <c r="A106" t="s">
        <v>69</v>
      </c>
      <c r="B106" s="3">
        <v>250000</v>
      </c>
      <c r="C106" s="3" t="s">
        <v>48</v>
      </c>
      <c r="D106" s="3" t="s">
        <v>129</v>
      </c>
      <c r="E106" s="3">
        <v>0.05</v>
      </c>
      <c r="F106" s="3">
        <v>0.05</v>
      </c>
      <c r="G106">
        <f>F106</f>
        <v>0.05</v>
      </c>
      <c r="H106" s="3">
        <f>0.25*G106</f>
        <v>1.2500000000000001E-2</v>
      </c>
      <c r="I106" s="3">
        <v>1</v>
      </c>
      <c r="J106" s="3" t="s">
        <v>26</v>
      </c>
      <c r="K106" s="3" t="s">
        <v>27</v>
      </c>
      <c r="L106">
        <v>0.1</v>
      </c>
      <c r="M106" s="6">
        <f>L106/H106</f>
        <v>8</v>
      </c>
      <c r="N106" s="6">
        <v>5185.8969999999999</v>
      </c>
      <c r="O106" s="6">
        <v>5237.8650971100296</v>
      </c>
      <c r="P106">
        <f>8*(N106/B106)^2</f>
        <v>3.4423715449099523E-3</v>
      </c>
      <c r="Q106" s="7">
        <f>8*(O106/B106)^2</f>
        <v>3.511709539267003E-3</v>
      </c>
      <c r="R106" s="8">
        <f>(Q106-P106)/P106</f>
        <v>2.0142507411664224E-2</v>
      </c>
      <c r="S106" s="6">
        <f>500*2*O106/B106</f>
        <v>20.951460388440118</v>
      </c>
      <c r="T106" s="2">
        <f>B106/4*P106</f>
        <v>215.14822155687202</v>
      </c>
      <c r="U106" s="6">
        <f t="shared" si="29"/>
        <v>259.29485</v>
      </c>
      <c r="V106" s="6">
        <f t="shared" si="28"/>
        <v>259.29485</v>
      </c>
      <c r="W106" s="6">
        <f>G106*N106</f>
        <v>259.29485</v>
      </c>
      <c r="X106" s="2">
        <f>H106*N106</f>
        <v>64.823712499999999</v>
      </c>
    </row>
    <row r="107" spans="1:24">
      <c r="A107" t="s">
        <v>69</v>
      </c>
      <c r="B107" s="3">
        <v>250000</v>
      </c>
      <c r="C107" s="3" t="s">
        <v>48</v>
      </c>
      <c r="D107" s="3" t="s">
        <v>130</v>
      </c>
      <c r="E107" s="3">
        <v>3.3000000000000002E-2</v>
      </c>
      <c r="F107" s="3">
        <v>3.3000000000000002E-2</v>
      </c>
      <c r="G107">
        <f>F107</f>
        <v>3.3000000000000002E-2</v>
      </c>
      <c r="H107" s="3">
        <f>0.25*G107</f>
        <v>8.2500000000000004E-3</v>
      </c>
      <c r="I107" s="3">
        <v>1</v>
      </c>
      <c r="J107" s="3" t="s">
        <v>26</v>
      </c>
      <c r="K107" s="3" t="s">
        <v>27</v>
      </c>
      <c r="L107">
        <v>0.1</v>
      </c>
      <c r="M107" s="6">
        <f>L107/H107</f>
        <v>12.121212121212121</v>
      </c>
      <c r="N107" s="6">
        <v>5185.8969999999999</v>
      </c>
      <c r="O107" s="6">
        <v>5211.7641765039198</v>
      </c>
      <c r="P107">
        <f>8*(N107/B107)^2</f>
        <v>3.4423715449099523E-3</v>
      </c>
      <c r="Q107" s="7">
        <f>8*(O107/B107)^2</f>
        <v>3.4767981864306666E-3</v>
      </c>
      <c r="R107" s="8">
        <f>(Q107-P107)/P107</f>
        <v>1.0000850016210226E-2</v>
      </c>
      <c r="S107" s="6">
        <f>500*2*O107/B107</f>
        <v>20.847056706015682</v>
      </c>
      <c r="T107" s="2">
        <f>B107/4*P107</f>
        <v>215.14822155687202</v>
      </c>
      <c r="U107" s="6">
        <f t="shared" si="29"/>
        <v>171.134601</v>
      </c>
      <c r="V107" s="6">
        <f t="shared" si="28"/>
        <v>171.134601</v>
      </c>
      <c r="W107" s="6">
        <f>G107*N107</f>
        <v>171.134601</v>
      </c>
      <c r="X107" s="2">
        <f>H107*N107</f>
        <v>42.783650250000001</v>
      </c>
    </row>
    <row r="108" spans="1:24">
      <c r="O108" s="6"/>
      <c r="V108" s="6"/>
    </row>
    <row r="109" spans="1:24">
      <c r="O109" s="6"/>
      <c r="V109" s="6"/>
    </row>
    <row r="110" spans="1:24">
      <c r="A110" t="s">
        <v>68</v>
      </c>
      <c r="B110" s="3">
        <v>250000</v>
      </c>
      <c r="C110" s="3" t="s">
        <v>48</v>
      </c>
      <c r="D110" s="3" t="s">
        <v>127</v>
      </c>
      <c r="E110" s="3">
        <v>0.1</v>
      </c>
      <c r="F110" s="3">
        <v>0.1</v>
      </c>
      <c r="G110">
        <f>F110</f>
        <v>0.1</v>
      </c>
      <c r="H110" s="3">
        <f>0.25*G110</f>
        <v>2.5000000000000001E-2</v>
      </c>
      <c r="I110" s="3">
        <v>1</v>
      </c>
      <c r="J110" s="3" t="s">
        <v>26</v>
      </c>
      <c r="K110" s="3" t="s">
        <v>27</v>
      </c>
      <c r="L110">
        <v>0.1</v>
      </c>
      <c r="M110" s="6">
        <f>L110/H110</f>
        <v>4</v>
      </c>
      <c r="N110" s="6">
        <v>5185.8969999999999</v>
      </c>
      <c r="O110" s="6">
        <v>5151.0393081271804</v>
      </c>
      <c r="P110">
        <f>8*(N110/B110)^2</f>
        <v>3.4423715449099523E-3</v>
      </c>
      <c r="Q110" s="7">
        <f>8*(O110/B110)^2</f>
        <v>3.3962503620955319E-3</v>
      </c>
      <c r="R110" s="8">
        <f>(Q110-P110)/P110</f>
        <v>-1.3398083911836091E-2</v>
      </c>
      <c r="S110" s="6">
        <f>500*2*O110/B110</f>
        <v>20.604157232508722</v>
      </c>
      <c r="T110" s="2">
        <f>B110/4*P110</f>
        <v>215.14822155687202</v>
      </c>
      <c r="U110" s="6">
        <f t="shared" ref="U110:U113" si="30">E110*N110</f>
        <v>518.58969999999999</v>
      </c>
      <c r="V110" s="6">
        <f t="shared" si="28"/>
        <v>518.58969999999999</v>
      </c>
      <c r="W110" s="6">
        <f>G110*N110</f>
        <v>518.58969999999999</v>
      </c>
      <c r="X110" s="2">
        <f>H110*N110</f>
        <v>129.647425</v>
      </c>
    </row>
    <row r="111" spans="1:24">
      <c r="A111" t="s">
        <v>68</v>
      </c>
      <c r="B111" s="3">
        <v>250000</v>
      </c>
      <c r="C111" s="3" t="s">
        <v>48</v>
      </c>
      <c r="D111" s="3" t="s">
        <v>128</v>
      </c>
      <c r="E111" s="3">
        <v>6.7000000000000004E-2</v>
      </c>
      <c r="F111" s="3">
        <v>6.7000000000000004E-2</v>
      </c>
      <c r="G111">
        <f>F111</f>
        <v>6.7000000000000004E-2</v>
      </c>
      <c r="H111" s="3">
        <f>0.25*G111</f>
        <v>1.6750000000000001E-2</v>
      </c>
      <c r="I111" s="3">
        <v>1</v>
      </c>
      <c r="J111" s="3" t="s">
        <v>26</v>
      </c>
      <c r="K111" s="3" t="s">
        <v>27</v>
      </c>
      <c r="L111">
        <v>0.1</v>
      </c>
      <c r="M111" s="6">
        <f>L111/H111</f>
        <v>5.9701492537313436</v>
      </c>
      <c r="N111" s="6">
        <v>5185.8969999999999</v>
      </c>
      <c r="O111" s="6">
        <v>5156.7697362610397</v>
      </c>
      <c r="P111">
        <f>8*(N111/B111)^2</f>
        <v>3.4423715449099523E-3</v>
      </c>
      <c r="Q111" s="7">
        <f>8*(O111/B111)^2</f>
        <v>3.403811086440672E-3</v>
      </c>
      <c r="R111" s="8">
        <f>(Q111-P111)/P111</f>
        <v>-1.1201713111502323E-2</v>
      </c>
      <c r="S111" s="6">
        <f>500*2*O111/B111</f>
        <v>20.627078945044161</v>
      </c>
      <c r="T111" s="2">
        <f>B111/4*P111</f>
        <v>215.14822155687202</v>
      </c>
      <c r="U111" s="6">
        <f t="shared" si="30"/>
        <v>347.45509900000002</v>
      </c>
      <c r="V111" s="6">
        <f t="shared" si="28"/>
        <v>347.45509900000002</v>
      </c>
      <c r="W111" s="6">
        <f>G111*N111</f>
        <v>347.45509900000002</v>
      </c>
      <c r="X111" s="2">
        <f>H111*N111</f>
        <v>86.863774750000005</v>
      </c>
    </row>
    <row r="112" spans="1:24">
      <c r="A112" t="s">
        <v>68</v>
      </c>
      <c r="B112" s="3">
        <v>250000</v>
      </c>
      <c r="C112" s="3" t="s">
        <v>48</v>
      </c>
      <c r="D112" s="3" t="s">
        <v>129</v>
      </c>
      <c r="E112" s="3">
        <v>0.05</v>
      </c>
      <c r="F112" s="3">
        <v>0.05</v>
      </c>
      <c r="G112">
        <f>F112</f>
        <v>0.05</v>
      </c>
      <c r="H112" s="3">
        <f>0.25*G112</f>
        <v>1.2500000000000001E-2</v>
      </c>
      <c r="I112" s="3">
        <v>1</v>
      </c>
      <c r="J112" s="3" t="s">
        <v>26</v>
      </c>
      <c r="K112" s="3" t="s">
        <v>27</v>
      </c>
      <c r="L112">
        <v>0.1</v>
      </c>
      <c r="M112" s="6">
        <f>L112/H112</f>
        <v>8</v>
      </c>
      <c r="N112" s="6">
        <v>5185.8969999999999</v>
      </c>
      <c r="O112" s="6">
        <v>5163.6698001868599</v>
      </c>
      <c r="P112">
        <f>8*(N112/B112)^2</f>
        <v>3.4423715449099523E-3</v>
      </c>
      <c r="Q112" s="7">
        <f>8*(O112/B112)^2</f>
        <v>3.4129261830863106E-3</v>
      </c>
      <c r="R112" s="8">
        <f>(Q112-P112)/P112</f>
        <v>-8.5538011918501224E-3</v>
      </c>
      <c r="S112" s="6">
        <f>500*2*O112/B112</f>
        <v>20.654679200747438</v>
      </c>
      <c r="T112" s="2">
        <f>B112/4*P112</f>
        <v>215.14822155687202</v>
      </c>
      <c r="U112" s="6">
        <f t="shared" si="30"/>
        <v>259.29485</v>
      </c>
      <c r="V112" s="6">
        <f t="shared" si="28"/>
        <v>259.29485</v>
      </c>
      <c r="W112" s="6">
        <f>G112*N112</f>
        <v>259.29485</v>
      </c>
      <c r="X112" s="2">
        <f>H112*N112</f>
        <v>64.823712499999999</v>
      </c>
    </row>
    <row r="113" spans="1:24">
      <c r="A113" t="s">
        <v>68</v>
      </c>
      <c r="B113" s="3">
        <v>250000</v>
      </c>
      <c r="C113" s="3" t="s">
        <v>48</v>
      </c>
      <c r="D113" s="3" t="s">
        <v>130</v>
      </c>
      <c r="E113" s="3">
        <v>3.3000000000000002E-2</v>
      </c>
      <c r="F113" s="3">
        <v>3.3000000000000002E-2</v>
      </c>
      <c r="G113">
        <f>F113</f>
        <v>3.3000000000000002E-2</v>
      </c>
      <c r="H113" s="3">
        <f>0.25*G113</f>
        <v>8.2500000000000004E-3</v>
      </c>
      <c r="I113" s="3">
        <v>1</v>
      </c>
      <c r="J113" s="3" t="s">
        <v>26</v>
      </c>
      <c r="K113" s="3" t="s">
        <v>27</v>
      </c>
      <c r="L113">
        <v>0.1</v>
      </c>
      <c r="M113" s="6">
        <f>L113/H113</f>
        <v>12.121212121212121</v>
      </c>
      <c r="N113" s="6">
        <v>5185.8969999999999</v>
      </c>
      <c r="O113" s="6">
        <v>5154.3938959526904</v>
      </c>
      <c r="P113">
        <f>8*(N113/B113)^2</f>
        <v>3.4423715449099523E-3</v>
      </c>
      <c r="Q113" s="7">
        <f>8*(O113/B113)^2</f>
        <v>3.4006753836331978E-3</v>
      </c>
      <c r="R113" s="8">
        <f>(Q113-P113)/P113</f>
        <v>-1.2112626639157621E-2</v>
      </c>
      <c r="S113" s="6">
        <f>500*2*O113/B113</f>
        <v>20.617575583810762</v>
      </c>
      <c r="T113" s="2">
        <f>B113/4*P113</f>
        <v>215.14822155687202</v>
      </c>
      <c r="U113" s="6">
        <f t="shared" si="30"/>
        <v>171.134601</v>
      </c>
      <c r="V113" s="6">
        <f t="shared" si="28"/>
        <v>171.134601</v>
      </c>
      <c r="W113" s="6">
        <f>G113*N113</f>
        <v>171.134601</v>
      </c>
      <c r="X113" s="2">
        <f>H113*N113</f>
        <v>42.783650250000001</v>
      </c>
    </row>
    <row r="114" spans="1:24">
      <c r="B114" s="3"/>
      <c r="C114" s="3"/>
      <c r="D114" s="3"/>
      <c r="E114" s="3"/>
      <c r="F114" s="3"/>
      <c r="H114" s="3"/>
      <c r="I114" s="3"/>
      <c r="J114" s="3"/>
      <c r="K114" s="3"/>
      <c r="M114" s="6"/>
      <c r="N114" s="6"/>
      <c r="O114" s="6"/>
      <c r="Q114" s="7"/>
      <c r="R114" s="8"/>
      <c r="S114" s="6"/>
      <c r="T114" s="2"/>
      <c r="U114" s="6"/>
      <c r="V114" s="6"/>
      <c r="W114" s="6"/>
      <c r="X114" s="2"/>
    </row>
    <row r="115" spans="1:24">
      <c r="O115" s="6"/>
      <c r="V115" s="6"/>
    </row>
    <row r="116" spans="1:24">
      <c r="A116" t="s">
        <v>47</v>
      </c>
      <c r="B116" s="3">
        <v>250000</v>
      </c>
      <c r="C116" s="3" t="s">
        <v>48</v>
      </c>
      <c r="D116" s="3" t="s">
        <v>127</v>
      </c>
      <c r="E116" s="3">
        <v>0.1</v>
      </c>
      <c r="F116" s="3">
        <v>0.1</v>
      </c>
      <c r="G116">
        <f>F116</f>
        <v>0.1</v>
      </c>
      <c r="H116" s="3">
        <f>0.25*G116</f>
        <v>2.5000000000000001E-2</v>
      </c>
      <c r="I116" s="3">
        <v>1</v>
      </c>
      <c r="J116" s="3" t="s">
        <v>26</v>
      </c>
      <c r="K116" s="3" t="s">
        <v>27</v>
      </c>
      <c r="L116">
        <v>0.1</v>
      </c>
      <c r="M116" s="6">
        <f>L116/H116</f>
        <v>4</v>
      </c>
      <c r="N116" s="6">
        <v>5185.8969999999999</v>
      </c>
      <c r="O116" s="6">
        <v>2743.1537675531599</v>
      </c>
      <c r="P116">
        <f>8*(N116/B116)^2</f>
        <v>3.4423715449099523E-3</v>
      </c>
      <c r="Q116" s="7">
        <f>8*(O116/B116)^2</f>
        <v>9.6318625183246015E-4</v>
      </c>
      <c r="R116" s="8">
        <f>(Q116-P116)/P116</f>
        <v>-0.72019689354663896</v>
      </c>
      <c r="S116" s="6">
        <f>500*2*O116/B116</f>
        <v>10.97261507021264</v>
      </c>
      <c r="T116" s="2">
        <f>B116/4*P116</f>
        <v>215.14822155687202</v>
      </c>
      <c r="U116" s="6">
        <f t="shared" ref="U116:U119" si="31">E116*N116</f>
        <v>518.58969999999999</v>
      </c>
      <c r="V116" s="6">
        <f t="shared" si="28"/>
        <v>518.58969999999999</v>
      </c>
      <c r="W116" s="6">
        <f t="shared" ref="W116:W119" si="32">G116*N116</f>
        <v>518.58969999999999</v>
      </c>
      <c r="X116" s="2">
        <f t="shared" ref="X116:X119" si="33">H116*N116</f>
        <v>129.647425</v>
      </c>
    </row>
    <row r="117" spans="1:24">
      <c r="A117" t="s">
        <v>47</v>
      </c>
      <c r="B117" s="3">
        <v>250000</v>
      </c>
      <c r="C117" s="3" t="s">
        <v>48</v>
      </c>
      <c r="D117" s="3" t="s">
        <v>128</v>
      </c>
      <c r="E117" s="3">
        <v>6.7000000000000004E-2</v>
      </c>
      <c r="F117" s="3">
        <v>6.7000000000000004E-2</v>
      </c>
      <c r="G117">
        <f>F117</f>
        <v>6.7000000000000004E-2</v>
      </c>
      <c r="H117" s="3">
        <f>0.25*G117</f>
        <v>1.6750000000000001E-2</v>
      </c>
      <c r="I117" s="3">
        <v>1</v>
      </c>
      <c r="J117" s="3" t="s">
        <v>26</v>
      </c>
      <c r="K117" s="3" t="s">
        <v>27</v>
      </c>
      <c r="L117">
        <v>0.1</v>
      </c>
      <c r="M117" s="6">
        <f>L117/H117</f>
        <v>5.9701492537313436</v>
      </c>
      <c r="N117" s="6">
        <v>5185.8969999999999</v>
      </c>
      <c r="O117" s="6">
        <v>3268.0035118168398</v>
      </c>
      <c r="P117">
        <f>8*(N117/B117)^2</f>
        <v>3.4423715449099523E-3</v>
      </c>
      <c r="Q117" s="7">
        <f>8*(O117/B117)^2</f>
        <v>1.3670204100156415E-3</v>
      </c>
      <c r="R117" s="8">
        <f>(Q117-P117)/P117</f>
        <v>-0.60288411864286395</v>
      </c>
      <c r="S117" s="6">
        <f>500*2*O117/B117</f>
        <v>13.072014047267359</v>
      </c>
      <c r="T117" s="2">
        <f>B117/4*P117</f>
        <v>215.14822155687202</v>
      </c>
      <c r="U117" s="6">
        <f t="shared" si="31"/>
        <v>347.45509900000002</v>
      </c>
      <c r="V117" s="6">
        <f t="shared" si="28"/>
        <v>347.45509900000002</v>
      </c>
      <c r="W117" s="6">
        <f t="shared" si="32"/>
        <v>347.45509900000002</v>
      </c>
      <c r="X117" s="2">
        <f t="shared" si="33"/>
        <v>86.863774750000005</v>
      </c>
    </row>
    <row r="118" spans="1:24">
      <c r="A118" t="s">
        <v>47</v>
      </c>
      <c r="B118" s="3">
        <v>250000</v>
      </c>
      <c r="C118" s="3" t="s">
        <v>48</v>
      </c>
      <c r="D118" s="3" t="s">
        <v>129</v>
      </c>
      <c r="E118" s="3">
        <v>0.05</v>
      </c>
      <c r="F118" s="3">
        <v>0.05</v>
      </c>
      <c r="G118">
        <f>F118</f>
        <v>0.05</v>
      </c>
      <c r="H118" s="3">
        <f>0.25*G118</f>
        <v>1.2500000000000001E-2</v>
      </c>
      <c r="I118" s="3">
        <v>1</v>
      </c>
      <c r="J118" s="3" t="s">
        <v>26</v>
      </c>
      <c r="K118" s="3" t="s">
        <v>27</v>
      </c>
      <c r="L118">
        <v>0.1</v>
      </c>
      <c r="M118" s="6">
        <f>L118/H118</f>
        <v>8</v>
      </c>
      <c r="N118" s="6">
        <v>5185.8969999999999</v>
      </c>
      <c r="O118" s="6">
        <v>3655.12521174326</v>
      </c>
      <c r="P118">
        <f>8*(N118/B118)^2</f>
        <v>3.4423715449099523E-3</v>
      </c>
      <c r="Q118" s="7">
        <f>8*(O118/B118)^2</f>
        <v>1.7100723601307152E-3</v>
      </c>
      <c r="R118" s="8">
        <f>(Q118-P118)/P118</f>
        <v>-0.50322841743817393</v>
      </c>
      <c r="S118" s="6">
        <f>500*2*O118/B118</f>
        <v>14.620500846973039</v>
      </c>
      <c r="T118" s="2">
        <f>B118/4*P118</f>
        <v>215.14822155687202</v>
      </c>
      <c r="U118" s="6">
        <f t="shared" si="31"/>
        <v>259.29485</v>
      </c>
      <c r="V118" s="6">
        <f t="shared" si="28"/>
        <v>259.29485</v>
      </c>
      <c r="W118" s="6">
        <f t="shared" si="32"/>
        <v>259.29485</v>
      </c>
      <c r="X118" s="2">
        <f t="shared" si="33"/>
        <v>64.823712499999999</v>
      </c>
    </row>
    <row r="119" spans="1:24">
      <c r="A119" t="s">
        <v>47</v>
      </c>
      <c r="B119" s="3">
        <v>250000</v>
      </c>
      <c r="C119" s="3" t="s">
        <v>48</v>
      </c>
      <c r="D119" s="3" t="s">
        <v>130</v>
      </c>
      <c r="E119" s="3">
        <v>3.3000000000000002E-2</v>
      </c>
      <c r="F119" s="3">
        <v>3.3000000000000002E-2</v>
      </c>
      <c r="G119">
        <f>F119</f>
        <v>3.3000000000000002E-2</v>
      </c>
      <c r="H119" s="3">
        <f>0.25*G119</f>
        <v>8.2500000000000004E-3</v>
      </c>
      <c r="I119" s="3">
        <v>1</v>
      </c>
      <c r="J119" s="3" t="s">
        <v>26</v>
      </c>
      <c r="K119" s="3" t="s">
        <v>27</v>
      </c>
      <c r="L119">
        <v>0.1</v>
      </c>
      <c r="M119" s="6">
        <f>L119/H119</f>
        <v>12.121212121212121</v>
      </c>
      <c r="N119" s="6">
        <v>5185.8969999999999</v>
      </c>
      <c r="O119" s="6">
        <v>4182.8312077934797</v>
      </c>
      <c r="P119">
        <f>8*(N119/B119)^2</f>
        <v>3.4423715449099523E-3</v>
      </c>
      <c r="Q119" s="7">
        <f>8*(O119/B119)^2</f>
        <v>2.2394978448500562E-3</v>
      </c>
      <c r="R119" s="8">
        <f>(Q119-P119)/P119</f>
        <v>-0.34943168811586306</v>
      </c>
      <c r="S119" s="6">
        <f>500*2*O119/B119</f>
        <v>16.731324831173918</v>
      </c>
      <c r="T119" s="2">
        <f>B119/4*P119</f>
        <v>215.14822155687202</v>
      </c>
      <c r="U119" s="6">
        <f t="shared" si="31"/>
        <v>171.134601</v>
      </c>
      <c r="V119" s="6">
        <f t="shared" si="28"/>
        <v>171.134601</v>
      </c>
      <c r="W119" s="6">
        <f t="shared" si="32"/>
        <v>171.134601</v>
      </c>
      <c r="X119" s="2">
        <f t="shared" si="33"/>
        <v>42.783650250000001</v>
      </c>
    </row>
    <row r="120" spans="1:24">
      <c r="O120" s="6"/>
      <c r="V120" s="6"/>
    </row>
    <row r="121" spans="1:24">
      <c r="O121" s="6"/>
      <c r="V121" s="6"/>
    </row>
    <row r="122" spans="1:24">
      <c r="A122" t="s">
        <v>90</v>
      </c>
      <c r="B122" s="3">
        <v>250000</v>
      </c>
      <c r="C122" s="3" t="s">
        <v>48</v>
      </c>
      <c r="D122" s="3" t="s">
        <v>127</v>
      </c>
      <c r="E122" s="3">
        <v>0.1</v>
      </c>
      <c r="F122" s="3">
        <v>0.1</v>
      </c>
      <c r="G122">
        <f>F122</f>
        <v>0.1</v>
      </c>
      <c r="H122" s="3">
        <f>0.25*G122</f>
        <v>2.5000000000000001E-2</v>
      </c>
      <c r="I122" s="3">
        <v>1</v>
      </c>
      <c r="J122" s="3" t="s">
        <v>26</v>
      </c>
      <c r="K122" s="3" t="s">
        <v>27</v>
      </c>
      <c r="L122">
        <v>0.1</v>
      </c>
      <c r="M122" s="6">
        <f>L122/H122</f>
        <v>4</v>
      </c>
      <c r="N122" s="6">
        <v>5185.8969999999999</v>
      </c>
      <c r="O122" s="6">
        <v>4960.6637403888799</v>
      </c>
      <c r="P122">
        <f>8*(N122/B122)^2</f>
        <v>3.4423715449099523E-3</v>
      </c>
      <c r="Q122" s="7">
        <f>8*(O122/B122)^2</f>
        <v>3.1498476473867513E-3</v>
      </c>
      <c r="R122" s="8">
        <f>(Q122-P122)/P122</f>
        <v>-8.4977433059409344E-2</v>
      </c>
      <c r="S122" s="6">
        <f>500*2*O122/B122</f>
        <v>19.842654961555517</v>
      </c>
      <c r="T122" s="2">
        <f>B122/4*P122</f>
        <v>215.14822155687202</v>
      </c>
      <c r="U122" s="6">
        <f t="shared" ref="U122:U125" si="34">E122*N122</f>
        <v>518.58969999999999</v>
      </c>
      <c r="V122" s="6">
        <f t="shared" ref="V122:V125" si="35">F122*N122</f>
        <v>518.58969999999999</v>
      </c>
      <c r="W122" s="6">
        <f>G122*N122</f>
        <v>518.58969999999999</v>
      </c>
      <c r="X122" s="2">
        <f>H122*N122</f>
        <v>129.647425</v>
      </c>
    </row>
    <row r="123" spans="1:24">
      <c r="A123" t="s">
        <v>90</v>
      </c>
      <c r="B123" s="3">
        <v>250000</v>
      </c>
      <c r="C123" s="3" t="s">
        <v>48</v>
      </c>
      <c r="D123" s="3" t="s">
        <v>128</v>
      </c>
      <c r="E123" s="3">
        <v>6.7000000000000004E-2</v>
      </c>
      <c r="F123" s="3">
        <v>6.7000000000000004E-2</v>
      </c>
      <c r="G123">
        <f>F123</f>
        <v>6.7000000000000004E-2</v>
      </c>
      <c r="H123" s="3">
        <f>0.25*G123</f>
        <v>1.6750000000000001E-2</v>
      </c>
      <c r="I123" s="3">
        <v>1</v>
      </c>
      <c r="J123" s="3" t="s">
        <v>26</v>
      </c>
      <c r="K123" s="3" t="s">
        <v>27</v>
      </c>
      <c r="L123">
        <v>0.1</v>
      </c>
      <c r="M123" s="6">
        <f>L123/H123</f>
        <v>5.9701492537313436</v>
      </c>
      <c r="N123" s="6">
        <v>5185.8969999999999</v>
      </c>
      <c r="O123" s="6">
        <v>5047.2924706829599</v>
      </c>
      <c r="P123">
        <f>8*(N123/B123)^2</f>
        <v>3.4423715449099523E-3</v>
      </c>
      <c r="Q123" s="7">
        <f>8*(O123/B123)^2</f>
        <v>3.2608206444304506E-3</v>
      </c>
      <c r="R123" s="8">
        <f>(Q123-P123)/P123</f>
        <v>-5.2740065420291748E-2</v>
      </c>
      <c r="S123" s="6">
        <f>500*2*O123/B123</f>
        <v>20.189169882731839</v>
      </c>
      <c r="T123" s="2">
        <f>B123/4*P123</f>
        <v>215.14822155687202</v>
      </c>
      <c r="U123" s="6">
        <f t="shared" si="34"/>
        <v>347.45509900000002</v>
      </c>
      <c r="V123" s="6">
        <f t="shared" si="35"/>
        <v>347.45509900000002</v>
      </c>
      <c r="W123" s="6">
        <f>G123*N123</f>
        <v>347.45509900000002</v>
      </c>
      <c r="X123" s="2">
        <f>H123*N123</f>
        <v>86.863774750000005</v>
      </c>
    </row>
    <row r="124" spans="1:24">
      <c r="A124" t="s">
        <v>90</v>
      </c>
      <c r="B124" s="3">
        <v>250000</v>
      </c>
      <c r="C124" s="3" t="s">
        <v>48</v>
      </c>
      <c r="D124" s="3" t="s">
        <v>129</v>
      </c>
      <c r="E124" s="3">
        <v>0.05</v>
      </c>
      <c r="F124" s="3">
        <v>0.05</v>
      </c>
      <c r="G124">
        <f>F124</f>
        <v>0.05</v>
      </c>
      <c r="H124" s="3">
        <f>0.25*G124</f>
        <v>1.2500000000000001E-2</v>
      </c>
      <c r="I124" s="3">
        <v>1</v>
      </c>
      <c r="J124" s="3" t="s">
        <v>26</v>
      </c>
      <c r="K124" s="3" t="s">
        <v>27</v>
      </c>
      <c r="L124">
        <v>0.1</v>
      </c>
      <c r="M124" s="6">
        <f>L124/H124</f>
        <v>8</v>
      </c>
      <c r="N124" s="6">
        <v>5185.8969999999999</v>
      </c>
      <c r="O124" s="6">
        <v>5090.5135219019503</v>
      </c>
      <c r="P124">
        <f>8*(N124/B124)^2</f>
        <v>3.4423715449099523E-3</v>
      </c>
      <c r="Q124" s="7">
        <f>8*(O124/B124)^2</f>
        <v>3.3169059733333243E-3</v>
      </c>
      <c r="R124" s="8">
        <f>(Q124-P124)/P124</f>
        <v>-3.6447422929156821E-2</v>
      </c>
      <c r="S124" s="6">
        <f>500*2*O124/B124</f>
        <v>20.362054087607802</v>
      </c>
      <c r="T124" s="2">
        <f>B124/4*P124</f>
        <v>215.14822155687202</v>
      </c>
      <c r="U124" s="6">
        <f t="shared" si="34"/>
        <v>259.29485</v>
      </c>
      <c r="V124" s="6">
        <f t="shared" si="35"/>
        <v>259.29485</v>
      </c>
      <c r="W124" s="6">
        <f>G124*N124</f>
        <v>259.29485</v>
      </c>
      <c r="X124" s="2">
        <f>H124*N124</f>
        <v>64.823712499999999</v>
      </c>
    </row>
    <row r="125" spans="1:24">
      <c r="A125" t="s">
        <v>90</v>
      </c>
      <c r="B125" s="3">
        <v>250000</v>
      </c>
      <c r="C125" s="3" t="s">
        <v>48</v>
      </c>
      <c r="D125" s="3" t="s">
        <v>130</v>
      </c>
      <c r="E125" s="3">
        <v>3.3000000000000002E-2</v>
      </c>
      <c r="F125" s="3">
        <v>3.3000000000000002E-2</v>
      </c>
      <c r="G125">
        <f>F125</f>
        <v>3.3000000000000002E-2</v>
      </c>
      <c r="H125" s="3">
        <f>0.25*G125</f>
        <v>8.2500000000000004E-3</v>
      </c>
      <c r="I125" s="3">
        <v>1</v>
      </c>
      <c r="J125" s="3" t="s">
        <v>26</v>
      </c>
      <c r="K125" s="3" t="s">
        <v>27</v>
      </c>
      <c r="L125">
        <v>0.1</v>
      </c>
      <c r="M125" s="6">
        <f>L125/H125</f>
        <v>12.121212121212121</v>
      </c>
      <c r="N125" s="6">
        <v>5185.8969999999999</v>
      </c>
      <c r="O125" s="6">
        <v>5182.0467619173896</v>
      </c>
      <c r="P125">
        <f>8*(N125/B125)^2</f>
        <v>3.4423715449099523E-3</v>
      </c>
      <c r="Q125" s="7">
        <f>8*(O125/B125)^2</f>
        <v>3.4372619062654083E-3</v>
      </c>
      <c r="R125" s="8">
        <f>(Q125-P125)/P125</f>
        <v>-1.4843367654776779E-3</v>
      </c>
      <c r="S125" s="6">
        <f>500*2*O125/B125</f>
        <v>20.728187047669561</v>
      </c>
      <c r="T125" s="2">
        <f>B125/4*P125</f>
        <v>215.14822155687202</v>
      </c>
      <c r="U125" s="6">
        <f t="shared" si="34"/>
        <v>171.134601</v>
      </c>
      <c r="V125" s="6">
        <f t="shared" si="35"/>
        <v>171.134601</v>
      </c>
      <c r="W125" s="6">
        <f>G125*N125</f>
        <v>171.134601</v>
      </c>
      <c r="X125" s="2">
        <f>H125*N125</f>
        <v>42.783650250000001</v>
      </c>
    </row>
    <row r="126" spans="1:24">
      <c r="O126" s="6"/>
      <c r="Q126" s="7"/>
      <c r="R126" s="8"/>
      <c r="V126" s="6"/>
    </row>
    <row r="127" spans="1:24">
      <c r="O127" s="6"/>
      <c r="Q127" s="7"/>
      <c r="R127" s="8"/>
      <c r="V127" s="6"/>
    </row>
    <row r="128" spans="1:24">
      <c r="O128" s="6"/>
    </row>
    <row r="129" spans="1:30">
      <c r="O129" s="6"/>
    </row>
    <row r="130" spans="1:30">
      <c r="O130" s="6"/>
    </row>
    <row r="131" spans="1:30">
      <c r="O131" s="6"/>
    </row>
    <row r="132" spans="1:30">
      <c r="A132" t="s">
        <v>34</v>
      </c>
      <c r="B132" s="3">
        <v>250000</v>
      </c>
      <c r="C132" s="3" t="s">
        <v>24</v>
      </c>
      <c r="D132" s="3" t="s">
        <v>116</v>
      </c>
      <c r="E132" s="3">
        <v>0.1</v>
      </c>
      <c r="F132" s="3">
        <v>0.1</v>
      </c>
      <c r="G132">
        <f t="shared" ref="G132:G142" si="36">F132</f>
        <v>0.1</v>
      </c>
      <c r="H132" s="3">
        <f>0.25*G132</f>
        <v>2.5000000000000001E-2</v>
      </c>
      <c r="I132" s="3">
        <v>1</v>
      </c>
      <c r="J132" s="3" t="s">
        <v>26</v>
      </c>
      <c r="K132" s="3" t="s">
        <v>27</v>
      </c>
      <c r="L132">
        <v>0.1</v>
      </c>
      <c r="M132" s="6">
        <f>L132/H132</f>
        <v>4</v>
      </c>
      <c r="N132" s="6">
        <v>5185.8969999999999</v>
      </c>
      <c r="O132" s="6">
        <v>5164.9557846054804</v>
      </c>
      <c r="P132">
        <f t="shared" ref="P132:P140" si="37">8*(N132/B132)^2</f>
        <v>3.4423715449099523E-3</v>
      </c>
      <c r="Q132" s="7">
        <f t="shared" ref="Q132:Q140" si="38">8*(O132/B132)^2</f>
        <v>3.4146263368869901E-3</v>
      </c>
      <c r="R132" s="8">
        <f>(Q132-P132)/P132</f>
        <v>-8.0599109250677758E-3</v>
      </c>
      <c r="S132" s="6">
        <f t="shared" ref="S132:S140" si="39">500*2*O132/B132</f>
        <v>20.659823138421924</v>
      </c>
      <c r="T132" s="2">
        <f t="shared" ref="T132:T140" si="40">B132/4*P132</f>
        <v>215.14822155687202</v>
      </c>
      <c r="U132" s="6">
        <f t="shared" ref="U132:U137" si="41">E132*N132</f>
        <v>518.58969999999999</v>
      </c>
      <c r="V132" s="6">
        <f t="shared" ref="V132:V134" si="42">F132*N132</f>
        <v>518.58969999999999</v>
      </c>
      <c r="W132" s="6">
        <f t="shared" ref="W132:W137" si="43">G132*N132</f>
        <v>518.58969999999999</v>
      </c>
      <c r="X132" s="2">
        <f t="shared" ref="X132:X137" si="44">H132*N132</f>
        <v>129.647425</v>
      </c>
      <c r="Z132" s="8">
        <v>7.3167247469515797E-3</v>
      </c>
      <c r="AA132" s="8">
        <v>9.5714586961079207E-2</v>
      </c>
      <c r="AB132" s="8">
        <v>0.31662384790013698</v>
      </c>
      <c r="AC132" s="8">
        <v>0.372967190313931</v>
      </c>
      <c r="AD132" s="8">
        <v>6.17754278824484E-2</v>
      </c>
    </row>
    <row r="133" spans="1:30">
      <c r="A133" t="s">
        <v>34</v>
      </c>
      <c r="B133" s="3">
        <v>250000</v>
      </c>
      <c r="C133" s="3" t="s">
        <v>24</v>
      </c>
      <c r="D133" s="3" t="s">
        <v>117</v>
      </c>
      <c r="E133" s="3">
        <v>6.7000000000000004E-2</v>
      </c>
      <c r="F133" s="3">
        <v>6.7000000000000004E-2</v>
      </c>
      <c r="G133">
        <f t="shared" si="36"/>
        <v>6.7000000000000004E-2</v>
      </c>
      <c r="H133" s="3">
        <f>0.25*G133</f>
        <v>1.6750000000000001E-2</v>
      </c>
      <c r="I133" s="3">
        <v>1</v>
      </c>
      <c r="J133" s="3" t="s">
        <v>26</v>
      </c>
      <c r="K133" s="3" t="s">
        <v>27</v>
      </c>
      <c r="L133">
        <v>0.1</v>
      </c>
      <c r="M133" s="6">
        <f>L133/H133</f>
        <v>5.9701492537313436</v>
      </c>
      <c r="N133" s="6">
        <v>5185.8969999999999</v>
      </c>
      <c r="O133" s="6">
        <v>5155.4037738569004</v>
      </c>
      <c r="P133">
        <f t="shared" si="37"/>
        <v>3.4423715449099523E-3</v>
      </c>
      <c r="Q133" s="7">
        <f t="shared" si="38"/>
        <v>3.4020080731517405E-3</v>
      </c>
      <c r="R133" s="8">
        <f t="shared" ref="R133:R135" si="45">(Q133-P133)/P133</f>
        <v>-1.1725483792676317E-2</v>
      </c>
      <c r="S133" s="6">
        <f t="shared" si="39"/>
        <v>20.621615095427604</v>
      </c>
      <c r="T133" s="2">
        <f t="shared" si="40"/>
        <v>215.14822155687202</v>
      </c>
      <c r="U133" s="6">
        <f t="shared" si="41"/>
        <v>347.45509900000002</v>
      </c>
      <c r="V133" s="6">
        <f t="shared" si="42"/>
        <v>347.45509900000002</v>
      </c>
      <c r="W133" s="6">
        <f t="shared" si="43"/>
        <v>347.45509900000002</v>
      </c>
      <c r="X133" s="2">
        <f t="shared" si="44"/>
        <v>86.863774750000005</v>
      </c>
      <c r="Z133" s="8">
        <v>1.4469765475114599E-2</v>
      </c>
      <c r="AA133" s="8">
        <v>0.17246220609205901</v>
      </c>
      <c r="AB133" s="8">
        <v>0.33519288482166099</v>
      </c>
      <c r="AC133" s="8">
        <v>0.343528951580715</v>
      </c>
      <c r="AD133" s="8">
        <v>3.7429761154987397E-2</v>
      </c>
    </row>
    <row r="134" spans="1:30">
      <c r="A134" t="s">
        <v>34</v>
      </c>
      <c r="B134" s="3">
        <v>250000</v>
      </c>
      <c r="C134" s="3" t="s">
        <v>24</v>
      </c>
      <c r="D134" s="3" t="s">
        <v>118</v>
      </c>
      <c r="E134" s="3">
        <v>0.05</v>
      </c>
      <c r="F134" s="3">
        <v>0.05</v>
      </c>
      <c r="G134">
        <f t="shared" si="36"/>
        <v>0.05</v>
      </c>
      <c r="H134" s="3">
        <f>0.25*G134</f>
        <v>1.2500000000000001E-2</v>
      </c>
      <c r="I134" s="3">
        <v>1</v>
      </c>
      <c r="J134" s="3" t="s">
        <v>26</v>
      </c>
      <c r="K134" s="3" t="s">
        <v>27</v>
      </c>
      <c r="L134">
        <v>0.1</v>
      </c>
      <c r="M134" s="6">
        <f>L134/H134</f>
        <v>8</v>
      </c>
      <c r="N134" s="6">
        <v>5185.8969999999999</v>
      </c>
      <c r="O134" s="6">
        <v>5178.8927368381301</v>
      </c>
      <c r="P134">
        <f t="shared" si="37"/>
        <v>3.4423715449099523E-3</v>
      </c>
      <c r="Q134" s="7">
        <f t="shared" si="38"/>
        <v>3.4330790373983669E-3</v>
      </c>
      <c r="R134" s="8">
        <f t="shared" si="45"/>
        <v>-2.6994493157851468E-3</v>
      </c>
      <c r="S134" s="6">
        <f t="shared" si="39"/>
        <v>20.715570947352521</v>
      </c>
      <c r="T134" s="2">
        <f t="shared" si="40"/>
        <v>215.14822155687202</v>
      </c>
      <c r="U134" s="6">
        <f t="shared" si="41"/>
        <v>259.29485</v>
      </c>
      <c r="V134" s="6">
        <f t="shared" si="42"/>
        <v>259.29485</v>
      </c>
      <c r="W134" s="6">
        <f t="shared" si="43"/>
        <v>259.29485</v>
      </c>
      <c r="X134" s="2">
        <f t="shared" si="44"/>
        <v>64.823712499999999</v>
      </c>
      <c r="Z134" s="8">
        <v>1.12326989897336E-2</v>
      </c>
      <c r="AA134" s="8">
        <v>0.16408139593351101</v>
      </c>
      <c r="AB134" s="8">
        <v>0.31769899238410398</v>
      </c>
      <c r="AC134" s="8">
        <v>0.32493435310961299</v>
      </c>
      <c r="AD134" s="8">
        <v>1.9606840620253901E-2</v>
      </c>
    </row>
    <row r="135" spans="1:30">
      <c r="A135" t="s">
        <v>34</v>
      </c>
      <c r="B135" s="3">
        <v>250000</v>
      </c>
      <c r="C135" s="3" t="s">
        <v>24</v>
      </c>
      <c r="D135" s="3" t="s">
        <v>119</v>
      </c>
      <c r="E135" s="3">
        <v>3.3000000000000002E-2</v>
      </c>
      <c r="F135" s="3">
        <v>3.3000000000000002E-2</v>
      </c>
      <c r="G135">
        <f t="shared" si="36"/>
        <v>3.3000000000000002E-2</v>
      </c>
      <c r="H135" s="3">
        <f>0.25*G135</f>
        <v>8.2500000000000004E-3</v>
      </c>
      <c r="I135" s="3">
        <v>1</v>
      </c>
      <c r="J135" s="3" t="s">
        <v>26</v>
      </c>
      <c r="K135" s="3" t="s">
        <v>27</v>
      </c>
      <c r="L135">
        <v>0.1</v>
      </c>
      <c r="M135" s="6">
        <f>L135/H135</f>
        <v>12.121212121212121</v>
      </c>
      <c r="N135" s="6">
        <v>5185.8969999999999</v>
      </c>
      <c r="O135" s="6">
        <v>5147.2647880467503</v>
      </c>
      <c r="P135">
        <f t="shared" si="37"/>
        <v>3.4423715449099523E-3</v>
      </c>
      <c r="Q135" s="7">
        <f t="shared" si="38"/>
        <v>3.3912748541780431E-3</v>
      </c>
      <c r="R135" s="8">
        <f t="shared" si="45"/>
        <v>-1.4843456049206283E-2</v>
      </c>
      <c r="S135" s="6">
        <f t="shared" si="39"/>
        <v>20.589059152187001</v>
      </c>
      <c r="T135" s="2">
        <f t="shared" si="40"/>
        <v>215.14822155687202</v>
      </c>
      <c r="U135" s="6">
        <f t="shared" si="41"/>
        <v>171.134601</v>
      </c>
      <c r="V135" s="6">
        <f>F135*N135</f>
        <v>171.134601</v>
      </c>
      <c r="W135" s="6">
        <f t="shared" si="43"/>
        <v>171.134601</v>
      </c>
      <c r="X135" s="2">
        <f t="shared" si="44"/>
        <v>42.783650250000001</v>
      </c>
      <c r="Z135" s="8">
        <v>1.31309924180197E-2</v>
      </c>
      <c r="AA135" s="8">
        <v>0.221314019463107</v>
      </c>
      <c r="AB135" s="8">
        <v>0.27411859428271801</v>
      </c>
      <c r="AC135" s="8">
        <v>0.26780792890357802</v>
      </c>
      <c r="AD135" s="8">
        <v>2.56377764201987E-2</v>
      </c>
    </row>
    <row r="136" spans="1:30">
      <c r="A136" t="s">
        <v>34</v>
      </c>
      <c r="B136" s="3">
        <v>250000</v>
      </c>
      <c r="C136" s="3" t="s">
        <v>24</v>
      </c>
      <c r="D136" s="3" t="s">
        <v>104</v>
      </c>
      <c r="E136" s="3">
        <f>12.8/512</f>
        <v>2.5000000000000001E-2</v>
      </c>
      <c r="F136" s="3">
        <f>4.8/192</f>
        <v>2.4999999999999998E-2</v>
      </c>
      <c r="G136">
        <f t="shared" si="36"/>
        <v>2.4999999999999998E-2</v>
      </c>
      <c r="H136" s="31">
        <v>6.2537640000000002E-3</v>
      </c>
      <c r="I136" s="3">
        <v>1</v>
      </c>
      <c r="J136" s="3" t="s">
        <v>26</v>
      </c>
      <c r="K136" s="3" t="s">
        <v>27</v>
      </c>
      <c r="L136">
        <v>0.1</v>
      </c>
      <c r="M136" s="6">
        <f t="shared" ref="M136:M137" si="46">L136/H136</f>
        <v>15.990369959595533</v>
      </c>
      <c r="N136" s="6">
        <v>5185.8969999999999</v>
      </c>
      <c r="O136" s="6">
        <v>5115.7459980348804</v>
      </c>
      <c r="P136">
        <f t="shared" si="37"/>
        <v>3.4423715449099523E-3</v>
      </c>
      <c r="Q136" s="7">
        <f t="shared" si="38"/>
        <v>3.3498697109004662E-3</v>
      </c>
      <c r="R136" s="8">
        <f t="shared" ref="R136:R137" si="47">(Q136-P136)/P136</f>
        <v>-2.687154271486572E-2</v>
      </c>
      <c r="S136" s="6">
        <f t="shared" si="39"/>
        <v>20.46298399213952</v>
      </c>
      <c r="T136" s="2">
        <f t="shared" si="40"/>
        <v>215.14822155687202</v>
      </c>
      <c r="U136" s="6">
        <f t="shared" si="41"/>
        <v>129.647425</v>
      </c>
      <c r="V136" s="6">
        <f t="shared" ref="V136:V137" si="48">F136*N136</f>
        <v>129.647425</v>
      </c>
      <c r="W136" s="6">
        <f t="shared" si="43"/>
        <v>129.647425</v>
      </c>
      <c r="X136" s="2">
        <f t="shared" si="44"/>
        <v>32.431375966308003</v>
      </c>
      <c r="Z136" s="8">
        <v>1.4478700239500901E-2</v>
      </c>
      <c r="AA136" s="8">
        <v>0.22120343499338699</v>
      </c>
      <c r="AB136" s="8">
        <v>0.24578556933496901</v>
      </c>
      <c r="AC136" s="8">
        <v>0.23240961725786199</v>
      </c>
      <c r="AD136" s="8">
        <v>3.0572328426302399E-2</v>
      </c>
    </row>
    <row r="137" spans="1:30">
      <c r="A137" t="s">
        <v>34</v>
      </c>
      <c r="B137" s="3">
        <v>250000</v>
      </c>
      <c r="C137" s="3" t="s">
        <v>24</v>
      </c>
      <c r="D137" s="3" t="s">
        <v>137</v>
      </c>
      <c r="E137" s="3">
        <f>12.8/640</f>
        <v>0.02</v>
      </c>
      <c r="F137" s="3">
        <f>4.8/240</f>
        <v>0.02</v>
      </c>
      <c r="G137" s="16">
        <f t="shared" si="36"/>
        <v>0.02</v>
      </c>
      <c r="H137" s="31">
        <v>5.0019280000000001E-3</v>
      </c>
      <c r="I137" s="3">
        <v>1</v>
      </c>
      <c r="J137" s="3" t="s">
        <v>26</v>
      </c>
      <c r="K137" s="3" t="s">
        <v>27</v>
      </c>
      <c r="L137">
        <v>0.1</v>
      </c>
      <c r="M137" s="6">
        <f t="shared" si="46"/>
        <v>19.992290972600966</v>
      </c>
      <c r="N137" s="6">
        <v>5185.8969999999999</v>
      </c>
      <c r="O137" s="6">
        <v>5101.6675376598996</v>
      </c>
      <c r="P137">
        <f t="shared" si="37"/>
        <v>3.4423715449099523E-3</v>
      </c>
      <c r="Q137" s="7">
        <f t="shared" si="38"/>
        <v>3.3314574930960418E-3</v>
      </c>
      <c r="R137" s="8">
        <f t="shared" si="47"/>
        <v>-3.2220244202841239E-2</v>
      </c>
      <c r="S137" s="6">
        <f t="shared" si="39"/>
        <v>20.406670150639599</v>
      </c>
      <c r="T137" s="2">
        <f t="shared" si="40"/>
        <v>215.14822155687202</v>
      </c>
      <c r="U137" s="6">
        <f t="shared" si="41"/>
        <v>103.71794</v>
      </c>
      <c r="V137" s="6">
        <f t="shared" si="48"/>
        <v>103.71794</v>
      </c>
      <c r="W137" s="6">
        <f t="shared" si="43"/>
        <v>103.71794</v>
      </c>
      <c r="X137" s="2">
        <f t="shared" si="44"/>
        <v>25.939483409415999</v>
      </c>
      <c r="Z137" s="8">
        <v>1.40712418746334E-2</v>
      </c>
      <c r="AA137" s="8">
        <v>0.19164930841876299</v>
      </c>
      <c r="AB137" s="8">
        <v>0.22151711119856701</v>
      </c>
      <c r="AC137" s="8">
        <v>0.20553601940539201</v>
      </c>
      <c r="AD137" s="8">
        <v>3.2962170379586798E-2</v>
      </c>
    </row>
    <row r="138" spans="1:30">
      <c r="A138" t="s">
        <v>34</v>
      </c>
      <c r="B138" s="3">
        <v>250000</v>
      </c>
      <c r="C138" s="3" t="s">
        <v>24</v>
      </c>
      <c r="D138" s="3" t="s">
        <v>109</v>
      </c>
      <c r="E138" s="3">
        <f>12.8/768</f>
        <v>1.6666666666666666E-2</v>
      </c>
      <c r="F138" s="3">
        <f>4.8/288</f>
        <v>1.6666666666666666E-2</v>
      </c>
      <c r="G138" s="16">
        <f t="shared" si="36"/>
        <v>1.6666666666666666E-2</v>
      </c>
      <c r="H138" s="31">
        <v>4.1677809999999997E-3</v>
      </c>
      <c r="I138" s="3">
        <v>1</v>
      </c>
      <c r="J138" s="3" t="s">
        <v>26</v>
      </c>
      <c r="K138" s="3" t="s">
        <v>27</v>
      </c>
      <c r="L138">
        <v>0.1</v>
      </c>
      <c r="M138" s="6">
        <f t="shared" ref="M138:M140" si="49">L138/H138</f>
        <v>23.993583156120732</v>
      </c>
      <c r="N138" s="6">
        <v>5185.8969999999999</v>
      </c>
      <c r="O138" s="6">
        <v>5097.0353775476797</v>
      </c>
      <c r="P138">
        <f t="shared" si="37"/>
        <v>3.4423715449099523E-3</v>
      </c>
      <c r="Q138" s="7">
        <f t="shared" si="38"/>
        <v>3.3254105139164949E-3</v>
      </c>
      <c r="R138" s="8">
        <f t="shared" ref="R138:R140" si="50">(Q138-P138)/P138</f>
        <v>-3.3976875961109237E-2</v>
      </c>
      <c r="S138" s="6">
        <f t="shared" si="39"/>
        <v>20.388141510190717</v>
      </c>
      <c r="T138" s="2">
        <f t="shared" si="40"/>
        <v>215.14822155687202</v>
      </c>
      <c r="U138" s="6">
        <f t="shared" ref="U138:U140" si="51">E138*N138</f>
        <v>86.43161666666667</v>
      </c>
      <c r="V138" s="6">
        <f t="shared" ref="V138:V140" si="52">F138*N138</f>
        <v>86.43161666666667</v>
      </c>
      <c r="W138" s="6">
        <f t="shared" ref="W138:W140" si="53">G138*N138</f>
        <v>86.43161666666667</v>
      </c>
      <c r="X138" s="2">
        <f t="shared" ref="X138:X140" si="54">H138*N138</f>
        <v>21.613682984556998</v>
      </c>
      <c r="Z138" s="8">
        <v>1.38004344764709E-2</v>
      </c>
      <c r="AA138" s="8">
        <v>0.136417063264792</v>
      </c>
      <c r="AB138" s="8">
        <v>0.19491862395951401</v>
      </c>
      <c r="AC138" s="8">
        <v>0.180107532137495</v>
      </c>
      <c r="AD138" s="8">
        <v>3.4703259803877902E-2</v>
      </c>
    </row>
    <row r="139" spans="1:30">
      <c r="A139" t="s">
        <v>34</v>
      </c>
      <c r="B139" s="3">
        <v>250000</v>
      </c>
      <c r="C139" s="3" t="s">
        <v>24</v>
      </c>
      <c r="D139" s="3" t="s">
        <v>110</v>
      </c>
      <c r="E139" s="3">
        <f>12.8/896</f>
        <v>1.4285714285714287E-2</v>
      </c>
      <c r="F139" s="3">
        <f>4.8/336</f>
        <v>1.4285714285714285E-2</v>
      </c>
      <c r="G139" s="16">
        <f t="shared" si="36"/>
        <v>1.4285714285714285E-2</v>
      </c>
      <c r="H139" s="31">
        <v>3.5721310000000001E-3</v>
      </c>
      <c r="I139" s="3">
        <v>1</v>
      </c>
      <c r="J139" s="3" t="s">
        <v>26</v>
      </c>
      <c r="K139" s="3" t="s">
        <v>27</v>
      </c>
      <c r="L139">
        <v>0.1</v>
      </c>
      <c r="M139" s="6">
        <f t="shared" si="49"/>
        <v>27.99449404291164</v>
      </c>
      <c r="N139" s="6">
        <v>5185.8969999999999</v>
      </c>
      <c r="O139" s="6">
        <v>5109.9406365136101</v>
      </c>
      <c r="P139">
        <f t="shared" si="37"/>
        <v>3.4423715449099523E-3</v>
      </c>
      <c r="Q139" s="7">
        <f t="shared" si="38"/>
        <v>3.3422711435127195E-3</v>
      </c>
      <c r="R139" s="8">
        <f t="shared" si="50"/>
        <v>-2.9078906820864777E-2</v>
      </c>
      <c r="S139" s="6">
        <f t="shared" si="39"/>
        <v>20.439762546054443</v>
      </c>
      <c r="T139" s="2">
        <f t="shared" si="40"/>
        <v>215.14822155687202</v>
      </c>
      <c r="U139" s="6">
        <f t="shared" si="51"/>
        <v>74.084242857142868</v>
      </c>
      <c r="V139" s="6">
        <f t="shared" si="52"/>
        <v>74.084242857142854</v>
      </c>
      <c r="W139" s="6">
        <f t="shared" si="53"/>
        <v>74.084242857142854</v>
      </c>
      <c r="X139" s="2">
        <f t="shared" si="54"/>
        <v>18.524703436507</v>
      </c>
      <c r="Z139" s="8">
        <v>1.17681346669277E-2</v>
      </c>
      <c r="AA139" s="8">
        <v>0.130512012078184</v>
      </c>
      <c r="AB139" s="8">
        <v>0.166543495577127</v>
      </c>
      <c r="AC139" s="8">
        <v>0.15587975717806099</v>
      </c>
      <c r="AD139" s="8">
        <v>2.6045947140261001E-2</v>
      </c>
    </row>
    <row r="140" spans="1:30">
      <c r="A140" t="s">
        <v>34</v>
      </c>
      <c r="B140" s="3">
        <v>250000</v>
      </c>
      <c r="C140" s="3" t="s">
        <v>24</v>
      </c>
      <c r="D140" s="3" t="s">
        <v>111</v>
      </c>
      <c r="E140" s="3">
        <f>12.8/1024</f>
        <v>1.2500000000000001E-2</v>
      </c>
      <c r="F140" s="3">
        <f>4.8/384</f>
        <v>1.2499999999999999E-2</v>
      </c>
      <c r="G140" s="16">
        <f t="shared" si="36"/>
        <v>1.2499999999999999E-2</v>
      </c>
      <c r="H140" s="31">
        <v>3.12547E-3</v>
      </c>
      <c r="I140" s="3">
        <v>1</v>
      </c>
      <c r="J140" s="3" t="s">
        <v>26</v>
      </c>
      <c r="K140" s="3" t="s">
        <v>27</v>
      </c>
      <c r="L140">
        <v>0.1</v>
      </c>
      <c r="M140" s="6">
        <f t="shared" si="49"/>
        <v>31.995187923736271</v>
      </c>
      <c r="N140" s="6">
        <v>5185.8969999999999</v>
      </c>
      <c r="O140" s="6">
        <v>5121.5820373516999</v>
      </c>
      <c r="P140">
        <f t="shared" si="37"/>
        <v>3.4423715449099523E-3</v>
      </c>
      <c r="Q140" s="7">
        <f t="shared" si="38"/>
        <v>3.35751712836142E-3</v>
      </c>
      <c r="R140" s="8">
        <f t="shared" si="50"/>
        <v>-2.4649987789377912E-2</v>
      </c>
      <c r="S140" s="6">
        <f t="shared" si="39"/>
        <v>20.486328149406798</v>
      </c>
      <c r="T140" s="2">
        <f t="shared" si="40"/>
        <v>215.14822155687202</v>
      </c>
      <c r="U140" s="6">
        <f t="shared" si="51"/>
        <v>64.823712499999999</v>
      </c>
      <c r="V140" s="6">
        <f t="shared" si="52"/>
        <v>64.823712499999999</v>
      </c>
      <c r="W140" s="6">
        <f t="shared" si="53"/>
        <v>64.823712499999999</v>
      </c>
      <c r="X140" s="2">
        <f t="shared" si="54"/>
        <v>16.208365496589998</v>
      </c>
      <c r="Z140" s="8">
        <v>9.4429832359676103E-3</v>
      </c>
      <c r="AA140" s="8">
        <v>7.2235462387153601E-2</v>
      </c>
      <c r="AB140" s="8">
        <v>0.148906236029998</v>
      </c>
      <c r="AC140" s="8">
        <v>0.13744580484449601</v>
      </c>
      <c r="AD140" s="8">
        <v>2.5018446155003999E-2</v>
      </c>
    </row>
    <row r="141" spans="1:30">
      <c r="A141" s="1" t="s">
        <v>34</v>
      </c>
      <c r="B141" s="35">
        <v>250000</v>
      </c>
      <c r="C141" s="35" t="s">
        <v>24</v>
      </c>
      <c r="D141" s="35" t="s">
        <v>179</v>
      </c>
      <c r="E141" s="14">
        <f>12.8/MID(D141, SEARCH("NX", D141) + 2, SEARCH("_NY", D141) - SEARCH("NX", D141) - 2)</f>
        <v>8.3333333333333332E-3</v>
      </c>
      <c r="F141" s="14">
        <f>4.8/MID(D141, SEARCH("NY", D141) + 2, SEARCH("_NZ", D141) - SEARCH("NY", D141) - 2)</f>
        <v>8.3333333333333332E-3</v>
      </c>
      <c r="G141" s="16">
        <f>F141</f>
        <v>8.3333333333333332E-3</v>
      </c>
      <c r="H141" s="31">
        <f>0.25*G141</f>
        <v>2.0833333333333333E-3</v>
      </c>
      <c r="I141" s="3">
        <v>1</v>
      </c>
      <c r="J141" s="3" t="s">
        <v>26</v>
      </c>
      <c r="K141" s="3" t="s">
        <v>27</v>
      </c>
      <c r="L141">
        <v>0.1</v>
      </c>
      <c r="M141" s="6">
        <f t="shared" ref="M141" si="55">L141/H141</f>
        <v>48</v>
      </c>
      <c r="N141" s="6">
        <v>5185.8969999999999</v>
      </c>
      <c r="O141" s="6"/>
      <c r="P141">
        <f t="shared" ref="P141:P144" si="56">8*(N141/B141)^2</f>
        <v>3.4423715449099523E-3</v>
      </c>
      <c r="Q141" s="7">
        <f t="shared" ref="Q141:Q144" si="57">8*(O141/B141)^2</f>
        <v>0</v>
      </c>
      <c r="R141" s="8">
        <f t="shared" ref="R141" si="58">(Q141-P141)/P141</f>
        <v>-1</v>
      </c>
      <c r="S141" s="6">
        <f t="shared" ref="S141:S144" si="59">500*2*O141/B141</f>
        <v>0</v>
      </c>
      <c r="T141" s="2">
        <f t="shared" ref="T141:T144" si="60">B141/4*P141</f>
        <v>215.14822155687202</v>
      </c>
      <c r="U141" s="6">
        <f t="shared" ref="U141" si="61">E141*N141</f>
        <v>43.215808333333335</v>
      </c>
      <c r="V141" s="6">
        <f t="shared" ref="V141" si="62">F141*N141</f>
        <v>43.215808333333335</v>
      </c>
      <c r="W141" s="6">
        <f t="shared" ref="W141" si="63">G141*N141</f>
        <v>43.215808333333335</v>
      </c>
      <c r="X141" s="2">
        <f t="shared" ref="X141" si="64">H141*N141</f>
        <v>10.803952083333334</v>
      </c>
    </row>
    <row r="142" spans="1:30">
      <c r="A142" s="1" t="s">
        <v>68</v>
      </c>
      <c r="B142" s="35">
        <v>250002</v>
      </c>
      <c r="C142" s="35" t="s">
        <v>48</v>
      </c>
      <c r="D142" s="35" t="s">
        <v>180</v>
      </c>
      <c r="E142" s="14">
        <f>6.4/MID(D142, SEARCH("NX", D142) + 2, SEARCH("_NY", D142) - SEARCH("NX", D142) - 2)</f>
        <v>6.2500000000000003E-3</v>
      </c>
      <c r="F142" s="14">
        <f>2.4/MID(D142, SEARCH("NY", D142) + 2, SEARCH("_NZ", D142) - SEARCH("NY", D142) - 2)</f>
        <v>6.2499999999999995E-3</v>
      </c>
      <c r="G142" s="14">
        <f t="shared" ref="G142:G144" si="65">F142</f>
        <v>6.2499999999999995E-3</v>
      </c>
      <c r="H142" s="32">
        <f>0.25*G142</f>
        <v>1.5624999999999999E-3</v>
      </c>
      <c r="I142" s="3">
        <f>E142/F142</f>
        <v>1.0000000000000002</v>
      </c>
      <c r="J142" s="3" t="s">
        <v>26</v>
      </c>
      <c r="K142" s="3" t="s">
        <v>27</v>
      </c>
      <c r="L142">
        <v>0.1</v>
      </c>
      <c r="M142" s="6">
        <f>L142/H142</f>
        <v>64.000000000000014</v>
      </c>
      <c r="N142" s="6">
        <v>5185.8969999999999</v>
      </c>
      <c r="O142" s="6"/>
      <c r="P142">
        <f t="shared" si="56"/>
        <v>3.4423164676261621E-3</v>
      </c>
      <c r="Q142" s="7">
        <f t="shared" si="57"/>
        <v>0</v>
      </c>
      <c r="R142" s="8">
        <f>(Q142-P142)/P142</f>
        <v>-1</v>
      </c>
      <c r="S142" s="6">
        <f t="shared" si="59"/>
        <v>0</v>
      </c>
      <c r="T142" s="2">
        <f t="shared" si="60"/>
        <v>215.14650038486894</v>
      </c>
      <c r="U142" s="6">
        <f>E142*N142</f>
        <v>32.41185625</v>
      </c>
      <c r="V142" s="6">
        <f>F142*N142</f>
        <v>32.41185625</v>
      </c>
      <c r="W142" s="6">
        <f>G142*N142</f>
        <v>32.41185625</v>
      </c>
      <c r="X142" s="2">
        <f>H142*N142</f>
        <v>8.1029640624999999</v>
      </c>
      <c r="Z142" s="8"/>
      <c r="AA142" s="8"/>
      <c r="AB142" s="8"/>
      <c r="AC142" s="8"/>
      <c r="AD142" s="8"/>
    </row>
    <row r="143" spans="1:30">
      <c r="A143" s="1" t="s">
        <v>68</v>
      </c>
      <c r="B143" s="35">
        <v>250003</v>
      </c>
      <c r="C143" s="35" t="s">
        <v>48</v>
      </c>
      <c r="D143" s="35" t="s">
        <v>181</v>
      </c>
      <c r="E143" s="14">
        <f t="shared" ref="E143:E144" si="66">6.4/MID(D143, SEARCH("NX", D143) + 2, SEARCH("_NY", D143) - SEARCH("NX", D143) - 2)</f>
        <v>3.1250000000000002E-3</v>
      </c>
      <c r="F143" s="14">
        <f>2.4/MID(D143, SEARCH("NY", D143) + 2, SEARCH("_NZ", D143) - SEARCH("NY", D143) - 2)</f>
        <v>3.1249999999999997E-3</v>
      </c>
      <c r="G143" s="14">
        <f t="shared" si="65"/>
        <v>3.1249999999999997E-3</v>
      </c>
      <c r="H143" s="11">
        <f>0.25*G143</f>
        <v>7.8124999999999993E-4</v>
      </c>
      <c r="I143" s="3">
        <f>E143/F143</f>
        <v>1.0000000000000002</v>
      </c>
      <c r="J143" s="3" t="s">
        <v>26</v>
      </c>
      <c r="K143" s="3" t="s">
        <v>27</v>
      </c>
      <c r="L143">
        <v>0.1</v>
      </c>
      <c r="M143" s="6">
        <f>L143/H143</f>
        <v>128.00000000000003</v>
      </c>
      <c r="N143" s="6">
        <v>5185.8969999999999</v>
      </c>
      <c r="O143" s="6"/>
      <c r="P143">
        <f t="shared" si="56"/>
        <v>3.4422889294799548E-3</v>
      </c>
      <c r="Q143" s="7">
        <f t="shared" si="57"/>
        <v>0</v>
      </c>
      <c r="R143" s="8">
        <f>(Q143-P143)/P143</f>
        <v>-1</v>
      </c>
      <c r="S143" s="6">
        <f t="shared" si="59"/>
        <v>0</v>
      </c>
      <c r="T143" s="2">
        <f t="shared" si="60"/>
        <v>215.14563980919428</v>
      </c>
      <c r="U143" s="6">
        <f>E143*N143</f>
        <v>16.205928125</v>
      </c>
      <c r="V143" s="6">
        <f>F143*N143</f>
        <v>16.205928125</v>
      </c>
      <c r="W143" s="6">
        <f>G143*N143</f>
        <v>16.205928125</v>
      </c>
      <c r="X143" s="2">
        <v>8.1</v>
      </c>
      <c r="Z143" s="8"/>
      <c r="AA143" s="8"/>
      <c r="AB143" s="8"/>
      <c r="AC143" s="8"/>
      <c r="AD143" s="8"/>
    </row>
    <row r="144" spans="1:30">
      <c r="A144" s="1" t="s">
        <v>68</v>
      </c>
      <c r="B144" s="35">
        <v>250003</v>
      </c>
      <c r="C144" s="35" t="s">
        <v>48</v>
      </c>
      <c r="D144" s="35" t="s">
        <v>182</v>
      </c>
      <c r="E144" s="14">
        <f t="shared" si="66"/>
        <v>2.0833333333333333E-3</v>
      </c>
      <c r="F144" s="14">
        <f>2.4/MID(D144, SEARCH("NY", D144) + 2, SEARCH("_NZ", D144) - SEARCH("NY", D144) - 2)</f>
        <v>2.0833333333333333E-3</v>
      </c>
      <c r="G144" s="14">
        <f t="shared" si="65"/>
        <v>2.0833333333333333E-3</v>
      </c>
      <c r="H144" s="11">
        <f>0.25*G144</f>
        <v>5.2083333333333333E-4</v>
      </c>
      <c r="I144" s="3">
        <f t="shared" ref="I144" si="67">E144/F144</f>
        <v>1</v>
      </c>
      <c r="J144" s="3" t="s">
        <v>26</v>
      </c>
      <c r="K144" s="3" t="s">
        <v>27</v>
      </c>
      <c r="L144">
        <v>0.1</v>
      </c>
      <c r="M144" s="6">
        <f>L144/H144</f>
        <v>192</v>
      </c>
      <c r="N144" s="6">
        <v>5185.8969999999999</v>
      </c>
      <c r="O144" s="6"/>
      <c r="P144">
        <f t="shared" si="56"/>
        <v>3.4422889294799548E-3</v>
      </c>
      <c r="Q144" s="7">
        <f t="shared" si="57"/>
        <v>0</v>
      </c>
      <c r="R144" s="8">
        <f>(Q144-P144)/P144</f>
        <v>-1</v>
      </c>
      <c r="S144" s="6">
        <f t="shared" si="59"/>
        <v>0</v>
      </c>
      <c r="T144" s="2">
        <f t="shared" si="60"/>
        <v>215.14563980919428</v>
      </c>
      <c r="U144" s="6">
        <f t="shared" ref="U144" si="68">E144*N144</f>
        <v>10.803952083333334</v>
      </c>
      <c r="V144" s="6">
        <f t="shared" ref="V144" si="69">F144*N144</f>
        <v>10.803952083333334</v>
      </c>
      <c r="W144" s="6">
        <f t="shared" ref="W144" si="70">G144*N144</f>
        <v>10.803952083333334</v>
      </c>
      <c r="X144" s="2">
        <v>8.1</v>
      </c>
      <c r="Z144" s="8"/>
      <c r="AA144" s="8"/>
      <c r="AB144" s="8"/>
      <c r="AC144" s="8"/>
      <c r="AD144" s="8"/>
    </row>
    <row r="145" spans="1:30">
      <c r="E145" s="14"/>
      <c r="F145" s="14"/>
    </row>
    <row r="146" spans="1:30">
      <c r="E146" s="14"/>
      <c r="F146" s="14"/>
    </row>
    <row r="147" spans="1:30">
      <c r="E147" s="14"/>
      <c r="F147" s="14"/>
    </row>
    <row r="148" spans="1:30">
      <c r="E148" s="14"/>
      <c r="F148" s="14"/>
    </row>
    <row r="149" spans="1:30">
      <c r="A149" t="s">
        <v>112</v>
      </c>
      <c r="B149" s="3">
        <v>250000</v>
      </c>
      <c r="C149" s="3" t="s">
        <v>24</v>
      </c>
      <c r="D149" s="3" t="s">
        <v>116</v>
      </c>
      <c r="E149" s="3">
        <v>0.1</v>
      </c>
      <c r="F149" s="3">
        <v>0.1</v>
      </c>
      <c r="G149">
        <f t="shared" ref="G149:G157" si="71">F149</f>
        <v>0.1</v>
      </c>
      <c r="H149" s="3">
        <f>0.25*G149</f>
        <v>2.5000000000000001E-2</v>
      </c>
      <c r="I149" s="3">
        <v>1</v>
      </c>
      <c r="J149" s="3" t="s">
        <v>26</v>
      </c>
      <c r="K149" s="3" t="s">
        <v>27</v>
      </c>
      <c r="L149">
        <v>0.1</v>
      </c>
      <c r="M149" s="6">
        <f>L149/H149</f>
        <v>4</v>
      </c>
      <c r="N149" s="6">
        <v>5185.8969999999999</v>
      </c>
      <c r="O149" s="6">
        <v>5229.4695411336697</v>
      </c>
      <c r="P149">
        <f t="shared" ref="P149:P161" si="72">8*(N149/B149)^2</f>
        <v>3.4423715449099523E-3</v>
      </c>
      <c r="Q149" s="7">
        <f>8*(O149/B149)^2</f>
        <v>3.5004610152505333E-3</v>
      </c>
      <c r="R149" s="8">
        <f>(Q149-P149)/P149</f>
        <v>1.6874840377551568E-2</v>
      </c>
      <c r="S149" s="6">
        <f>500*2*O149/B149</f>
        <v>20.917878164534681</v>
      </c>
      <c r="T149" s="2">
        <f t="shared" ref="T149:T161" si="73">B149/4*P149</f>
        <v>215.14822155687202</v>
      </c>
      <c r="U149" s="6">
        <f t="shared" ref="U149:U158" si="74">E149*N149</f>
        <v>518.58969999999999</v>
      </c>
      <c r="V149" s="6">
        <f t="shared" ref="V149:V151" si="75">F149*N149</f>
        <v>518.58969999999999</v>
      </c>
      <c r="W149" s="6">
        <f t="shared" ref="W149:W158" si="76">G149*N149</f>
        <v>518.58969999999999</v>
      </c>
      <c r="X149" s="2">
        <f t="shared" ref="X149:X158" si="77">H149*N149</f>
        <v>129.647425</v>
      </c>
      <c r="Z149" s="34"/>
      <c r="AA149" s="34"/>
      <c r="AB149" s="34"/>
      <c r="AC149" s="8"/>
      <c r="AD149" s="8"/>
    </row>
    <row r="150" spans="1:30">
      <c r="A150" t="s">
        <v>112</v>
      </c>
      <c r="B150" s="3">
        <v>250000</v>
      </c>
      <c r="C150" s="3" t="s">
        <v>24</v>
      </c>
      <c r="D150" s="3" t="s">
        <v>117</v>
      </c>
      <c r="E150" s="3">
        <v>6.7000000000000004E-2</v>
      </c>
      <c r="F150" s="3">
        <v>6.7000000000000004E-2</v>
      </c>
      <c r="G150">
        <f t="shared" si="71"/>
        <v>6.7000000000000004E-2</v>
      </c>
      <c r="H150" s="3">
        <f>0.25*G150</f>
        <v>1.6750000000000001E-2</v>
      </c>
      <c r="I150" s="3">
        <v>1</v>
      </c>
      <c r="J150" s="3" t="s">
        <v>26</v>
      </c>
      <c r="K150" s="3" t="s">
        <v>27</v>
      </c>
      <c r="L150">
        <v>0.1</v>
      </c>
      <c r="M150" s="6">
        <f>L150/H150</f>
        <v>5.9701492537313436</v>
      </c>
      <c r="N150" s="6">
        <v>5185.8969999999999</v>
      </c>
      <c r="O150" s="6">
        <v>5235.2925676459699</v>
      </c>
      <c r="P150">
        <f t="shared" si="72"/>
        <v>3.4423715449099523E-3</v>
      </c>
      <c r="Q150" s="7">
        <f>8*(O150/B150)^2</f>
        <v>3.5082608984126893E-3</v>
      </c>
      <c r="R150" s="8">
        <f t="shared" ref="R150:R158" si="78">(Q150-P150)/P150</f>
        <v>1.9140686193552824E-2</v>
      </c>
      <c r="S150" s="6">
        <f>500*2*O150/B150</f>
        <v>20.941170270583878</v>
      </c>
      <c r="T150" s="2">
        <f t="shared" si="73"/>
        <v>215.14822155687202</v>
      </c>
      <c r="U150" s="6">
        <f t="shared" si="74"/>
        <v>347.45509900000002</v>
      </c>
      <c r="V150" s="6">
        <f t="shared" si="75"/>
        <v>347.45509900000002</v>
      </c>
      <c r="W150" s="6">
        <f t="shared" si="76"/>
        <v>347.45509900000002</v>
      </c>
      <c r="X150" s="2">
        <f t="shared" si="77"/>
        <v>86.863774750000005</v>
      </c>
      <c r="Z150" s="34"/>
      <c r="AA150" s="34"/>
      <c r="AB150" s="34"/>
      <c r="AC150" s="8"/>
      <c r="AD150" s="8"/>
    </row>
    <row r="151" spans="1:30">
      <c r="A151" t="s">
        <v>112</v>
      </c>
      <c r="B151" s="3">
        <v>250000</v>
      </c>
      <c r="C151" s="3" t="s">
        <v>24</v>
      </c>
      <c r="D151" s="3" t="s">
        <v>118</v>
      </c>
      <c r="E151" s="3">
        <v>0.05</v>
      </c>
      <c r="F151" s="3">
        <v>0.05</v>
      </c>
      <c r="G151">
        <f t="shared" si="71"/>
        <v>0.05</v>
      </c>
      <c r="H151" s="3">
        <f>0.25*G151</f>
        <v>1.2500000000000001E-2</v>
      </c>
      <c r="I151" s="3">
        <v>1</v>
      </c>
      <c r="J151" s="3" t="s">
        <v>26</v>
      </c>
      <c r="K151" s="3" t="s">
        <v>27</v>
      </c>
      <c r="L151">
        <v>0.1</v>
      </c>
      <c r="M151" s="6">
        <f>L151/H151</f>
        <v>8</v>
      </c>
      <c r="N151" s="6">
        <v>5185.8969999999999</v>
      </c>
      <c r="O151" s="6">
        <v>5243.1040343266804</v>
      </c>
      <c r="P151">
        <f t="shared" si="72"/>
        <v>3.4423715449099523E-3</v>
      </c>
      <c r="Q151" s="7">
        <f>8*(O151/B151)^2</f>
        <v>3.5187379090909072E-3</v>
      </c>
      <c r="R151" s="8">
        <f t="shared" si="78"/>
        <v>2.2184230605169199E-2</v>
      </c>
      <c r="S151" s="6">
        <f>500*2*O151/B151</f>
        <v>20.97241613730672</v>
      </c>
      <c r="T151" s="2">
        <f t="shared" si="73"/>
        <v>215.14822155687202</v>
      </c>
      <c r="U151" s="6">
        <f t="shared" si="74"/>
        <v>259.29485</v>
      </c>
      <c r="V151" s="6">
        <f t="shared" si="75"/>
        <v>259.29485</v>
      </c>
      <c r="W151" s="6">
        <f t="shared" si="76"/>
        <v>259.29485</v>
      </c>
      <c r="X151" s="2">
        <f t="shared" si="77"/>
        <v>64.823712499999999</v>
      </c>
      <c r="Z151" s="34"/>
      <c r="AA151" s="34"/>
      <c r="AB151" s="34"/>
      <c r="AC151" s="8"/>
      <c r="AD151" s="8"/>
    </row>
    <row r="152" spans="1:30">
      <c r="A152" t="s">
        <v>112</v>
      </c>
      <c r="B152" s="3">
        <v>250000</v>
      </c>
      <c r="C152" s="3" t="s">
        <v>24</v>
      </c>
      <c r="D152" s="3" t="s">
        <v>119</v>
      </c>
      <c r="E152" s="3">
        <v>3.3000000000000002E-2</v>
      </c>
      <c r="F152" s="3">
        <v>3.3000000000000002E-2</v>
      </c>
      <c r="G152">
        <f t="shared" si="71"/>
        <v>3.3000000000000002E-2</v>
      </c>
      <c r="H152" s="3">
        <f>0.25*G152</f>
        <v>8.2500000000000004E-3</v>
      </c>
      <c r="I152" s="3">
        <v>1</v>
      </c>
      <c r="J152" s="3" t="s">
        <v>26</v>
      </c>
      <c r="K152" s="3" t="s">
        <v>27</v>
      </c>
      <c r="L152">
        <v>0.1</v>
      </c>
      <c r="M152" s="6">
        <f>L152/H152</f>
        <v>12.121212121212121</v>
      </c>
      <c r="N152" s="6">
        <v>5185.8969999999999</v>
      </c>
      <c r="O152" s="6">
        <v>5217.6182778353896</v>
      </c>
      <c r="P152">
        <f t="shared" si="72"/>
        <v>3.4423715449099523E-3</v>
      </c>
      <c r="Q152" s="7">
        <f>8*(O152/B152)^2</f>
        <v>3.4846131831298478E-3</v>
      </c>
      <c r="R152" s="8">
        <f t="shared" si="78"/>
        <v>1.227108627549397E-2</v>
      </c>
      <c r="S152" s="6">
        <f>500*2*O152/B152</f>
        <v>20.870473111341557</v>
      </c>
      <c r="T152" s="2">
        <f t="shared" si="73"/>
        <v>215.14822155687202</v>
      </c>
      <c r="U152" s="6">
        <f t="shared" si="74"/>
        <v>171.134601</v>
      </c>
      <c r="V152" s="6">
        <f>F152*N152</f>
        <v>171.134601</v>
      </c>
      <c r="W152" s="6">
        <f t="shared" si="76"/>
        <v>171.134601</v>
      </c>
      <c r="X152" s="2">
        <f t="shared" si="77"/>
        <v>42.783650250000001</v>
      </c>
      <c r="Z152" s="34"/>
      <c r="AA152" s="34"/>
      <c r="AB152" s="34"/>
      <c r="AC152" s="8"/>
      <c r="AD152" s="8"/>
    </row>
    <row r="153" spans="1:30">
      <c r="A153" s="1" t="s">
        <v>112</v>
      </c>
      <c r="B153" s="35">
        <v>250000</v>
      </c>
      <c r="C153" s="35" t="s">
        <v>24</v>
      </c>
      <c r="D153" s="35" t="s">
        <v>104</v>
      </c>
      <c r="E153" s="3">
        <f>12.8/512</f>
        <v>2.5000000000000001E-2</v>
      </c>
      <c r="F153" s="3">
        <f>4.8/192</f>
        <v>2.4999999999999998E-2</v>
      </c>
      <c r="G153">
        <f t="shared" si="71"/>
        <v>2.4999999999999998E-2</v>
      </c>
      <c r="H153" s="31">
        <v>6.2537640000000002E-3</v>
      </c>
      <c r="I153" s="3">
        <v>1</v>
      </c>
      <c r="J153" s="3" t="s">
        <v>26</v>
      </c>
      <c r="K153" s="3" t="s">
        <v>27</v>
      </c>
      <c r="L153">
        <v>0.1</v>
      </c>
      <c r="M153" s="6">
        <f t="shared" ref="M153:M158" si="79">L153/H153</f>
        <v>15.990369959595533</v>
      </c>
      <c r="N153" s="6">
        <v>5185.8969999999999</v>
      </c>
      <c r="O153" s="6"/>
      <c r="P153">
        <f t="shared" si="72"/>
        <v>3.4423715449099523E-3</v>
      </c>
      <c r="Q153" s="7">
        <f t="shared" ref="Q153:Q161" si="80">8*(O153/B153)^2</f>
        <v>0</v>
      </c>
      <c r="R153" s="8">
        <f t="shared" si="78"/>
        <v>-1</v>
      </c>
      <c r="S153" s="6">
        <f t="shared" ref="S153:S161" si="81">500*2*O153/B153</f>
        <v>0</v>
      </c>
      <c r="T153" s="2">
        <f t="shared" si="73"/>
        <v>215.14822155687202</v>
      </c>
      <c r="U153" s="6">
        <f t="shared" si="74"/>
        <v>129.647425</v>
      </c>
      <c r="V153" s="6">
        <f t="shared" ref="V153:V158" si="82">F153*N153</f>
        <v>129.647425</v>
      </c>
      <c r="W153" s="6">
        <f t="shared" si="76"/>
        <v>129.647425</v>
      </c>
      <c r="X153" s="2">
        <f t="shared" si="77"/>
        <v>32.431375966308003</v>
      </c>
      <c r="Z153" s="8"/>
      <c r="AA153" s="8"/>
      <c r="AB153" s="8"/>
      <c r="AC153" s="8"/>
      <c r="AD153" s="8"/>
    </row>
    <row r="154" spans="1:30">
      <c r="A154" s="1" t="s">
        <v>112</v>
      </c>
      <c r="B154" s="35">
        <v>250000</v>
      </c>
      <c r="C154" s="35" t="s">
        <v>24</v>
      </c>
      <c r="D154" s="35" t="s">
        <v>137</v>
      </c>
      <c r="E154" s="3">
        <f>12.8/640</f>
        <v>0.02</v>
      </c>
      <c r="F154" s="3">
        <f>4.8/240</f>
        <v>0.02</v>
      </c>
      <c r="G154" s="16">
        <f t="shared" si="71"/>
        <v>0.02</v>
      </c>
      <c r="H154" s="31">
        <v>5.0019280000000001E-3</v>
      </c>
      <c r="I154" s="3">
        <v>1</v>
      </c>
      <c r="J154" s="3" t="s">
        <v>26</v>
      </c>
      <c r="K154" s="3" t="s">
        <v>27</v>
      </c>
      <c r="L154">
        <v>0.1</v>
      </c>
      <c r="M154" s="6">
        <f t="shared" si="79"/>
        <v>19.992290972600966</v>
      </c>
      <c r="N154" s="6">
        <v>5185.8969999999999</v>
      </c>
      <c r="O154" s="6"/>
      <c r="P154">
        <f t="shared" si="72"/>
        <v>3.4423715449099523E-3</v>
      </c>
      <c r="Q154" s="7">
        <f t="shared" si="80"/>
        <v>0</v>
      </c>
      <c r="R154" s="8">
        <f t="shared" si="78"/>
        <v>-1</v>
      </c>
      <c r="S154" s="6">
        <f t="shared" si="81"/>
        <v>0</v>
      </c>
      <c r="T154" s="2">
        <f t="shared" si="73"/>
        <v>215.14822155687202</v>
      </c>
      <c r="U154" s="6">
        <f t="shared" si="74"/>
        <v>103.71794</v>
      </c>
      <c r="V154" s="6">
        <f t="shared" si="82"/>
        <v>103.71794</v>
      </c>
      <c r="W154" s="6">
        <f t="shared" si="76"/>
        <v>103.71794</v>
      </c>
      <c r="X154" s="2">
        <f t="shared" si="77"/>
        <v>25.939483409415999</v>
      </c>
      <c r="Z154" s="8"/>
      <c r="AA154" s="8"/>
      <c r="AB154" s="8"/>
      <c r="AC154" s="8"/>
      <c r="AD154" s="8"/>
    </row>
    <row r="155" spans="1:30">
      <c r="A155" s="1" t="s">
        <v>112</v>
      </c>
      <c r="B155" s="35">
        <v>250000</v>
      </c>
      <c r="C155" s="35" t="s">
        <v>24</v>
      </c>
      <c r="D155" s="35" t="s">
        <v>109</v>
      </c>
      <c r="E155" s="3">
        <f>12.8/768</f>
        <v>1.6666666666666666E-2</v>
      </c>
      <c r="F155" s="3">
        <f>4.8/288</f>
        <v>1.6666666666666666E-2</v>
      </c>
      <c r="G155" s="16">
        <f t="shared" si="71"/>
        <v>1.6666666666666666E-2</v>
      </c>
      <c r="H155" s="31">
        <v>4.1677809999999997E-3</v>
      </c>
      <c r="I155" s="3">
        <v>1</v>
      </c>
      <c r="J155" s="3" t="s">
        <v>26</v>
      </c>
      <c r="K155" s="3" t="s">
        <v>27</v>
      </c>
      <c r="L155">
        <v>0.1</v>
      </c>
      <c r="M155" s="6">
        <f t="shared" si="79"/>
        <v>23.993583156120732</v>
      </c>
      <c r="N155" s="6">
        <v>5185.8969999999999</v>
      </c>
      <c r="O155" s="6"/>
      <c r="P155">
        <f t="shared" si="72"/>
        <v>3.4423715449099523E-3</v>
      </c>
      <c r="Q155" s="7">
        <f t="shared" si="80"/>
        <v>0</v>
      </c>
      <c r="R155" s="8">
        <f t="shared" si="78"/>
        <v>-1</v>
      </c>
      <c r="S155" s="6">
        <f t="shared" si="81"/>
        <v>0</v>
      </c>
      <c r="T155" s="2">
        <f t="shared" si="73"/>
        <v>215.14822155687202</v>
      </c>
      <c r="U155" s="6">
        <f t="shared" si="74"/>
        <v>86.43161666666667</v>
      </c>
      <c r="V155" s="6">
        <f t="shared" si="82"/>
        <v>86.43161666666667</v>
      </c>
      <c r="W155" s="6">
        <f t="shared" si="76"/>
        <v>86.43161666666667</v>
      </c>
      <c r="X155" s="2">
        <f t="shared" si="77"/>
        <v>21.613682984556998</v>
      </c>
      <c r="Z155" s="8"/>
      <c r="AA155" s="8"/>
      <c r="AB155" s="8"/>
      <c r="AC155" s="8"/>
      <c r="AD155" s="8"/>
    </row>
    <row r="156" spans="1:30">
      <c r="A156" s="1" t="s">
        <v>112</v>
      </c>
      <c r="B156" s="35">
        <v>250000</v>
      </c>
      <c r="C156" s="35" t="s">
        <v>24</v>
      </c>
      <c r="D156" s="35" t="s">
        <v>110</v>
      </c>
      <c r="E156" s="3">
        <f>12.8/896</f>
        <v>1.4285714285714287E-2</v>
      </c>
      <c r="F156" s="3">
        <f>4.8/336</f>
        <v>1.4285714285714285E-2</v>
      </c>
      <c r="G156" s="16">
        <f t="shared" si="71"/>
        <v>1.4285714285714285E-2</v>
      </c>
      <c r="H156" s="31">
        <v>3.5721310000000001E-3</v>
      </c>
      <c r="I156" s="3">
        <v>1</v>
      </c>
      <c r="J156" s="3" t="s">
        <v>26</v>
      </c>
      <c r="K156" s="3" t="s">
        <v>27</v>
      </c>
      <c r="L156">
        <v>0.1</v>
      </c>
      <c r="M156" s="6">
        <f t="shared" si="79"/>
        <v>27.99449404291164</v>
      </c>
      <c r="N156" s="6">
        <v>5185.8969999999999</v>
      </c>
      <c r="O156" s="6"/>
      <c r="P156">
        <f t="shared" si="72"/>
        <v>3.4423715449099523E-3</v>
      </c>
      <c r="Q156" s="7">
        <f t="shared" si="80"/>
        <v>0</v>
      </c>
      <c r="R156" s="8">
        <f t="shared" si="78"/>
        <v>-1</v>
      </c>
      <c r="S156" s="6">
        <f t="shared" si="81"/>
        <v>0</v>
      </c>
      <c r="T156" s="2">
        <f t="shared" si="73"/>
        <v>215.14822155687202</v>
      </c>
      <c r="U156" s="6">
        <f t="shared" si="74"/>
        <v>74.084242857142868</v>
      </c>
      <c r="V156" s="6">
        <f t="shared" si="82"/>
        <v>74.084242857142854</v>
      </c>
      <c r="W156" s="6">
        <f t="shared" si="76"/>
        <v>74.084242857142854</v>
      </c>
      <c r="X156" s="2">
        <f t="shared" si="77"/>
        <v>18.524703436507</v>
      </c>
      <c r="Z156" s="8"/>
      <c r="AA156" s="8"/>
      <c r="AB156" s="8"/>
      <c r="AC156" s="8"/>
      <c r="AD156" s="8"/>
    </row>
    <row r="157" spans="1:30">
      <c r="A157" s="1" t="s">
        <v>112</v>
      </c>
      <c r="B157" s="35">
        <v>250000</v>
      </c>
      <c r="C157" s="35" t="s">
        <v>24</v>
      </c>
      <c r="D157" s="35" t="s">
        <v>111</v>
      </c>
      <c r="E157" s="3">
        <f>12.8/1024</f>
        <v>1.2500000000000001E-2</v>
      </c>
      <c r="F157" s="3">
        <f>4.8/384</f>
        <v>1.2499999999999999E-2</v>
      </c>
      <c r="G157" s="16">
        <f t="shared" si="71"/>
        <v>1.2499999999999999E-2</v>
      </c>
      <c r="H157" s="31">
        <v>3.12547E-3</v>
      </c>
      <c r="I157" s="3">
        <v>1</v>
      </c>
      <c r="J157" s="3" t="s">
        <v>26</v>
      </c>
      <c r="K157" s="3" t="s">
        <v>27</v>
      </c>
      <c r="L157">
        <v>0.1</v>
      </c>
      <c r="M157" s="6">
        <f t="shared" si="79"/>
        <v>31.995187923736271</v>
      </c>
      <c r="N157" s="6">
        <v>5185.8969999999999</v>
      </c>
      <c r="O157" s="6"/>
      <c r="P157">
        <f t="shared" si="72"/>
        <v>3.4423715449099523E-3</v>
      </c>
      <c r="Q157" s="7">
        <f t="shared" si="80"/>
        <v>0</v>
      </c>
      <c r="R157" s="8">
        <f t="shared" si="78"/>
        <v>-1</v>
      </c>
      <c r="S157" s="6">
        <f t="shared" si="81"/>
        <v>0</v>
      </c>
      <c r="T157" s="2">
        <f t="shared" si="73"/>
        <v>215.14822155687202</v>
      </c>
      <c r="U157" s="6">
        <f t="shared" si="74"/>
        <v>64.823712499999999</v>
      </c>
      <c r="V157" s="6">
        <f t="shared" si="82"/>
        <v>64.823712499999999</v>
      </c>
      <c r="W157" s="6">
        <f t="shared" si="76"/>
        <v>64.823712499999999</v>
      </c>
      <c r="X157" s="2">
        <f t="shared" si="77"/>
        <v>16.208365496589998</v>
      </c>
      <c r="Z157" s="8"/>
      <c r="AA157" s="8"/>
      <c r="AB157" s="8"/>
      <c r="AC157" s="8"/>
      <c r="AD157" s="8"/>
    </row>
    <row r="158" spans="1:30">
      <c r="A158" s="1" t="s">
        <v>112</v>
      </c>
      <c r="B158" s="35">
        <v>250000</v>
      </c>
      <c r="C158" s="35" t="s">
        <v>24</v>
      </c>
      <c r="D158" s="35" t="s">
        <v>179</v>
      </c>
      <c r="E158" s="14">
        <f>12.8/MID(D158, SEARCH("NX", D158) + 2, SEARCH("_NY", D158) - SEARCH("NX", D158) - 2)</f>
        <v>8.3333333333333332E-3</v>
      </c>
      <c r="F158" s="14">
        <f>4.8/MID(D158, SEARCH("NY", D158) + 2, SEARCH("_NZ", D158) - SEARCH("NY", D158) - 2)</f>
        <v>8.3333333333333332E-3</v>
      </c>
      <c r="G158" s="16">
        <f>F158</f>
        <v>8.3333333333333332E-3</v>
      </c>
      <c r="H158" s="31">
        <f>0.25*G158</f>
        <v>2.0833333333333333E-3</v>
      </c>
      <c r="I158" s="3">
        <v>1</v>
      </c>
      <c r="J158" s="3" t="s">
        <v>26</v>
      </c>
      <c r="K158" s="3" t="s">
        <v>27</v>
      </c>
      <c r="L158">
        <v>0.1</v>
      </c>
      <c r="M158" s="6">
        <f t="shared" si="79"/>
        <v>48</v>
      </c>
      <c r="N158" s="6">
        <v>5185.8969999999999</v>
      </c>
      <c r="O158" s="6"/>
      <c r="P158">
        <f t="shared" si="72"/>
        <v>3.4423715449099523E-3</v>
      </c>
      <c r="Q158" s="7">
        <f t="shared" si="80"/>
        <v>0</v>
      </c>
      <c r="R158" s="8">
        <f t="shared" si="78"/>
        <v>-1</v>
      </c>
      <c r="S158" s="6">
        <f t="shared" si="81"/>
        <v>0</v>
      </c>
      <c r="T158" s="2">
        <f t="shared" si="73"/>
        <v>215.14822155687202</v>
      </c>
      <c r="U158" s="6">
        <f t="shared" si="74"/>
        <v>43.215808333333335</v>
      </c>
      <c r="V158" s="6">
        <f t="shared" si="82"/>
        <v>43.215808333333335</v>
      </c>
      <c r="W158" s="6">
        <f t="shared" si="76"/>
        <v>43.215808333333335</v>
      </c>
      <c r="X158" s="2">
        <f t="shared" si="77"/>
        <v>10.803952083333334</v>
      </c>
    </row>
    <row r="159" spans="1:30">
      <c r="A159" s="1" t="s">
        <v>69</v>
      </c>
      <c r="B159" s="35">
        <v>250002</v>
      </c>
      <c r="C159" s="35" t="s">
        <v>48</v>
      </c>
      <c r="D159" s="35" t="s">
        <v>180</v>
      </c>
      <c r="E159" s="14">
        <f>6.4/MID(D159, SEARCH("NX", D159) + 2, SEARCH("_NY", D159) - SEARCH("NX", D159) - 2)</f>
        <v>6.2500000000000003E-3</v>
      </c>
      <c r="F159" s="14">
        <f>2.4/MID(D159, SEARCH("NY", D159) + 2, SEARCH("_NZ", D159) - SEARCH("NY", D159) - 2)</f>
        <v>6.2499999999999995E-3</v>
      </c>
      <c r="G159" s="14">
        <f t="shared" ref="G159:G161" si="83">F159</f>
        <v>6.2499999999999995E-3</v>
      </c>
      <c r="H159" s="32">
        <f>0.25*G159</f>
        <v>1.5624999999999999E-3</v>
      </c>
      <c r="I159" s="3">
        <f>E159/F159</f>
        <v>1.0000000000000002</v>
      </c>
      <c r="J159" s="3" t="s">
        <v>26</v>
      </c>
      <c r="K159" s="3" t="s">
        <v>27</v>
      </c>
      <c r="L159">
        <v>0.1</v>
      </c>
      <c r="M159" s="6">
        <f>L159/H159</f>
        <v>64.000000000000014</v>
      </c>
      <c r="N159" s="6">
        <v>5185.8969999999999</v>
      </c>
      <c r="O159" s="6"/>
      <c r="P159">
        <f t="shared" si="72"/>
        <v>3.4423164676261621E-3</v>
      </c>
      <c r="Q159" s="7">
        <f t="shared" si="80"/>
        <v>0</v>
      </c>
      <c r="R159" s="8">
        <f>(Q159-P159)/P159</f>
        <v>-1</v>
      </c>
      <c r="S159" s="6">
        <f t="shared" si="81"/>
        <v>0</v>
      </c>
      <c r="T159" s="2">
        <f t="shared" si="73"/>
        <v>215.14650038486894</v>
      </c>
      <c r="U159" s="6">
        <f>E159*N159</f>
        <v>32.41185625</v>
      </c>
      <c r="V159" s="6">
        <f>F159*N159</f>
        <v>32.41185625</v>
      </c>
      <c r="W159" s="6">
        <f>G159*N159</f>
        <v>32.41185625</v>
      </c>
      <c r="X159" s="2">
        <f>H159*N159</f>
        <v>8.1029640624999999</v>
      </c>
      <c r="Z159" s="8"/>
      <c r="AA159" s="8"/>
      <c r="AB159" s="8"/>
      <c r="AC159" s="8"/>
      <c r="AD159" s="8"/>
    </row>
    <row r="160" spans="1:30">
      <c r="A160" s="1" t="s">
        <v>69</v>
      </c>
      <c r="B160" s="35">
        <v>250003</v>
      </c>
      <c r="C160" s="35" t="s">
        <v>48</v>
      </c>
      <c r="D160" s="35" t="s">
        <v>181</v>
      </c>
      <c r="E160" s="14">
        <f t="shared" ref="E160:E161" si="84">6.4/MID(D160, SEARCH("NX", D160) + 2, SEARCH("_NY", D160) - SEARCH("NX", D160) - 2)</f>
        <v>3.1250000000000002E-3</v>
      </c>
      <c r="F160" s="14">
        <f>2.4/MID(D160, SEARCH("NY", D160) + 2, SEARCH("_NZ", D160) - SEARCH("NY", D160) - 2)</f>
        <v>3.1249999999999997E-3</v>
      </c>
      <c r="G160" s="14">
        <f t="shared" si="83"/>
        <v>3.1249999999999997E-3</v>
      </c>
      <c r="H160" s="11">
        <f>0.25*G160</f>
        <v>7.8124999999999993E-4</v>
      </c>
      <c r="I160" s="3">
        <f>E160/F160</f>
        <v>1.0000000000000002</v>
      </c>
      <c r="J160" s="3" t="s">
        <v>26</v>
      </c>
      <c r="K160" s="3" t="s">
        <v>27</v>
      </c>
      <c r="L160">
        <v>0.1</v>
      </c>
      <c r="M160" s="6">
        <f>L160/H160</f>
        <v>128.00000000000003</v>
      </c>
      <c r="N160" s="6">
        <v>5185.8969999999999</v>
      </c>
      <c r="O160" s="6"/>
      <c r="P160">
        <f t="shared" si="72"/>
        <v>3.4422889294799548E-3</v>
      </c>
      <c r="Q160" s="7">
        <f t="shared" si="80"/>
        <v>0</v>
      </c>
      <c r="R160" s="8">
        <f>(Q160-P160)/P160</f>
        <v>-1</v>
      </c>
      <c r="S160" s="6">
        <f t="shared" si="81"/>
        <v>0</v>
      </c>
      <c r="T160" s="2">
        <f t="shared" si="73"/>
        <v>215.14563980919428</v>
      </c>
      <c r="U160" s="6">
        <f>E160*N160</f>
        <v>16.205928125</v>
      </c>
      <c r="V160" s="6">
        <f>F160*N160</f>
        <v>16.205928125</v>
      </c>
      <c r="W160" s="6">
        <f>G160*N160</f>
        <v>16.205928125</v>
      </c>
      <c r="X160" s="2">
        <v>8.1</v>
      </c>
      <c r="Z160" s="8"/>
      <c r="AA160" s="8"/>
      <c r="AB160" s="8"/>
      <c r="AC160" s="8"/>
      <c r="AD160" s="8"/>
    </row>
    <row r="161" spans="1:30">
      <c r="A161" s="1" t="s">
        <v>69</v>
      </c>
      <c r="B161" s="35">
        <v>250003</v>
      </c>
      <c r="C161" s="35" t="s">
        <v>48</v>
      </c>
      <c r="D161" s="35" t="s">
        <v>182</v>
      </c>
      <c r="E161" s="14">
        <f t="shared" si="84"/>
        <v>2.0833333333333333E-3</v>
      </c>
      <c r="F161" s="14">
        <f>2.4/MID(D161, SEARCH("NY", D161) + 2, SEARCH("_NZ", D161) - SEARCH("NY", D161) - 2)</f>
        <v>2.0833333333333333E-3</v>
      </c>
      <c r="G161" s="14">
        <f t="shared" si="83"/>
        <v>2.0833333333333333E-3</v>
      </c>
      <c r="H161" s="11">
        <f>0.25*G161</f>
        <v>5.2083333333333333E-4</v>
      </c>
      <c r="I161" s="3">
        <f t="shared" ref="I161" si="85">E161/F161</f>
        <v>1</v>
      </c>
      <c r="J161" s="3" t="s">
        <v>26</v>
      </c>
      <c r="K161" s="3" t="s">
        <v>27</v>
      </c>
      <c r="L161">
        <v>0.1</v>
      </c>
      <c r="M161" s="6">
        <f>L161/H161</f>
        <v>192</v>
      </c>
      <c r="N161" s="6">
        <v>5185.8969999999999</v>
      </c>
      <c r="O161" s="6"/>
      <c r="P161">
        <f t="shared" si="72"/>
        <v>3.4422889294799548E-3</v>
      </c>
      <c r="Q161" s="7">
        <f t="shared" si="80"/>
        <v>0</v>
      </c>
      <c r="R161" s="8">
        <f>(Q161-P161)/P161</f>
        <v>-1</v>
      </c>
      <c r="S161" s="6">
        <f t="shared" si="81"/>
        <v>0</v>
      </c>
      <c r="T161" s="2">
        <f t="shared" si="73"/>
        <v>215.14563980919428</v>
      </c>
      <c r="U161" s="6">
        <f t="shared" ref="U161" si="86">E161*N161</f>
        <v>10.803952083333334</v>
      </c>
      <c r="V161" s="6">
        <f t="shared" ref="V161" si="87">F161*N161</f>
        <v>10.803952083333334</v>
      </c>
      <c r="W161" s="6">
        <f t="shared" ref="W161" si="88">G161*N161</f>
        <v>10.803952083333334</v>
      </c>
      <c r="X161" s="2">
        <v>8.1</v>
      </c>
      <c r="Z161" s="8"/>
      <c r="AA161" s="8"/>
      <c r="AB161" s="8"/>
      <c r="AC161" s="8"/>
      <c r="AD161" s="8"/>
    </row>
    <row r="168" spans="1:30">
      <c r="A168" t="s">
        <v>34</v>
      </c>
      <c r="B168" s="3">
        <v>250000</v>
      </c>
      <c r="C168" s="3" t="s">
        <v>24</v>
      </c>
      <c r="D168" s="3" t="s">
        <v>138</v>
      </c>
      <c r="E168" s="14">
        <f>12.8/MID(D168, SEARCH("NX", D168) + 2, SEARCH("_NY", D168) - SEARCH("NX", D168) - 2)</f>
        <v>0.2</v>
      </c>
      <c r="F168" s="14">
        <f t="shared" ref="F168:F176" si="89">4.8/MID(D168, SEARCH("NY", D168) + 2, SEARCH("_NZ", D168) - SEARCH("NY", D168) - 2)</f>
        <v>9.9999999999999992E-2</v>
      </c>
      <c r="G168" s="16">
        <f>F168</f>
        <v>9.9999999999999992E-2</v>
      </c>
      <c r="H168" s="17">
        <f>0.25*G168</f>
        <v>2.4999999999999998E-2</v>
      </c>
      <c r="I168" s="3">
        <v>2</v>
      </c>
      <c r="J168" s="3" t="s">
        <v>26</v>
      </c>
      <c r="K168" s="3" t="s">
        <v>27</v>
      </c>
      <c r="L168">
        <v>0.1</v>
      </c>
      <c r="M168" s="6">
        <f>L168/H168</f>
        <v>4.0000000000000009</v>
      </c>
      <c r="N168" s="6">
        <v>5185.8969999999999</v>
      </c>
      <c r="O168" s="6">
        <v>5227.2530495807796</v>
      </c>
      <c r="P168">
        <f t="shared" ref="P168:P179" si="90">8*(N168/B168)^2</f>
        <v>3.4423715449099523E-3</v>
      </c>
      <c r="Q168" s="7">
        <f t="shared" ref="Q168:Q179" si="91">8*(O168/B168)^2</f>
        <v>3.4974943288770001E-3</v>
      </c>
      <c r="R168" s="8">
        <f>(Q168-P168)/P168</f>
        <v>1.6013025685317126E-2</v>
      </c>
      <c r="S168" s="6">
        <f t="shared" ref="S168:S179" si="92">500*2*O168/B168</f>
        <v>20.909012198323119</v>
      </c>
      <c r="T168" s="2">
        <f t="shared" ref="T168:T179" si="93">B168/4*P168</f>
        <v>215.14822155687202</v>
      </c>
      <c r="U168" s="6">
        <f>E168*N168</f>
        <v>1037.1794</v>
      </c>
      <c r="V168" s="6">
        <f>F168*N168</f>
        <v>518.58969999999999</v>
      </c>
      <c r="W168" s="6">
        <f>G168*N168</f>
        <v>518.58969999999999</v>
      </c>
      <c r="X168" s="2">
        <f>H168*N168</f>
        <v>129.647425</v>
      </c>
      <c r="Z168" s="8">
        <v>8.1374458436640901E-3</v>
      </c>
      <c r="AA168" s="8">
        <v>0.14030277531862001</v>
      </c>
      <c r="AB168" s="8">
        <v>0.40911936641124003</v>
      </c>
      <c r="AC168" s="8">
        <v>0.47761534608803402</v>
      </c>
      <c r="AD168" s="8">
        <v>6.8425867151283695E-2</v>
      </c>
    </row>
    <row r="169" spans="1:30">
      <c r="A169" t="s">
        <v>34</v>
      </c>
      <c r="B169" s="3">
        <v>250000</v>
      </c>
      <c r="C169" s="3" t="s">
        <v>24</v>
      </c>
      <c r="D169" s="3" t="s">
        <v>139</v>
      </c>
      <c r="E169" s="14">
        <f>12.8/MID(D169, SEARCH("NX", D169) + 2, SEARCH("_NY", D169) - SEARCH("NX", D169) - 2)</f>
        <v>0.13333333333333333</v>
      </c>
      <c r="F169" s="14">
        <f t="shared" si="89"/>
        <v>6.6666666666666666E-2</v>
      </c>
      <c r="G169" s="16">
        <f>F169</f>
        <v>6.6666666666666666E-2</v>
      </c>
      <c r="H169" s="17">
        <f>0.25*G169</f>
        <v>1.6666666666666666E-2</v>
      </c>
      <c r="I169" s="3">
        <v>2</v>
      </c>
      <c r="J169" s="3" t="s">
        <v>26</v>
      </c>
      <c r="K169" s="3" t="s">
        <v>27</v>
      </c>
      <c r="L169">
        <v>0.1</v>
      </c>
      <c r="M169" s="6">
        <f>L169/H169</f>
        <v>6</v>
      </c>
      <c r="N169" s="6">
        <v>5185.8969999999999</v>
      </c>
      <c r="O169" s="6">
        <v>5335.4287105610101</v>
      </c>
      <c r="P169">
        <f t="shared" si="90"/>
        <v>3.4423715449099523E-3</v>
      </c>
      <c r="Q169" s="7">
        <f t="shared" si="91"/>
        <v>3.6437503392612765E-3</v>
      </c>
      <c r="R169" s="8">
        <f t="shared" ref="R169:R175" si="94">(Q169-P169)/P169</f>
        <v>5.8500017131820667E-2</v>
      </c>
      <c r="S169" s="6">
        <f t="shared" si="92"/>
        <v>21.341714842244041</v>
      </c>
      <c r="T169" s="2">
        <f t="shared" si="93"/>
        <v>215.14822155687202</v>
      </c>
      <c r="U169" s="6">
        <f t="shared" ref="U169:U175" si="95">E169*N169</f>
        <v>691.45293333333336</v>
      </c>
      <c r="V169" s="6">
        <f t="shared" ref="V169:V175" si="96">F169*N169</f>
        <v>345.72646666666668</v>
      </c>
      <c r="W169" s="6">
        <f t="shared" ref="W169:W174" si="97">G169*N169</f>
        <v>345.72646666666668</v>
      </c>
      <c r="X169" s="2">
        <f t="shared" ref="X169:X175" si="98">H169*N169</f>
        <v>86.43161666666667</v>
      </c>
      <c r="Z169" s="8">
        <v>1.0291700344364401E-2</v>
      </c>
      <c r="AA169" s="8">
        <v>0.12140688794154</v>
      </c>
      <c r="AB169" s="8">
        <v>0.34015502480290399</v>
      </c>
      <c r="AC169" s="8">
        <v>0.333198110825904</v>
      </c>
      <c r="AD169" s="8">
        <v>3.4836067306288701E-2</v>
      </c>
    </row>
    <row r="170" spans="1:30">
      <c r="A170" t="s">
        <v>34</v>
      </c>
      <c r="B170" s="3">
        <v>250000</v>
      </c>
      <c r="C170" s="3" t="s">
        <v>24</v>
      </c>
      <c r="D170" s="3" t="s">
        <v>140</v>
      </c>
      <c r="E170" s="14">
        <f>12.8/MID(D170, SEARCH("NX", D170) + 2, SEARCH("_NY", D170) - SEARCH("NX", D170) - 2)</f>
        <v>0.1</v>
      </c>
      <c r="F170" s="14">
        <f t="shared" si="89"/>
        <v>4.9999999999999996E-2</v>
      </c>
      <c r="G170" s="16">
        <f>F170</f>
        <v>4.9999999999999996E-2</v>
      </c>
      <c r="H170" s="17">
        <f>0.25*G170</f>
        <v>1.2499999999999999E-2</v>
      </c>
      <c r="I170" s="3">
        <v>2</v>
      </c>
      <c r="J170" s="3" t="s">
        <v>26</v>
      </c>
      <c r="K170" s="3" t="s">
        <v>27</v>
      </c>
      <c r="L170">
        <v>0.1</v>
      </c>
      <c r="M170" s="6">
        <f>L170/H170</f>
        <v>8.0000000000000018</v>
      </c>
      <c r="N170" s="6">
        <v>5185.8969999999999</v>
      </c>
      <c r="O170" s="6">
        <v>5346.2018371301001</v>
      </c>
      <c r="P170">
        <f t="shared" si="90"/>
        <v>3.4423715449099523E-3</v>
      </c>
      <c r="Q170" s="7">
        <f t="shared" si="91"/>
        <v>3.6584798826666564E-3</v>
      </c>
      <c r="R170" s="8">
        <f t="shared" si="94"/>
        <v>6.2778911264314799E-2</v>
      </c>
      <c r="S170" s="6">
        <f t="shared" si="92"/>
        <v>21.3848073485204</v>
      </c>
      <c r="T170" s="2">
        <f t="shared" si="93"/>
        <v>215.14822155687202</v>
      </c>
      <c r="U170" s="6">
        <f t="shared" si="95"/>
        <v>518.58969999999999</v>
      </c>
      <c r="V170" s="6">
        <f t="shared" si="96"/>
        <v>259.29485</v>
      </c>
      <c r="W170" s="6">
        <f t="shared" si="97"/>
        <v>259.29485</v>
      </c>
      <c r="X170" s="2">
        <f t="shared" si="98"/>
        <v>64.823712499999999</v>
      </c>
      <c r="Z170" s="8">
        <v>9.6418369512758593E-3</v>
      </c>
      <c r="AA170" s="8">
        <v>0.17867225185386301</v>
      </c>
      <c r="AB170" s="8">
        <v>0.30049271312956399</v>
      </c>
      <c r="AC170" s="8">
        <v>0.27356908176942601</v>
      </c>
      <c r="AD170" s="8">
        <v>4.74540475432213E-2</v>
      </c>
    </row>
    <row r="171" spans="1:30">
      <c r="A171" t="s">
        <v>34</v>
      </c>
      <c r="B171" s="3">
        <v>250000</v>
      </c>
      <c r="C171" s="3" t="s">
        <v>24</v>
      </c>
      <c r="D171" s="3" t="s">
        <v>141</v>
      </c>
      <c r="E171" s="14">
        <f>12.8/MID(D171, SEARCH("NX", D171) + 2, SEARCH("_NY", D171) - SEARCH("NX", D171) - 2)</f>
        <v>6.6666666666666666E-2</v>
      </c>
      <c r="F171" s="14">
        <f t="shared" si="89"/>
        <v>3.3333333333333333E-2</v>
      </c>
      <c r="G171" s="16">
        <f>F171</f>
        <v>3.3333333333333333E-2</v>
      </c>
      <c r="H171" s="17">
        <f>0.25*G171</f>
        <v>8.3333333333333332E-3</v>
      </c>
      <c r="I171" s="3">
        <v>2</v>
      </c>
      <c r="J171" s="3" t="s">
        <v>26</v>
      </c>
      <c r="K171" s="3" t="s">
        <v>27</v>
      </c>
      <c r="L171">
        <v>0.1</v>
      </c>
      <c r="M171" s="6">
        <f>L171/H171</f>
        <v>12</v>
      </c>
      <c r="N171" s="6">
        <v>5185.8969999999999</v>
      </c>
      <c r="O171" s="6">
        <v>5325.1767346184897</v>
      </c>
      <c r="P171">
        <f t="shared" si="90"/>
        <v>3.4423715449099523E-3</v>
      </c>
      <c r="Q171" s="7">
        <f t="shared" si="91"/>
        <v>3.6297609286300206E-3</v>
      </c>
      <c r="R171" s="8">
        <f t="shared" si="94"/>
        <v>5.443612964938397E-2</v>
      </c>
      <c r="S171" s="6">
        <f t="shared" si="92"/>
        <v>21.300706938473958</v>
      </c>
      <c r="T171" s="2">
        <f t="shared" si="93"/>
        <v>215.14822155687202</v>
      </c>
      <c r="U171" s="6">
        <f t="shared" si="95"/>
        <v>345.72646666666668</v>
      </c>
      <c r="V171" s="6">
        <f t="shared" si="96"/>
        <v>172.86323333333334</v>
      </c>
      <c r="W171" s="6">
        <f t="shared" si="97"/>
        <v>172.86323333333334</v>
      </c>
      <c r="X171" s="2">
        <f t="shared" si="98"/>
        <v>43.215808333333335</v>
      </c>
      <c r="Z171" s="8">
        <v>6.6498161606922896E-3</v>
      </c>
      <c r="AA171" s="8">
        <v>0.27874295635731899</v>
      </c>
      <c r="AB171" s="8">
        <v>0.247018909134438</v>
      </c>
      <c r="AC171" s="8">
        <v>0.18033203385498001</v>
      </c>
      <c r="AD171" s="8">
        <v>4.5830604060374099E-2</v>
      </c>
    </row>
    <row r="172" spans="1:30">
      <c r="A172" t="s">
        <v>34</v>
      </c>
      <c r="B172" s="3">
        <v>250000</v>
      </c>
      <c r="C172" s="3" t="s">
        <v>24</v>
      </c>
      <c r="D172" s="3" t="s">
        <v>105</v>
      </c>
      <c r="E172" s="14">
        <f>12.8/MID(D172, SEARCH("NX", D172) + 2, SEARCH("_NY", D172) - SEARCH("NX", D172) - 2)</f>
        <v>0.05</v>
      </c>
      <c r="F172" s="14">
        <f t="shared" si="89"/>
        <v>2.4999999999999998E-2</v>
      </c>
      <c r="G172" s="14">
        <f>F172</f>
        <v>2.4999999999999998E-2</v>
      </c>
      <c r="H172" s="11">
        <v>6.2537640000000002E-3</v>
      </c>
      <c r="I172" s="3">
        <v>2</v>
      </c>
      <c r="J172" s="3" t="s">
        <v>26</v>
      </c>
      <c r="K172" s="3" t="s">
        <v>27</v>
      </c>
      <c r="L172">
        <v>0.1</v>
      </c>
      <c r="M172" s="6">
        <f t="shared" ref="M172:M175" si="99">L172/H172</f>
        <v>15.990369959595533</v>
      </c>
      <c r="N172" s="6">
        <v>5185.8969999999999</v>
      </c>
      <c r="O172" s="6">
        <v>5264.4234804391099</v>
      </c>
      <c r="P172">
        <f t="shared" si="90"/>
        <v>3.4423715449099523E-3</v>
      </c>
      <c r="Q172" s="7">
        <f t="shared" si="91"/>
        <v>3.5474117864190253E-3</v>
      </c>
      <c r="R172" s="8">
        <f t="shared" si="94"/>
        <v>3.051391755326071E-2</v>
      </c>
      <c r="S172" s="6">
        <f t="shared" si="92"/>
        <v>21.057693921756439</v>
      </c>
      <c r="T172" s="2">
        <f t="shared" si="93"/>
        <v>215.14822155687202</v>
      </c>
      <c r="U172" s="6">
        <f t="shared" si="95"/>
        <v>259.29485</v>
      </c>
      <c r="V172" s="6">
        <f t="shared" si="96"/>
        <v>129.647425</v>
      </c>
      <c r="W172" s="6">
        <f t="shared" si="97"/>
        <v>129.647425</v>
      </c>
      <c r="X172" s="2">
        <f t="shared" si="98"/>
        <v>32.431375966308003</v>
      </c>
      <c r="Z172" s="8">
        <v>5.3619806784573803E-3</v>
      </c>
      <c r="AA172" s="8">
        <v>0.31400954594295499</v>
      </c>
      <c r="AB172" s="8">
        <v>0.23701064085808099</v>
      </c>
      <c r="AC172" s="8">
        <v>0.15694826468314099</v>
      </c>
      <c r="AD172" s="8">
        <v>2.8926251203706999E-2</v>
      </c>
    </row>
    <row r="173" spans="1:30">
      <c r="A173" t="s">
        <v>34</v>
      </c>
      <c r="B173" s="3">
        <v>250000</v>
      </c>
      <c r="C173" s="3" t="s">
        <v>24</v>
      </c>
      <c r="D173" s="3" t="s">
        <v>106</v>
      </c>
      <c r="E173" s="14">
        <f>12.8/MID(D173, SEARCH("NX", D173) + 2, SEARCH("_NY", D173) - SEARCH("NX", D173) - 2)</f>
        <v>0.04</v>
      </c>
      <c r="F173" s="14">
        <f t="shared" si="89"/>
        <v>0.02</v>
      </c>
      <c r="G173" s="14">
        <f t="shared" ref="G173:G174" si="100">F173</f>
        <v>0.02</v>
      </c>
      <c r="H173" s="11">
        <v>5.0019280000000001E-3</v>
      </c>
      <c r="I173" s="3">
        <v>2</v>
      </c>
      <c r="J173" s="3" t="s">
        <v>26</v>
      </c>
      <c r="K173" s="3" t="s">
        <v>27</v>
      </c>
      <c r="L173">
        <v>0.1</v>
      </c>
      <c r="M173" s="6">
        <f t="shared" si="99"/>
        <v>19.992290972600966</v>
      </c>
      <c r="N173" s="6">
        <v>5185.8969999999999</v>
      </c>
      <c r="O173" s="6">
        <v>5208.7127588864096</v>
      </c>
      <c r="P173">
        <f t="shared" si="90"/>
        <v>3.4423715449099523E-3</v>
      </c>
      <c r="Q173" s="7">
        <f t="shared" si="91"/>
        <v>3.4727281413870171E-3</v>
      </c>
      <c r="R173" s="8">
        <f t="shared" si="94"/>
        <v>8.8185124937926827E-3</v>
      </c>
      <c r="S173" s="6">
        <f t="shared" si="92"/>
        <v>20.83485103554564</v>
      </c>
      <c r="T173" s="2">
        <f t="shared" si="93"/>
        <v>215.14822155687202</v>
      </c>
      <c r="U173" s="6">
        <f t="shared" si="95"/>
        <v>207.43588</v>
      </c>
      <c r="V173" s="6">
        <f t="shared" si="96"/>
        <v>103.71794</v>
      </c>
      <c r="W173" s="6">
        <f t="shared" si="97"/>
        <v>103.71794</v>
      </c>
      <c r="X173" s="2">
        <f t="shared" si="98"/>
        <v>25.939483409415999</v>
      </c>
      <c r="Z173" s="8">
        <v>9.3760902893943697E-3</v>
      </c>
      <c r="AA173" s="8">
        <v>0.34486050425797399</v>
      </c>
      <c r="AB173" s="8">
        <v>0.23155067801601401</v>
      </c>
      <c r="AC173" s="8">
        <v>0.15233581973381799</v>
      </c>
      <c r="AD173" s="8">
        <v>5.94708062103018E-3</v>
      </c>
    </row>
    <row r="174" spans="1:30">
      <c r="A174" t="s">
        <v>34</v>
      </c>
      <c r="B174" s="3">
        <v>250000</v>
      </c>
      <c r="C174" s="3" t="s">
        <v>24</v>
      </c>
      <c r="D174" s="3" t="s">
        <v>107</v>
      </c>
      <c r="E174" s="14">
        <f>12.8/MID(D174, SEARCH("NX", D174) + 2, SEARCH("_NY", D174) - SEARCH("NX", D174) - 2)</f>
        <v>3.3333333333333333E-2</v>
      </c>
      <c r="F174" s="14">
        <f t="shared" si="89"/>
        <v>1.6666666666666666E-2</v>
      </c>
      <c r="G174" s="14">
        <f t="shared" si="100"/>
        <v>1.6666666666666666E-2</v>
      </c>
      <c r="H174" s="11">
        <v>4.1677809999999997E-3</v>
      </c>
      <c r="I174" s="3">
        <v>2</v>
      </c>
      <c r="J174" s="3" t="s">
        <v>26</v>
      </c>
      <c r="K174" s="3" t="s">
        <v>27</v>
      </c>
      <c r="L174">
        <v>0.1</v>
      </c>
      <c r="M174" s="6">
        <f t="shared" si="99"/>
        <v>23.993583156120732</v>
      </c>
      <c r="N174" s="6">
        <v>5185.8969999999999</v>
      </c>
      <c r="O174" s="6">
        <v>5153.5173734851796</v>
      </c>
      <c r="P174">
        <f t="shared" si="90"/>
        <v>3.4423715449099523E-3</v>
      </c>
      <c r="Q174" s="7">
        <f t="shared" si="91"/>
        <v>3.3995188888081384E-3</v>
      </c>
      <c r="R174" s="8">
        <f t="shared" si="94"/>
        <v>-1.2448585384450362E-2</v>
      </c>
      <c r="S174" s="6">
        <f t="shared" si="92"/>
        <v>20.614069493940718</v>
      </c>
      <c r="T174" s="2">
        <f t="shared" si="93"/>
        <v>215.14822155687202</v>
      </c>
      <c r="U174" s="6">
        <f t="shared" si="95"/>
        <v>172.86323333333334</v>
      </c>
      <c r="V174" s="6">
        <f t="shared" si="96"/>
        <v>86.43161666666667</v>
      </c>
      <c r="W174" s="6">
        <f t="shared" si="97"/>
        <v>86.43161666666667</v>
      </c>
      <c r="X174" s="2">
        <f t="shared" si="98"/>
        <v>21.613682984556998</v>
      </c>
      <c r="Z174" s="8">
        <v>1.47744676482963E-2</v>
      </c>
      <c r="AA174" s="8">
        <v>0.36103220760070998</v>
      </c>
      <c r="AB174" s="8">
        <v>0.232246384611588</v>
      </c>
      <c r="AC174" s="8">
        <v>0.15903044654883</v>
      </c>
      <c r="AD174" s="8">
        <v>1.53269903148251E-2</v>
      </c>
    </row>
    <row r="175" spans="1:30">
      <c r="A175" t="s">
        <v>34</v>
      </c>
      <c r="B175" s="3">
        <v>250000</v>
      </c>
      <c r="C175" s="3" t="s">
        <v>24</v>
      </c>
      <c r="D175" s="3" t="s">
        <v>108</v>
      </c>
      <c r="E175" s="14">
        <f>12.8/MID(D175, SEARCH("NX", D175) + 2, SEARCH("_NY", D175) - SEARCH("NX", D175) - 2)</f>
        <v>2.8571428571428574E-2</v>
      </c>
      <c r="F175" s="14">
        <f t="shared" si="89"/>
        <v>1.4285714285714285E-2</v>
      </c>
      <c r="G175" s="14">
        <f t="shared" ref="G175:G180" si="101">F175</f>
        <v>1.4285714285714285E-2</v>
      </c>
      <c r="H175" s="11">
        <v>3.5721310000000001E-3</v>
      </c>
      <c r="I175" s="3">
        <v>2</v>
      </c>
      <c r="J175" s="3" t="s">
        <v>26</v>
      </c>
      <c r="K175" s="3" t="s">
        <v>27</v>
      </c>
      <c r="L175">
        <v>0.1</v>
      </c>
      <c r="M175" s="6">
        <f t="shared" si="99"/>
        <v>27.99449404291164</v>
      </c>
      <c r="N175" s="6">
        <v>5185.8969999999999</v>
      </c>
      <c r="O175" s="6">
        <v>5113.2755999215597</v>
      </c>
      <c r="P175">
        <f t="shared" si="90"/>
        <v>3.4423715449099523E-3</v>
      </c>
      <c r="Q175" s="7">
        <f t="shared" si="91"/>
        <v>3.3466351821764082E-3</v>
      </c>
      <c r="R175" s="8">
        <f t="shared" si="94"/>
        <v>-2.7811164914811191E-2</v>
      </c>
      <c r="S175" s="6">
        <f t="shared" si="92"/>
        <v>20.453102399686241</v>
      </c>
      <c r="T175" s="2">
        <f t="shared" si="93"/>
        <v>215.14822155687202</v>
      </c>
      <c r="U175" s="6">
        <f t="shared" si="95"/>
        <v>148.16848571428574</v>
      </c>
      <c r="V175" s="6">
        <f t="shared" si="96"/>
        <v>74.084242857142854</v>
      </c>
      <c r="W175" s="6">
        <f>G175*N175</f>
        <v>74.084242857142854</v>
      </c>
      <c r="X175" s="2">
        <f t="shared" si="98"/>
        <v>18.524703436507</v>
      </c>
      <c r="Z175" s="8">
        <v>1.83050915479127E-2</v>
      </c>
      <c r="AA175" s="8">
        <v>0.34868459120323803</v>
      </c>
      <c r="AB175" s="8">
        <v>0.23130428870365199</v>
      </c>
      <c r="AC175" s="8">
        <v>0.162731357871821</v>
      </c>
      <c r="AD175" s="8">
        <v>3.1556433917629897E-2</v>
      </c>
    </row>
    <row r="176" spans="1:30">
      <c r="A176" t="s">
        <v>34</v>
      </c>
      <c r="B176" s="3">
        <v>250000</v>
      </c>
      <c r="C176" s="3" t="s">
        <v>24</v>
      </c>
      <c r="D176" s="3" t="s">
        <v>142</v>
      </c>
      <c r="E176" s="14">
        <f>12.8/MID(D176, SEARCH("NX", D176) + 2, SEARCH("_NY", D176) - SEARCH("NX", D176) - 2)</f>
        <v>2.5000000000000001E-2</v>
      </c>
      <c r="F176" s="14">
        <f t="shared" si="89"/>
        <v>1.2499999999999999E-2</v>
      </c>
      <c r="G176" s="14">
        <f t="shared" si="101"/>
        <v>1.2499999999999999E-2</v>
      </c>
      <c r="H176" s="11">
        <v>3.12547E-3</v>
      </c>
      <c r="I176" s="3">
        <v>2</v>
      </c>
      <c r="J176" s="3" t="s">
        <v>26</v>
      </c>
      <c r="K176" s="3" t="s">
        <v>27</v>
      </c>
      <c r="L176">
        <v>0.1</v>
      </c>
      <c r="M176" s="6">
        <f t="shared" ref="M176" si="102">L176/H176</f>
        <v>31.995187923736271</v>
      </c>
      <c r="N176" s="6">
        <v>5185.8969999999999</v>
      </c>
      <c r="O176" s="6">
        <v>5075.7620897499601</v>
      </c>
      <c r="P176">
        <f t="shared" si="90"/>
        <v>3.4423715449099523E-3</v>
      </c>
      <c r="Q176" s="7">
        <f t="shared" si="91"/>
        <v>3.2977101813430891E-3</v>
      </c>
      <c r="R176" s="8">
        <f t="shared" ref="R176" si="103">(Q176-P176)/P176</f>
        <v>-4.2023750684543643E-2</v>
      </c>
      <c r="S176" s="6">
        <f t="shared" si="92"/>
        <v>20.303048358999842</v>
      </c>
      <c r="T176" s="2">
        <f t="shared" si="93"/>
        <v>215.14822155687202</v>
      </c>
      <c r="U176" s="6">
        <f t="shared" ref="U176" si="104">E176*N176</f>
        <v>129.647425</v>
      </c>
      <c r="V176" s="6">
        <f t="shared" ref="V176" si="105">F176*N176</f>
        <v>64.823712499999999</v>
      </c>
      <c r="W176" s="6">
        <f>G176*N176</f>
        <v>64.823712499999999</v>
      </c>
      <c r="X176" s="2">
        <f t="shared" ref="X176" si="106">H176*N176</f>
        <v>16.208365496589998</v>
      </c>
      <c r="Z176" s="8">
        <v>2.1919296820855399E-2</v>
      </c>
      <c r="AA176" s="8">
        <v>0.34288459480380201</v>
      </c>
      <c r="AB176" s="8">
        <v>0.225745523324139</v>
      </c>
      <c r="AC176" s="8">
        <v>0.160732243097053</v>
      </c>
      <c r="AD176" s="8">
        <v>4.2612260090280997E-2</v>
      </c>
    </row>
    <row r="177" spans="1:30">
      <c r="A177" t="s">
        <v>34</v>
      </c>
      <c r="B177" s="3">
        <v>250000</v>
      </c>
      <c r="C177" s="3" t="s">
        <v>24</v>
      </c>
      <c r="D177" s="3" t="s">
        <v>143</v>
      </c>
      <c r="E177" s="14">
        <f>12.8/MID(D177, SEARCH("NX", D177) + 2, SEARCH("_NY", D177) - SEARCH("NX", D177) - 2)</f>
        <v>1.6666666666666666E-2</v>
      </c>
      <c r="F177" s="14">
        <f>4.8/MID(D177, SEARCH("NY", D177) + 2, SEARCH("_NZ", D177) - SEARCH("NY", D177) - 2)</f>
        <v>8.3333333333333332E-3</v>
      </c>
      <c r="G177" s="14">
        <f t="shared" si="101"/>
        <v>8.3333333333333332E-3</v>
      </c>
      <c r="H177" s="11">
        <f>0.25*G177</f>
        <v>2.0833333333333333E-3</v>
      </c>
      <c r="I177" s="3">
        <v>2</v>
      </c>
      <c r="J177" s="3" t="s">
        <v>26</v>
      </c>
      <c r="K177" s="3" t="s">
        <v>27</v>
      </c>
      <c r="L177">
        <v>0.1</v>
      </c>
      <c r="M177" s="6">
        <f t="shared" ref="M177" si="107">L177/H177</f>
        <v>48</v>
      </c>
      <c r="N177" s="6">
        <v>5185.8969999999999</v>
      </c>
      <c r="O177" s="6">
        <v>5057.8305952271903</v>
      </c>
      <c r="P177">
        <f t="shared" si="90"/>
        <v>3.4423715449099523E-3</v>
      </c>
      <c r="Q177" s="7">
        <f t="shared" si="91"/>
        <v>3.2744512422420782E-3</v>
      </c>
      <c r="R177" s="8">
        <f t="shared" ref="R177" si="108">(Q177-P177)/P177</f>
        <v>-4.8780412130750003E-2</v>
      </c>
      <c r="S177" s="6">
        <f t="shared" si="92"/>
        <v>20.231322380908761</v>
      </c>
      <c r="T177" s="2">
        <f t="shared" si="93"/>
        <v>215.14822155687202</v>
      </c>
      <c r="U177" s="6">
        <f t="shared" ref="U177" si="109">E177*N177</f>
        <v>86.43161666666667</v>
      </c>
      <c r="V177" s="6">
        <f t="shared" ref="V177" si="110">F177*N177</f>
        <v>43.215808333333335</v>
      </c>
      <c r="W177" s="6">
        <f>G177*N177</f>
        <v>43.215808333333335</v>
      </c>
      <c r="X177" s="2">
        <f t="shared" ref="X177" si="111">H177*N177</f>
        <v>10.803952083333334</v>
      </c>
      <c r="Z177" s="8">
        <v>1.9057241727905301E-2</v>
      </c>
      <c r="AA177" s="8">
        <v>0.12797959577268</v>
      </c>
      <c r="AB177" s="8">
        <v>0.188559927251852</v>
      </c>
      <c r="AC177" s="8">
        <v>0.131245505104197</v>
      </c>
      <c r="AD177" s="8">
        <v>5.75133962105095E-2</v>
      </c>
    </row>
    <row r="178" spans="1:30">
      <c r="A178" t="s">
        <v>68</v>
      </c>
      <c r="B178" s="3">
        <v>250002</v>
      </c>
      <c r="C178" s="3" t="s">
        <v>48</v>
      </c>
      <c r="D178" s="3" t="s">
        <v>144</v>
      </c>
      <c r="E178" s="14">
        <f>6.4/MID(D178, SEARCH("NX", D178) + 2, SEARCH("_NY", D178) - SEARCH("NX", D178) - 2)</f>
        <v>1.2500000000000001E-2</v>
      </c>
      <c r="F178" s="14">
        <f>2.4/MID(D178, SEARCH("NY", D178) + 2, SEARCH("_NZ", D178) - SEARCH("NY", D178) - 2)</f>
        <v>6.2499999999999995E-3</v>
      </c>
      <c r="G178" s="14">
        <f t="shared" si="101"/>
        <v>6.2499999999999995E-3</v>
      </c>
      <c r="H178" s="11">
        <f>0.25*G178</f>
        <v>1.5624999999999999E-3</v>
      </c>
      <c r="I178" s="3">
        <f>E178/F178</f>
        <v>2.0000000000000004</v>
      </c>
      <c r="J178" s="3" t="s">
        <v>26</v>
      </c>
      <c r="K178" s="3" t="s">
        <v>27</v>
      </c>
      <c r="L178">
        <v>0.1</v>
      </c>
      <c r="M178" s="6">
        <f>L178/H178</f>
        <v>64.000000000000014</v>
      </c>
      <c r="N178" s="6">
        <v>5185.8969999999999</v>
      </c>
      <c r="O178" s="6">
        <v>5165.4889619569703</v>
      </c>
      <c r="P178">
        <f t="shared" si="90"/>
        <v>3.4423164676261621E-3</v>
      </c>
      <c r="Q178" s="7">
        <f t="shared" si="91"/>
        <v>3.4152767110147567E-3</v>
      </c>
      <c r="R178" s="8">
        <f>(Q178-P178)/P178</f>
        <v>-7.8551048009982034E-3</v>
      </c>
      <c r="S178" s="6">
        <f t="shared" si="92"/>
        <v>20.661790553503455</v>
      </c>
      <c r="T178" s="2">
        <f t="shared" si="93"/>
        <v>215.14650038486894</v>
      </c>
      <c r="U178" s="6">
        <f>E178*N178</f>
        <v>64.823712499999999</v>
      </c>
      <c r="V178" s="6">
        <f>F178*N178</f>
        <v>32.41185625</v>
      </c>
      <c r="W178" s="6">
        <f>G178*N178</f>
        <v>32.41185625</v>
      </c>
      <c r="X178" s="2">
        <f>H178*N178</f>
        <v>8.1029640624999999</v>
      </c>
      <c r="Z178" s="8">
        <v>6.2920106128129096E-3</v>
      </c>
      <c r="AA178" s="8">
        <v>7.6028399316397405E-2</v>
      </c>
      <c r="AB178" s="8">
        <v>0.12162269818152199</v>
      </c>
      <c r="AC178" s="8">
        <v>6.4232377979066904E-2</v>
      </c>
      <c r="AD178" s="8">
        <v>6.25038811576449E-3</v>
      </c>
    </row>
    <row r="179" spans="1:30">
      <c r="A179" t="s">
        <v>68</v>
      </c>
      <c r="B179" s="3">
        <v>250003</v>
      </c>
      <c r="C179" s="3" t="s">
        <v>48</v>
      </c>
      <c r="D179" s="3" t="s">
        <v>145</v>
      </c>
      <c r="E179" s="14">
        <f t="shared" ref="E179:E180" si="112">6.4/MID(D179, SEARCH("NX", D179) + 2, SEARCH("_NY", D179) - SEARCH("NX", D179) - 2)</f>
        <v>6.2500000000000003E-3</v>
      </c>
      <c r="F179" s="14">
        <f>2.4/MID(D179, SEARCH("NY", D179) + 2, SEARCH("_NZ", D179) - SEARCH("NY", D179) - 2)</f>
        <v>3.1249999999999997E-3</v>
      </c>
      <c r="G179" s="14">
        <f t="shared" si="101"/>
        <v>3.1249999999999997E-3</v>
      </c>
      <c r="H179" s="11">
        <f>0.25*G179</f>
        <v>7.8124999999999993E-4</v>
      </c>
      <c r="I179" s="3">
        <f>E179/F179</f>
        <v>2.0000000000000004</v>
      </c>
      <c r="J179" s="3" t="s">
        <v>26</v>
      </c>
      <c r="K179" s="3" t="s">
        <v>27</v>
      </c>
      <c r="L179">
        <v>0.1</v>
      </c>
      <c r="M179" s="6">
        <f>L179/H179</f>
        <v>128.00000000000003</v>
      </c>
      <c r="N179" s="6">
        <v>5185.8969999999999</v>
      </c>
      <c r="O179" s="6">
        <v>5196.8866907833799</v>
      </c>
      <c r="P179">
        <f t="shared" si="90"/>
        <v>3.4422889294799548E-3</v>
      </c>
      <c r="Q179" s="7">
        <f t="shared" si="91"/>
        <v>3.4568938374858107E-3</v>
      </c>
      <c r="R179" s="8">
        <f>(Q179-P179)/P179</f>
        <v>4.2427896975116407E-3</v>
      </c>
      <c r="S179" s="6">
        <f t="shared" si="92"/>
        <v>20.787297315565731</v>
      </c>
      <c r="T179" s="2">
        <f t="shared" si="93"/>
        <v>215.14563980919428</v>
      </c>
      <c r="U179" s="6">
        <f>E179*N179</f>
        <v>32.41185625</v>
      </c>
      <c r="V179" s="6">
        <f>F179*N179</f>
        <v>16.205928125</v>
      </c>
      <c r="W179" s="6">
        <f>G179*N179</f>
        <v>16.205928125</v>
      </c>
      <c r="X179" s="2">
        <v>8.1</v>
      </c>
      <c r="Z179" s="8">
        <v>3.0434460612171399E-3</v>
      </c>
      <c r="AA179" s="8">
        <v>0.12108583834994199</v>
      </c>
      <c r="AB179" s="8">
        <v>7.0555853391586501E-2</v>
      </c>
      <c r="AC179" s="8">
        <v>4.95550437514383E-2</v>
      </c>
      <c r="AD179" s="8">
        <v>1.7983353464293399E-2</v>
      </c>
    </row>
    <row r="180" spans="1:30">
      <c r="A180" t="s">
        <v>68</v>
      </c>
      <c r="B180" s="3">
        <v>250003</v>
      </c>
      <c r="C180" s="3" t="s">
        <v>48</v>
      </c>
      <c r="D180" s="3" t="s">
        <v>146</v>
      </c>
      <c r="E180" s="14">
        <f t="shared" si="112"/>
        <v>4.1666666666666666E-3</v>
      </c>
      <c r="F180" s="14">
        <f>2.4/MID(D180, SEARCH("NY", D180) + 2, SEARCH("_NZ", D180) - SEARCH("NY", D180) - 2)</f>
        <v>2.0833333333333333E-3</v>
      </c>
      <c r="G180" s="14">
        <f t="shared" si="101"/>
        <v>2.0833333333333333E-3</v>
      </c>
      <c r="H180" s="11">
        <f>0.25*G180</f>
        <v>5.2083333333333333E-4</v>
      </c>
      <c r="I180" s="3">
        <f t="shared" ref="I180" si="113">E180/F180</f>
        <v>2</v>
      </c>
      <c r="J180" s="3" t="s">
        <v>26</v>
      </c>
      <c r="K180" s="3" t="s">
        <v>27</v>
      </c>
      <c r="L180">
        <v>0.1</v>
      </c>
      <c r="M180" s="6">
        <f>L180/H180</f>
        <v>192</v>
      </c>
      <c r="N180" s="6">
        <v>5185.8969999999999</v>
      </c>
      <c r="O180" s="6">
        <v>5192.5681820437603</v>
      </c>
      <c r="P180">
        <f t="shared" ref="P180" si="114">8*(N180/B180)^2</f>
        <v>3.4422889294799548E-3</v>
      </c>
      <c r="Q180" s="7">
        <f t="shared" ref="Q180" si="115">8*(O180/B180)^2</f>
        <v>3.451151005501077E-3</v>
      </c>
      <c r="R180" s="8">
        <f>(Q180-P180)/P180</f>
        <v>2.5744718710933633E-3</v>
      </c>
      <c r="S180" s="6">
        <f t="shared" ref="S180" si="116">500*2*O180/B180</f>
        <v>20.770023487893187</v>
      </c>
      <c r="T180" s="2">
        <f t="shared" ref="T180" si="117">B180/4*P180</f>
        <v>215.14563980919428</v>
      </c>
      <c r="U180" s="6">
        <f t="shared" ref="U180" si="118">E180*N180</f>
        <v>21.607904166666668</v>
      </c>
      <c r="V180" s="6">
        <f t="shared" ref="V180" si="119">F180*N180</f>
        <v>10.803952083333334</v>
      </c>
      <c r="W180" s="6">
        <f t="shared" ref="W180" si="120">G180*N180</f>
        <v>10.803952083333334</v>
      </c>
      <c r="X180" s="2">
        <v>8.1</v>
      </c>
      <c r="Z180" s="8">
        <v>4.8797389508992497E-3</v>
      </c>
      <c r="AA180" s="8">
        <v>7.5309130077987604E-2</v>
      </c>
      <c r="AB180" s="8">
        <v>2.1459005741361201E-2</v>
      </c>
      <c r="AC180" s="8">
        <v>2.5919183798633599E-2</v>
      </c>
      <c r="AD180" s="8">
        <v>1.3654431269561999E-2</v>
      </c>
    </row>
    <row r="186" spans="1:30">
      <c r="A186" t="s">
        <v>112</v>
      </c>
      <c r="B186" s="3">
        <v>250000</v>
      </c>
      <c r="C186" s="3" t="s">
        <v>24</v>
      </c>
      <c r="D186" s="3" t="s">
        <v>138</v>
      </c>
      <c r="E186" s="14">
        <f t="shared" ref="E186:E194" si="121">12.8/MID(D186, SEARCH("NX", D186) + 2, SEARCH("_NY", D186) - SEARCH("NX", D186) - 2)</f>
        <v>0.2</v>
      </c>
      <c r="F186" s="14">
        <f t="shared" ref="F186:F194" si="122">4.8/MID(D186, SEARCH("NY", D186) + 2, SEARCH("_NZ", D186) - SEARCH("NY", D186) - 2)</f>
        <v>9.9999999999999992E-2</v>
      </c>
      <c r="G186" s="14">
        <f t="shared" ref="G186:G194" si="123">F186</f>
        <v>9.9999999999999992E-2</v>
      </c>
      <c r="H186" s="11">
        <f t="shared" ref="H186:H198" si="124">0.25*G186</f>
        <v>2.4999999999999998E-2</v>
      </c>
      <c r="I186" s="3">
        <v>2</v>
      </c>
      <c r="J186" s="3" t="s">
        <v>26</v>
      </c>
      <c r="K186" s="3" t="s">
        <v>27</v>
      </c>
      <c r="L186">
        <v>0.1</v>
      </c>
      <c r="M186" s="6">
        <f>L186/H186</f>
        <v>4.0000000000000009</v>
      </c>
      <c r="N186" s="6">
        <v>5185.8969999999999</v>
      </c>
      <c r="O186" s="6">
        <v>5360.0774532953501</v>
      </c>
      <c r="P186">
        <f t="shared" ref="P186:P198" si="125">8*(N186/B186)^2</f>
        <v>3.4423715449099523E-3</v>
      </c>
      <c r="Q186" s="7">
        <f t="shared" ref="Q186:Q198" si="126">8*(O186/B186)^2</f>
        <v>3.6774950790816217E-3</v>
      </c>
      <c r="R186" s="8">
        <f>(Q186-P186)/P186</f>
        <v>6.8302776473775417E-2</v>
      </c>
      <c r="S186" s="6">
        <v>21.4</v>
      </c>
      <c r="T186" s="2">
        <f t="shared" ref="T186:T198" si="127">B186/4*P186</f>
        <v>215.14822155687202</v>
      </c>
      <c r="U186" s="6">
        <f>E186*N186</f>
        <v>1037.1794</v>
      </c>
      <c r="V186" s="6">
        <f>F186*N186</f>
        <v>518.58969999999999</v>
      </c>
      <c r="W186" s="6">
        <f>G186*N186</f>
        <v>518.58969999999999</v>
      </c>
      <c r="X186" s="2">
        <f>H186*N186</f>
        <v>129.647425</v>
      </c>
      <c r="Z186" s="8">
        <v>1.03148227504835E-2</v>
      </c>
      <c r="AA186" s="8">
        <v>6.6279102401767598E-2</v>
      </c>
      <c r="AB186" s="8">
        <v>0.28789746728961402</v>
      </c>
      <c r="AC186" s="8">
        <v>0.37615722733354401</v>
      </c>
      <c r="AD186" s="8">
        <v>3.4691826658924299E-2</v>
      </c>
    </row>
    <row r="187" spans="1:30">
      <c r="A187" t="s">
        <v>112</v>
      </c>
      <c r="B187" s="3">
        <v>250000</v>
      </c>
      <c r="C187" s="3" t="s">
        <v>24</v>
      </c>
      <c r="D187" s="3" t="s">
        <v>139</v>
      </c>
      <c r="E187" s="14">
        <f t="shared" si="121"/>
        <v>0.13333333333333333</v>
      </c>
      <c r="F187" s="14">
        <f t="shared" si="122"/>
        <v>6.6666666666666666E-2</v>
      </c>
      <c r="G187" s="14">
        <f t="shared" si="123"/>
        <v>6.6666666666666666E-2</v>
      </c>
      <c r="H187" s="11">
        <f t="shared" si="124"/>
        <v>1.6666666666666666E-2</v>
      </c>
      <c r="I187" s="3">
        <v>2</v>
      </c>
      <c r="J187" s="3" t="s">
        <v>26</v>
      </c>
      <c r="K187" s="3" t="s">
        <v>27</v>
      </c>
      <c r="L187">
        <v>0.1</v>
      </c>
      <c r="M187" s="6">
        <f>L187/H187</f>
        <v>6</v>
      </c>
      <c r="N187" s="6">
        <v>5185.8969999999999</v>
      </c>
      <c r="O187" s="6">
        <v>5356.4587074902001</v>
      </c>
      <c r="P187">
        <f t="shared" si="125"/>
        <v>3.4423715449099523E-3</v>
      </c>
      <c r="Q187" s="7">
        <f t="shared" si="126"/>
        <v>3.6725311852860904E-3</v>
      </c>
      <c r="R187" s="8">
        <f t="shared" ref="R187:R194" si="128">(Q187-P187)/P187</f>
        <v>6.6860778208692406E-2</v>
      </c>
      <c r="S187" s="6">
        <f t="shared" ref="S187:S198" si="129">500*2*O187/B187</f>
        <v>21.425834829960802</v>
      </c>
      <c r="T187" s="2">
        <f t="shared" si="127"/>
        <v>215.14822155687202</v>
      </c>
      <c r="U187" s="6">
        <f t="shared" ref="U187:U194" si="130">E187*N187</f>
        <v>691.45293333333336</v>
      </c>
      <c r="V187" s="6">
        <f t="shared" ref="V187:V194" si="131">F187*N187</f>
        <v>345.72646666666668</v>
      </c>
      <c r="W187" s="6">
        <f t="shared" ref="W187:W192" si="132">G187*N187</f>
        <v>345.72646666666668</v>
      </c>
      <c r="X187" s="2">
        <f t="shared" ref="X187:X194" si="133">H187*N187</f>
        <v>86.43161666666667</v>
      </c>
      <c r="Z187" s="8">
        <v>1.3180893836384801E-2</v>
      </c>
      <c r="AA187" s="8">
        <v>0.16415314824883401</v>
      </c>
      <c r="AB187" s="8">
        <v>0.26941368914218899</v>
      </c>
      <c r="AC187" s="8">
        <v>0.29809316987139101</v>
      </c>
      <c r="AD187" s="8">
        <v>3.3047473005200001E-2</v>
      </c>
    </row>
    <row r="188" spans="1:30">
      <c r="A188" t="s">
        <v>112</v>
      </c>
      <c r="B188" s="3">
        <v>250000</v>
      </c>
      <c r="C188" s="3" t="s">
        <v>24</v>
      </c>
      <c r="D188" s="3" t="s">
        <v>140</v>
      </c>
      <c r="E188" s="14">
        <f t="shared" si="121"/>
        <v>0.1</v>
      </c>
      <c r="F188" s="14">
        <f t="shared" si="122"/>
        <v>4.9999999999999996E-2</v>
      </c>
      <c r="G188" s="14">
        <f t="shared" si="123"/>
        <v>4.9999999999999996E-2</v>
      </c>
      <c r="H188" s="11">
        <f t="shared" si="124"/>
        <v>1.2499999999999999E-2</v>
      </c>
      <c r="I188" s="3">
        <v>2</v>
      </c>
      <c r="J188" s="3" t="s">
        <v>26</v>
      </c>
      <c r="K188" s="3" t="s">
        <v>27</v>
      </c>
      <c r="L188">
        <v>0.1</v>
      </c>
      <c r="M188" s="6">
        <f>L188/H188</f>
        <v>8.0000000000000018</v>
      </c>
      <c r="N188" s="6">
        <v>5185.8969999999999</v>
      </c>
      <c r="O188" s="6">
        <v>5355.5270981206504</v>
      </c>
      <c r="P188">
        <f t="shared" si="125"/>
        <v>3.4423715449099523E-3</v>
      </c>
      <c r="Q188" s="7">
        <f t="shared" si="126"/>
        <v>3.6712538238341877E-3</v>
      </c>
      <c r="R188" s="8">
        <f t="shared" si="128"/>
        <v>6.6489708021980135E-2</v>
      </c>
      <c r="S188" s="6">
        <f t="shared" si="129"/>
        <v>21.422108392482603</v>
      </c>
      <c r="T188" s="2">
        <f t="shared" si="127"/>
        <v>215.14822155687202</v>
      </c>
      <c r="U188" s="6">
        <f t="shared" si="130"/>
        <v>518.58969999999999</v>
      </c>
      <c r="V188" s="6">
        <f t="shared" si="131"/>
        <v>259.29485</v>
      </c>
      <c r="W188" s="6">
        <f t="shared" si="132"/>
        <v>259.29485</v>
      </c>
      <c r="X188" s="2">
        <f t="shared" si="133"/>
        <v>64.823712499999999</v>
      </c>
      <c r="Z188" s="8">
        <v>1.28247699060928E-2</v>
      </c>
      <c r="AA188" s="8">
        <v>0.211556266088582</v>
      </c>
      <c r="AB188" s="8">
        <v>0.25442455042245998</v>
      </c>
      <c r="AC188" s="8">
        <v>0.24132019963708601</v>
      </c>
      <c r="AD188" s="8">
        <v>4.3844540495885299E-2</v>
      </c>
    </row>
    <row r="189" spans="1:30">
      <c r="A189" t="s">
        <v>112</v>
      </c>
      <c r="B189" s="3">
        <v>250000</v>
      </c>
      <c r="C189" s="3" t="s">
        <v>24</v>
      </c>
      <c r="D189" s="3" t="s">
        <v>141</v>
      </c>
      <c r="E189" s="14">
        <f t="shared" si="121"/>
        <v>6.6666666666666666E-2</v>
      </c>
      <c r="F189" s="14">
        <f t="shared" si="122"/>
        <v>3.3333333333333333E-2</v>
      </c>
      <c r="G189" s="14">
        <f t="shared" si="123"/>
        <v>3.3333333333333333E-2</v>
      </c>
      <c r="H189" s="11">
        <f t="shared" si="124"/>
        <v>8.3333333333333332E-3</v>
      </c>
      <c r="I189" s="3">
        <v>2</v>
      </c>
      <c r="J189" s="3" t="s">
        <v>26</v>
      </c>
      <c r="K189" s="3" t="s">
        <v>27</v>
      </c>
      <c r="L189">
        <v>0.1</v>
      </c>
      <c r="M189" s="6">
        <f>L189/H189</f>
        <v>12</v>
      </c>
      <c r="N189" s="6">
        <v>5185.8969999999999</v>
      </c>
      <c r="O189" s="6">
        <v>5338.2854866941298</v>
      </c>
      <c r="P189">
        <f t="shared" si="125"/>
        <v>3.4423715449099523E-3</v>
      </c>
      <c r="Q189" s="7">
        <f t="shared" si="126"/>
        <v>3.6476533679934949E-3</v>
      </c>
      <c r="R189" s="8">
        <f t="shared" si="128"/>
        <v>5.9633836849215673E-2</v>
      </c>
      <c r="S189" s="6">
        <f t="shared" si="129"/>
        <v>21.353141946776521</v>
      </c>
      <c r="T189" s="2">
        <f t="shared" si="127"/>
        <v>215.14822155687202</v>
      </c>
      <c r="U189" s="6">
        <f t="shared" si="130"/>
        <v>345.72646666666668</v>
      </c>
      <c r="V189" s="6">
        <f t="shared" si="131"/>
        <v>172.86323333333334</v>
      </c>
      <c r="W189" s="6">
        <f t="shared" si="132"/>
        <v>172.86323333333334</v>
      </c>
      <c r="X189" s="2">
        <f t="shared" si="133"/>
        <v>43.215808333333335</v>
      </c>
      <c r="Z189" s="8">
        <v>9.2375510133383496E-3</v>
      </c>
      <c r="AA189" s="8">
        <v>0.28758830191032903</v>
      </c>
      <c r="AB189" s="8">
        <v>0.22269440890061701</v>
      </c>
      <c r="AC189" s="8">
        <v>0.165454466165911</v>
      </c>
      <c r="AD189" s="8">
        <v>4.2515544510483803E-2</v>
      </c>
    </row>
    <row r="190" spans="1:30">
      <c r="A190" t="s">
        <v>112</v>
      </c>
      <c r="B190" s="3">
        <v>250000</v>
      </c>
      <c r="C190" s="3" t="s">
        <v>24</v>
      </c>
      <c r="D190" s="3" t="s">
        <v>105</v>
      </c>
      <c r="E190" s="14">
        <f t="shared" si="121"/>
        <v>0.05</v>
      </c>
      <c r="F190" s="14">
        <f t="shared" si="122"/>
        <v>2.4999999999999998E-2</v>
      </c>
      <c r="G190" s="14">
        <f t="shared" si="123"/>
        <v>2.4999999999999998E-2</v>
      </c>
      <c r="H190" s="11">
        <f t="shared" si="124"/>
        <v>6.2499999999999995E-3</v>
      </c>
      <c r="I190" s="3">
        <v>2</v>
      </c>
      <c r="J190" s="3" t="s">
        <v>26</v>
      </c>
      <c r="K190" s="3" t="s">
        <v>27</v>
      </c>
      <c r="L190">
        <v>0.1</v>
      </c>
      <c r="M190" s="6">
        <f t="shared" ref="M190:M194" si="134">L190/H190</f>
        <v>16.000000000000004</v>
      </c>
      <c r="N190" s="6">
        <v>5185.8969999999999</v>
      </c>
      <c r="O190" s="6">
        <v>5294.1438570909004</v>
      </c>
      <c r="P190">
        <f t="shared" si="125"/>
        <v>3.4423715449099523E-3</v>
      </c>
      <c r="Q190" s="7">
        <f t="shared" si="126"/>
        <v>3.5875787749853841E-3</v>
      </c>
      <c r="R190" s="8">
        <f t="shared" si="128"/>
        <v>4.218232348862571E-2</v>
      </c>
      <c r="S190" s="6">
        <f t="shared" si="129"/>
        <v>21.176575428363602</v>
      </c>
      <c r="T190" s="2">
        <f t="shared" si="127"/>
        <v>215.14822155687202</v>
      </c>
      <c r="U190" s="6">
        <f t="shared" si="130"/>
        <v>259.29485</v>
      </c>
      <c r="V190" s="6">
        <f t="shared" si="131"/>
        <v>129.647425</v>
      </c>
      <c r="W190" s="6">
        <f t="shared" si="132"/>
        <v>129.647425</v>
      </c>
      <c r="X190" s="2">
        <f t="shared" si="133"/>
        <v>32.41185625</v>
      </c>
      <c r="Z190" s="8">
        <v>5.1662576224237797E-3</v>
      </c>
      <c r="AA190" s="8">
        <v>0.33484486289657001</v>
      </c>
      <c r="AB190" s="8">
        <v>0.210289907590618</v>
      </c>
      <c r="AC190" s="8">
        <v>0.131817394897843</v>
      </c>
      <c r="AD190" s="8">
        <v>3.06828031128147E-2</v>
      </c>
    </row>
    <row r="191" spans="1:30">
      <c r="A191" t="s">
        <v>112</v>
      </c>
      <c r="B191" s="3">
        <v>250000</v>
      </c>
      <c r="C191" s="3" t="s">
        <v>24</v>
      </c>
      <c r="D191" s="3" t="s">
        <v>106</v>
      </c>
      <c r="E191" s="14">
        <f t="shared" si="121"/>
        <v>0.04</v>
      </c>
      <c r="F191" s="14">
        <f t="shared" si="122"/>
        <v>0.02</v>
      </c>
      <c r="G191" s="14">
        <f t="shared" si="123"/>
        <v>0.02</v>
      </c>
      <c r="H191" s="11">
        <f t="shared" si="124"/>
        <v>5.0000000000000001E-3</v>
      </c>
      <c r="I191" s="3">
        <v>2</v>
      </c>
      <c r="J191" s="3" t="s">
        <v>26</v>
      </c>
      <c r="K191" s="3" t="s">
        <v>27</v>
      </c>
      <c r="L191">
        <v>0.1</v>
      </c>
      <c r="M191" s="6">
        <f t="shared" si="134"/>
        <v>20</v>
      </c>
      <c r="N191" s="6">
        <v>5185.8969999999999</v>
      </c>
      <c r="O191" s="6">
        <v>5244.36259144408</v>
      </c>
      <c r="P191">
        <f t="shared" si="125"/>
        <v>3.4423715449099523E-3</v>
      </c>
      <c r="Q191" s="7">
        <f t="shared" si="126"/>
        <v>3.5204273907888726E-3</v>
      </c>
      <c r="R191" s="8">
        <f t="shared" si="128"/>
        <v>2.2675020653809809E-2</v>
      </c>
      <c r="S191" s="6">
        <f t="shared" si="129"/>
        <v>20.97745036577632</v>
      </c>
      <c r="T191" s="2">
        <f t="shared" si="127"/>
        <v>215.14822155687202</v>
      </c>
      <c r="U191" s="6">
        <f t="shared" si="130"/>
        <v>207.43588</v>
      </c>
      <c r="V191" s="6">
        <f t="shared" si="131"/>
        <v>103.71794</v>
      </c>
      <c r="W191" s="6">
        <f t="shared" si="132"/>
        <v>103.71794</v>
      </c>
      <c r="X191" s="2">
        <f t="shared" si="133"/>
        <v>25.929485</v>
      </c>
      <c r="Z191" s="8">
        <v>6.2592707258047799E-3</v>
      </c>
      <c r="AA191" s="8">
        <v>0.34965921357218099</v>
      </c>
      <c r="AB191" s="8">
        <v>0.204986395580354</v>
      </c>
      <c r="AC191" s="8">
        <v>0.12728669931883599</v>
      </c>
      <c r="AD191" s="8">
        <v>1.7175086005431401E-2</v>
      </c>
    </row>
    <row r="192" spans="1:30">
      <c r="A192" t="s">
        <v>112</v>
      </c>
      <c r="B192" s="3">
        <v>250000</v>
      </c>
      <c r="C192" s="3" t="s">
        <v>24</v>
      </c>
      <c r="D192" s="3" t="s">
        <v>107</v>
      </c>
      <c r="E192" s="14">
        <f t="shared" si="121"/>
        <v>3.3333333333333333E-2</v>
      </c>
      <c r="F192" s="14">
        <f t="shared" si="122"/>
        <v>1.6666666666666666E-2</v>
      </c>
      <c r="G192" s="14">
        <f t="shared" si="123"/>
        <v>1.6666666666666666E-2</v>
      </c>
      <c r="H192" s="11">
        <f t="shared" si="124"/>
        <v>4.1666666666666666E-3</v>
      </c>
      <c r="I192" s="3">
        <v>2</v>
      </c>
      <c r="J192" s="3" t="s">
        <v>26</v>
      </c>
      <c r="K192" s="3" t="s">
        <v>27</v>
      </c>
      <c r="L192">
        <v>0.1</v>
      </c>
      <c r="M192" s="6">
        <f t="shared" si="134"/>
        <v>24</v>
      </c>
      <c r="N192" s="6">
        <v>5185.8969999999999</v>
      </c>
      <c r="O192" s="6">
        <v>5192.8425578843999</v>
      </c>
      <c r="P192">
        <f t="shared" si="125"/>
        <v>3.4423715449099523E-3</v>
      </c>
      <c r="Q192" s="7">
        <f t="shared" si="126"/>
        <v>3.4515985703648506E-3</v>
      </c>
      <c r="R192" s="8">
        <f t="shared" si="128"/>
        <v>2.6804269482594871E-3</v>
      </c>
      <c r="S192" s="6">
        <f t="shared" si="129"/>
        <v>20.771370231537599</v>
      </c>
      <c r="T192" s="2">
        <f t="shared" si="127"/>
        <v>215.14822155687202</v>
      </c>
      <c r="U192" s="6">
        <f t="shared" si="130"/>
        <v>172.86323333333334</v>
      </c>
      <c r="V192" s="6">
        <f t="shared" si="131"/>
        <v>86.43161666666667</v>
      </c>
      <c r="W192" s="6">
        <f t="shared" si="132"/>
        <v>86.43161666666667</v>
      </c>
      <c r="X192" s="2">
        <f t="shared" si="133"/>
        <v>21.607904166666668</v>
      </c>
      <c r="Z192" s="8">
        <v>1.11844516140229E-2</v>
      </c>
      <c r="AA192" s="8">
        <v>0.352383873471389</v>
      </c>
      <c r="AB192" s="8">
        <v>0.208213615227759</v>
      </c>
      <c r="AC192" s="8">
        <v>0.137463007526332</v>
      </c>
      <c r="AD192" s="8">
        <v>6.20207391333769E-3</v>
      </c>
    </row>
    <row r="193" spans="1:30">
      <c r="A193" t="s">
        <v>112</v>
      </c>
      <c r="B193" s="3">
        <v>250000</v>
      </c>
      <c r="C193" s="3" t="s">
        <v>24</v>
      </c>
      <c r="D193" s="3" t="s">
        <v>108</v>
      </c>
      <c r="E193" s="14">
        <f t="shared" si="121"/>
        <v>2.8571428571428574E-2</v>
      </c>
      <c r="F193" s="14">
        <f t="shared" si="122"/>
        <v>1.4285714285714285E-2</v>
      </c>
      <c r="G193" s="14">
        <f t="shared" si="123"/>
        <v>1.4285714285714285E-2</v>
      </c>
      <c r="H193" s="11">
        <f t="shared" si="124"/>
        <v>3.5714285714285713E-3</v>
      </c>
      <c r="I193" s="3">
        <v>2</v>
      </c>
      <c r="J193" s="3" t="s">
        <v>26</v>
      </c>
      <c r="K193" s="3" t="s">
        <v>27</v>
      </c>
      <c r="L193">
        <v>0.1</v>
      </c>
      <c r="M193" s="6">
        <f t="shared" si="134"/>
        <v>28.000000000000004</v>
      </c>
      <c r="N193" s="6">
        <v>5185.8969999999999</v>
      </c>
      <c r="O193" s="6">
        <v>5142.5418801363903</v>
      </c>
      <c r="P193">
        <f t="shared" si="125"/>
        <v>3.4423715449099523E-3</v>
      </c>
      <c r="Q193" s="7">
        <f t="shared" si="126"/>
        <v>3.3850543345864603E-3</v>
      </c>
      <c r="R193" s="8">
        <f t="shared" si="128"/>
        <v>-1.6650500846790883E-2</v>
      </c>
      <c r="S193" s="6">
        <f t="shared" si="129"/>
        <v>20.57016752054556</v>
      </c>
      <c r="T193" s="2">
        <f t="shared" si="127"/>
        <v>215.14822155687202</v>
      </c>
      <c r="U193" s="6">
        <f t="shared" si="130"/>
        <v>148.16848571428574</v>
      </c>
      <c r="V193" s="6">
        <f t="shared" si="131"/>
        <v>74.084242857142854</v>
      </c>
      <c r="W193" s="6">
        <f t="shared" ref="W193:W198" si="135">G193*N193</f>
        <v>74.084242857142854</v>
      </c>
      <c r="X193" s="2">
        <f t="shared" si="133"/>
        <v>18.521060714285714</v>
      </c>
      <c r="Z193" s="8">
        <v>1.6361924251962E-2</v>
      </c>
      <c r="AA193" s="8">
        <v>0.34894761299317201</v>
      </c>
      <c r="AB193" s="8">
        <v>0.21113308793844099</v>
      </c>
      <c r="AC193" s="8">
        <v>0.14336424096939299</v>
      </c>
      <c r="AD193" s="8">
        <v>2.0215732655441E-2</v>
      </c>
    </row>
    <row r="194" spans="1:30">
      <c r="A194" t="s">
        <v>112</v>
      </c>
      <c r="B194" s="3">
        <v>250000</v>
      </c>
      <c r="C194" s="3" t="s">
        <v>24</v>
      </c>
      <c r="D194" s="3" t="s">
        <v>142</v>
      </c>
      <c r="E194" s="14">
        <f t="shared" si="121"/>
        <v>2.5000000000000001E-2</v>
      </c>
      <c r="F194" s="14">
        <f t="shared" si="122"/>
        <v>1.2499999999999999E-2</v>
      </c>
      <c r="G194" s="14">
        <f t="shared" si="123"/>
        <v>1.2499999999999999E-2</v>
      </c>
      <c r="H194" s="11">
        <f t="shared" si="124"/>
        <v>3.1249999999999997E-3</v>
      </c>
      <c r="I194" s="3">
        <v>2</v>
      </c>
      <c r="J194" s="3" t="s">
        <v>26</v>
      </c>
      <c r="K194" s="3" t="s">
        <v>27</v>
      </c>
      <c r="L194">
        <v>0.1</v>
      </c>
      <c r="M194" s="6">
        <f t="shared" si="134"/>
        <v>32.000000000000007</v>
      </c>
      <c r="N194" s="6">
        <v>5185.8969999999999</v>
      </c>
      <c r="O194" s="6">
        <v>5111.4273749170197</v>
      </c>
      <c r="P194">
        <f t="shared" si="125"/>
        <v>3.4423715449099523E-3</v>
      </c>
      <c r="Q194" s="7">
        <f t="shared" si="126"/>
        <v>3.3442162955585409E-3</v>
      </c>
      <c r="R194" s="8">
        <f t="shared" si="128"/>
        <v>-2.85138451996991E-2</v>
      </c>
      <c r="S194" s="6">
        <f t="shared" si="129"/>
        <v>20.44570949966808</v>
      </c>
      <c r="T194" s="2">
        <f t="shared" si="127"/>
        <v>215.14822155687202</v>
      </c>
      <c r="U194" s="6">
        <f t="shared" si="130"/>
        <v>129.647425</v>
      </c>
      <c r="V194" s="6">
        <f t="shared" si="131"/>
        <v>64.823712499999999</v>
      </c>
      <c r="W194" s="6">
        <f t="shared" si="135"/>
        <v>64.823712499999999</v>
      </c>
      <c r="X194" s="2">
        <f t="shared" si="133"/>
        <v>16.205928125</v>
      </c>
      <c r="Z194" s="8">
        <v>1.9045134676378899E-2</v>
      </c>
      <c r="AA194" s="8">
        <v>0.32773518603321</v>
      </c>
      <c r="AB194" s="8">
        <v>0.20508736040085501</v>
      </c>
      <c r="AC194" s="8">
        <v>0.14525371174290999</v>
      </c>
      <c r="AD194" s="8">
        <v>3.0582859037274899E-2</v>
      </c>
    </row>
    <row r="195" spans="1:30">
      <c r="A195" t="s">
        <v>112</v>
      </c>
      <c r="B195" s="3">
        <v>250000</v>
      </c>
      <c r="C195" s="3" t="s">
        <v>24</v>
      </c>
      <c r="D195" s="3" t="s">
        <v>143</v>
      </c>
      <c r="E195" s="14">
        <f>12.8/MID(D195, SEARCH("NX", D195) + 2, SEARCH("_NY", D195) - SEARCH("NX", D195) - 2)</f>
        <v>1.6666666666666666E-2</v>
      </c>
      <c r="F195" s="14">
        <f>4.8/MID(D195, SEARCH("NY", D195) + 2, SEARCH("_NZ", D195) - SEARCH("NY", D195) - 2)</f>
        <v>8.3333333333333332E-3</v>
      </c>
      <c r="G195" s="14">
        <f>F195</f>
        <v>8.3333333333333332E-3</v>
      </c>
      <c r="H195" s="11">
        <f t="shared" si="124"/>
        <v>2.0833333333333333E-3</v>
      </c>
      <c r="I195" s="3">
        <v>2</v>
      </c>
      <c r="J195" s="3" t="s">
        <v>26</v>
      </c>
      <c r="K195" s="3" t="s">
        <v>27</v>
      </c>
      <c r="L195">
        <v>0.1</v>
      </c>
      <c r="M195" s="6">
        <f t="shared" ref="M195" si="136">L195/H195</f>
        <v>48</v>
      </c>
      <c r="N195" s="6">
        <v>5185.8969999999999</v>
      </c>
      <c r="O195" s="6">
        <v>5066.5966446019002</v>
      </c>
      <c r="P195">
        <f t="shared" si="125"/>
        <v>3.4423715449099523E-3</v>
      </c>
      <c r="Q195" s="7">
        <f t="shared" si="126"/>
        <v>3.2858113995636777E-3</v>
      </c>
      <c r="R195" s="8">
        <f t="shared" ref="R195" si="137">(Q195-P195)/P195</f>
        <v>-4.5480315911212876E-2</v>
      </c>
      <c r="S195" s="6">
        <f t="shared" si="129"/>
        <v>20.266386578407602</v>
      </c>
      <c r="T195" s="2">
        <f t="shared" si="127"/>
        <v>215.14822155687202</v>
      </c>
      <c r="U195" s="6">
        <f>E195*N195</f>
        <v>86.43161666666667</v>
      </c>
      <c r="V195" s="6">
        <f>F195*N195</f>
        <v>43.215808333333335</v>
      </c>
      <c r="W195" s="6">
        <f t="shared" si="135"/>
        <v>43.215808333333335</v>
      </c>
      <c r="X195" s="2">
        <f t="shared" ref="X195" si="138">H195*N195</f>
        <v>10.803952083333334</v>
      </c>
      <c r="Z195" s="8">
        <v>2.0861014188066102E-2</v>
      </c>
      <c r="AA195" s="8">
        <v>0.16617709650318099</v>
      </c>
      <c r="AB195" s="8">
        <v>0.183545647760917</v>
      </c>
      <c r="AC195" s="8">
        <v>0.13207916778945</v>
      </c>
      <c r="AD195" s="8">
        <v>4.4177224802906798E-2</v>
      </c>
    </row>
    <row r="196" spans="1:30">
      <c r="A196" t="s">
        <v>69</v>
      </c>
      <c r="B196" s="3">
        <v>250002</v>
      </c>
      <c r="C196" s="3" t="s">
        <v>48</v>
      </c>
      <c r="D196" s="3" t="s">
        <v>144</v>
      </c>
      <c r="E196" s="14">
        <f>6.4/MID(D196, SEARCH("NX", D196) + 2, SEARCH("_NY", D196) - SEARCH("NX", D196) - 2)</f>
        <v>1.2500000000000001E-2</v>
      </c>
      <c r="F196" s="14">
        <f>2.4/MID(D196, SEARCH("NY", D196) + 2, SEARCH("_NZ", D196) - SEARCH("NY", D196) - 2)</f>
        <v>6.2499999999999995E-3</v>
      </c>
      <c r="G196" s="14">
        <f>F196</f>
        <v>6.2499999999999995E-3</v>
      </c>
      <c r="H196" s="11">
        <f t="shared" si="124"/>
        <v>1.5624999999999999E-3</v>
      </c>
      <c r="I196" s="3">
        <f>E196/F196</f>
        <v>2.0000000000000004</v>
      </c>
      <c r="J196" s="3" t="s">
        <v>26</v>
      </c>
      <c r="K196" s="3" t="s">
        <v>27</v>
      </c>
      <c r="L196">
        <v>0.1</v>
      </c>
      <c r="M196" s="6">
        <f>L196/H196</f>
        <v>64.000000000000014</v>
      </c>
      <c r="N196" s="6">
        <v>5185.8969999999999</v>
      </c>
      <c r="O196" s="6">
        <v>5141.0654467732902</v>
      </c>
      <c r="P196">
        <f t="shared" si="125"/>
        <v>3.4423164676261621E-3</v>
      </c>
      <c r="Q196" s="7">
        <f t="shared" si="126"/>
        <v>3.3830567736599058E-3</v>
      </c>
      <c r="R196" s="8">
        <f>(Q196-P196)/P196</f>
        <v>-1.7215062741492232E-2</v>
      </c>
      <c r="S196" s="6">
        <f t="shared" si="129"/>
        <v>20.564097274314967</v>
      </c>
      <c r="T196" s="2">
        <f t="shared" si="127"/>
        <v>215.14650038486894</v>
      </c>
      <c r="U196" s="6">
        <f>E196*N196</f>
        <v>64.823712499999999</v>
      </c>
      <c r="V196" s="6">
        <f>F196*N196</f>
        <v>32.41185625</v>
      </c>
      <c r="W196" s="6">
        <f t="shared" si="135"/>
        <v>32.41185625</v>
      </c>
      <c r="X196" s="2">
        <f>H196*N196</f>
        <v>8.1029640624999999</v>
      </c>
      <c r="Z196" s="8">
        <v>9.4730747786901E-3</v>
      </c>
      <c r="AA196" s="8">
        <v>5.6949281753083399E-2</v>
      </c>
      <c r="AB196" s="8">
        <v>0.123804493175297</v>
      </c>
      <c r="AC196" s="8">
        <v>7.4501054774877506E-2</v>
      </c>
      <c r="AD196" s="8">
        <v>2.3234664080195401E-2</v>
      </c>
    </row>
    <row r="197" spans="1:30">
      <c r="A197" t="s">
        <v>69</v>
      </c>
      <c r="B197" s="3">
        <v>250003</v>
      </c>
      <c r="C197" s="3" t="s">
        <v>48</v>
      </c>
      <c r="D197" s="3" t="s">
        <v>145</v>
      </c>
      <c r="E197" s="14">
        <f>6.4/MID(D197, SEARCH("NX", D197) + 2, SEARCH("_NY", D197) - SEARCH("NX", D197) - 2)</f>
        <v>6.2500000000000003E-3</v>
      </c>
      <c r="F197" s="14">
        <f>2.4/MID(D197, SEARCH("NY", D197) + 2, SEARCH("_NZ", D197) - SEARCH("NY", D197) - 2)</f>
        <v>3.1249999999999997E-3</v>
      </c>
      <c r="G197" s="14">
        <f>F197</f>
        <v>3.1249999999999997E-3</v>
      </c>
      <c r="H197" s="11">
        <f t="shared" si="124"/>
        <v>7.8124999999999993E-4</v>
      </c>
      <c r="I197" s="3">
        <f>E197/F197</f>
        <v>2.0000000000000004</v>
      </c>
      <c r="J197" s="3" t="s">
        <v>26</v>
      </c>
      <c r="K197" s="3" t="s">
        <v>27</v>
      </c>
      <c r="L197">
        <v>0.1</v>
      </c>
      <c r="M197" s="6">
        <f>L197/H197</f>
        <v>128.00000000000003</v>
      </c>
      <c r="N197" s="6">
        <v>5185.8969999999999</v>
      </c>
      <c r="O197" s="6">
        <v>5204.9977683403704</v>
      </c>
      <c r="P197">
        <f t="shared" si="125"/>
        <v>3.4422889294799548E-3</v>
      </c>
      <c r="Q197" s="7">
        <f t="shared" si="126"/>
        <v>3.467693001227437E-3</v>
      </c>
      <c r="R197" s="8">
        <f t="shared" ref="R197:R198" si="139">(Q197-P197)/P197</f>
        <v>7.3799940295308552E-3</v>
      </c>
      <c r="S197" s="6">
        <f t="shared" si="129"/>
        <v>20.819741236466644</v>
      </c>
      <c r="T197" s="2">
        <f t="shared" si="127"/>
        <v>215.14563980919428</v>
      </c>
      <c r="U197" s="6">
        <f>E197*N197</f>
        <v>32.41185625</v>
      </c>
      <c r="V197" s="6">
        <f>F197*N197</f>
        <v>16.205928125</v>
      </c>
      <c r="W197" s="6">
        <f t="shared" si="135"/>
        <v>16.205928125</v>
      </c>
      <c r="X197" s="2">
        <v>8.1</v>
      </c>
      <c r="Z197" s="8">
        <v>2.4572638248141101E-3</v>
      </c>
      <c r="AA197" s="8">
        <v>0.14156581511096999</v>
      </c>
      <c r="AB197" s="8">
        <v>5.4548654797481E-2</v>
      </c>
      <c r="AC197" s="8">
        <v>3.7969154877548199E-2</v>
      </c>
      <c r="AD197" s="8">
        <v>1.0713799547549E-2</v>
      </c>
    </row>
    <row r="198" spans="1:30">
      <c r="A198" t="s">
        <v>69</v>
      </c>
      <c r="B198" s="3">
        <v>250003</v>
      </c>
      <c r="C198" s="3" t="s">
        <v>48</v>
      </c>
      <c r="D198" s="3" t="s">
        <v>146</v>
      </c>
      <c r="E198" s="14">
        <f>6.4/MID(D198, SEARCH("NX", D198) + 2, SEARCH("_NY", D198) - SEARCH("NX", D198) - 2)</f>
        <v>4.1666666666666666E-3</v>
      </c>
      <c r="F198" s="14">
        <f>2.4/MID(D198, SEARCH("NY", D198) + 2, SEARCH("_NZ", D198) - SEARCH("NY", D198) - 2)</f>
        <v>2.0833333333333333E-3</v>
      </c>
      <c r="G198" s="14">
        <f>F198</f>
        <v>2.0833333333333333E-3</v>
      </c>
      <c r="H198" s="11">
        <f t="shared" si="124"/>
        <v>5.2083333333333333E-4</v>
      </c>
      <c r="I198" s="3">
        <f>E198/F198</f>
        <v>2</v>
      </c>
      <c r="J198" s="3" t="s">
        <v>26</v>
      </c>
      <c r="K198" s="3" t="s">
        <v>27</v>
      </c>
      <c r="L198">
        <v>0.1</v>
      </c>
      <c r="M198" s="6">
        <f>L198/H198</f>
        <v>192</v>
      </c>
      <c r="N198" s="6">
        <v>5185.8969999999999</v>
      </c>
      <c r="O198" s="6">
        <v>5219.48477647852</v>
      </c>
      <c r="P198">
        <f t="shared" si="125"/>
        <v>3.4422889294799548E-3</v>
      </c>
      <c r="Q198" s="7">
        <f t="shared" si="126"/>
        <v>3.4870230414269249E-3</v>
      </c>
      <c r="R198" s="8">
        <f t="shared" si="139"/>
        <v>1.2995455309943555E-2</v>
      </c>
      <c r="S198" s="6">
        <f t="shared" si="129"/>
        <v>20.877688573651195</v>
      </c>
      <c r="T198" s="2">
        <f t="shared" si="127"/>
        <v>215.14563980919428</v>
      </c>
      <c r="U198" s="6">
        <v>21.6</v>
      </c>
      <c r="V198" s="6">
        <f>F198*N198</f>
        <v>10.803952083333334</v>
      </c>
      <c r="W198" s="6">
        <f t="shared" si="135"/>
        <v>10.803952083333334</v>
      </c>
      <c r="X198" s="2">
        <v>8.1</v>
      </c>
      <c r="Z198" s="8">
        <v>1.48479590161571E-3</v>
      </c>
      <c r="AA198" s="8">
        <v>0.118369543574586</v>
      </c>
      <c r="AB198" s="8">
        <v>3.1007325283773899E-2</v>
      </c>
      <c r="AC198" s="8">
        <v>3.9104640700481898E-2</v>
      </c>
      <c r="AD198" s="8">
        <v>2.65281907941304E-2</v>
      </c>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609CC-CB8B-4322-BCD1-DB060831DD3C}">
  <dimension ref="A1:X4"/>
  <sheetViews>
    <sheetView zoomScale="70" zoomScaleNormal="70" workbookViewId="0">
      <selection activeCell="L27" sqref="L27"/>
    </sheetView>
  </sheetViews>
  <sheetFormatPr defaultRowHeight="14.5"/>
  <cols>
    <col min="1" max="1" width="17.453125" customWidth="1"/>
    <col min="2" max="2" width="10.81640625" customWidth="1"/>
    <col min="3" max="3" width="12.453125" customWidth="1"/>
    <col min="4" max="4" width="12.26953125" customWidth="1"/>
    <col min="5" max="5" width="9.7265625" customWidth="1"/>
    <col min="6" max="6" width="11.1796875" customWidth="1"/>
    <col min="8" max="8" width="11.453125" customWidth="1"/>
    <col min="9" max="9" width="9.81640625" customWidth="1"/>
    <col min="10" max="10" width="13.453125" customWidth="1"/>
    <col min="18" max="18" width="12.26953125" customWidth="1"/>
    <col min="19" max="19" width="14.81640625" customWidth="1"/>
    <col min="24" max="24" width="10.81640625" customWidth="1"/>
  </cols>
  <sheetData>
    <row r="1" spans="1:24">
      <c r="B1" s="3" t="s">
        <v>2</v>
      </c>
      <c r="C1" s="3" t="s">
        <v>3</v>
      </c>
      <c r="D1" s="3" t="s">
        <v>4</v>
      </c>
      <c r="E1" s="3" t="s">
        <v>0</v>
      </c>
      <c r="F1" s="3" t="s">
        <v>1</v>
      </c>
      <c r="G1" s="3" t="s">
        <v>5</v>
      </c>
      <c r="H1" s="3" t="s">
        <v>91</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row>
    <row r="2" spans="1:24">
      <c r="A2" t="s">
        <v>40</v>
      </c>
      <c r="B2" s="3">
        <v>4410</v>
      </c>
      <c r="C2" s="3" t="s">
        <v>92</v>
      </c>
      <c r="D2" s="3" t="s">
        <v>93</v>
      </c>
      <c r="E2" s="14">
        <f>12.8/384</f>
        <v>3.3333333333333333E-2</v>
      </c>
      <c r="F2" s="14">
        <f>2/128</f>
        <v>1.5625E-2</v>
      </c>
      <c r="G2" s="14">
        <v>1.5625E-2</v>
      </c>
      <c r="H2" s="14">
        <v>1.5625E-2</v>
      </c>
      <c r="I2" s="15">
        <f>E2/F2</f>
        <v>2.1333333333333333</v>
      </c>
      <c r="J2" s="3" t="s">
        <v>94</v>
      </c>
      <c r="K2" s="3" t="s">
        <v>27</v>
      </c>
      <c r="L2" s="3" t="s">
        <v>38</v>
      </c>
      <c r="M2" s="15" t="s">
        <v>38</v>
      </c>
      <c r="N2" s="10">
        <v>150</v>
      </c>
      <c r="O2" s="2">
        <v>148.846405200954</v>
      </c>
      <c r="P2" s="7">
        <f>8*(N2/B2)^2</f>
        <v>9.2554028414086748E-3</v>
      </c>
      <c r="Q2" s="7">
        <f>8*(O2/B2)^2</f>
        <v>9.1135904653911019E-3</v>
      </c>
      <c r="R2" s="8">
        <f>(Q2-P2)/P2</f>
        <v>-1.5322118166818652E-2</v>
      </c>
      <c r="S2" s="6">
        <f>3300*2*O2/B2</f>
        <v>222.76332751163184</v>
      </c>
      <c r="T2" s="2">
        <f>B2/4*P2</f>
        <v>10.204081632653065</v>
      </c>
      <c r="U2" s="6">
        <f>E2*N2</f>
        <v>5</v>
      </c>
      <c r="V2" s="6">
        <f>F2*N2</f>
        <v>2.34375</v>
      </c>
      <c r="W2" s="6">
        <f>G2*N2</f>
        <v>2.34375</v>
      </c>
      <c r="X2" s="6">
        <f>H2*N2</f>
        <v>2.34375</v>
      </c>
    </row>
    <row r="3" spans="1:24">
      <c r="A3" t="s">
        <v>95</v>
      </c>
      <c r="B3" s="3">
        <v>4410</v>
      </c>
      <c r="C3" s="3" t="s">
        <v>92</v>
      </c>
      <c r="D3" s="3" t="s">
        <v>96</v>
      </c>
      <c r="E3" s="14">
        <f>12.8/576</f>
        <v>2.2222222222222223E-2</v>
      </c>
      <c r="F3" s="14">
        <f>2/192</f>
        <v>1.0416666666666666E-2</v>
      </c>
      <c r="G3" s="14">
        <f>2/192</f>
        <v>1.0416666666666666E-2</v>
      </c>
      <c r="H3" s="14">
        <f>2/192</f>
        <v>1.0416666666666666E-2</v>
      </c>
      <c r="I3" s="15">
        <f>E3/F3</f>
        <v>2.1333333333333337</v>
      </c>
      <c r="J3" s="3" t="s">
        <v>94</v>
      </c>
      <c r="K3" s="3" t="s">
        <v>27</v>
      </c>
      <c r="L3" s="3" t="s">
        <v>38</v>
      </c>
      <c r="M3" s="15" t="s">
        <v>38</v>
      </c>
      <c r="N3" s="10">
        <v>150</v>
      </c>
      <c r="O3" s="2">
        <v>149.041431015104</v>
      </c>
      <c r="P3" s="7">
        <f>8*(N3/B3)^2</f>
        <v>9.2554028414086748E-3</v>
      </c>
      <c r="Q3" s="7">
        <f>8*(O3/B3)^2</f>
        <v>9.1374882519238403E-3</v>
      </c>
      <c r="R3" s="8">
        <f>(Q3-P3)/P3</f>
        <v>-1.2740081820888932E-2</v>
      </c>
      <c r="S3" s="6">
        <f>700*2*O3/B3</f>
        <v>47.31474000479492</v>
      </c>
      <c r="T3" s="2">
        <f>B3/4*P3</f>
        <v>10.204081632653065</v>
      </c>
      <c r="U3" s="6">
        <f>E3*N3</f>
        <v>3.3333333333333335</v>
      </c>
      <c r="V3" s="6">
        <f>F3*N3</f>
        <v>1.5625</v>
      </c>
      <c r="W3" s="6">
        <f>G3*N3</f>
        <v>1.5625</v>
      </c>
      <c r="X3" s="6">
        <f>H3*N3</f>
        <v>1.5625</v>
      </c>
    </row>
    <row r="4" spans="1:24">
      <c r="A4" t="s">
        <v>97</v>
      </c>
      <c r="B4" s="3">
        <v>4410</v>
      </c>
      <c r="C4" s="3" t="s">
        <v>98</v>
      </c>
      <c r="D4" s="3" t="s">
        <v>58</v>
      </c>
      <c r="E4" s="14">
        <f>12.8/384</f>
        <v>3.3333333333333333E-2</v>
      </c>
      <c r="F4" s="14">
        <f>2/128</f>
        <v>1.5625E-2</v>
      </c>
      <c r="G4" s="14">
        <v>1.5625E-2</v>
      </c>
      <c r="H4" s="14">
        <v>1.5625E-2</v>
      </c>
      <c r="I4" s="15">
        <f>E4/F4</f>
        <v>2.1333333333333333</v>
      </c>
      <c r="J4" s="3" t="s">
        <v>94</v>
      </c>
      <c r="K4" s="3" t="s">
        <v>27</v>
      </c>
      <c r="L4" s="3" t="s">
        <v>38</v>
      </c>
      <c r="M4" s="15" t="s">
        <v>38</v>
      </c>
      <c r="N4" s="10">
        <v>150</v>
      </c>
      <c r="O4" s="2">
        <v>148.48689957656501</v>
      </c>
      <c r="P4" s="7">
        <f>8*(N4/B4)^2</f>
        <v>9.2554028414086748E-3</v>
      </c>
      <c r="Q4" s="7">
        <f>8*(O4/B4)^2</f>
        <v>9.0696198994702441E-3</v>
      </c>
      <c r="R4" s="8">
        <f>(Q4-P4)/P4</f>
        <v>-2.0072917961737737E-2</v>
      </c>
      <c r="S4" s="6">
        <f>4500*2*O4/B4</f>
        <v>303.03448893176534</v>
      </c>
      <c r="T4" s="2">
        <f>B4/4*P4</f>
        <v>10.204081632653065</v>
      </c>
      <c r="U4" s="6">
        <f>E4*N4</f>
        <v>5</v>
      </c>
      <c r="V4" s="6">
        <f>F4*N4</f>
        <v>2.34375</v>
      </c>
      <c r="W4" s="6">
        <f>G4*N4</f>
        <v>2.34375</v>
      </c>
      <c r="X4" s="6">
        <f>H4*N4</f>
        <v>2.34375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5DC12-DB96-414E-A0EA-58380D3D2CE8}">
  <dimension ref="A1:X20"/>
  <sheetViews>
    <sheetView tabSelected="1" zoomScale="85" zoomScaleNormal="85" workbookViewId="0">
      <selection activeCell="A20" sqref="A20"/>
    </sheetView>
  </sheetViews>
  <sheetFormatPr defaultRowHeight="14.5"/>
  <cols>
    <col min="1" max="1" width="18.1796875" customWidth="1"/>
    <col min="2" max="2" width="13.54296875" customWidth="1"/>
    <col min="3" max="3" width="19.54296875" customWidth="1"/>
    <col min="4" max="4" width="21.6328125" customWidth="1"/>
    <col min="5" max="5" width="8.81640625" customWidth="1"/>
    <col min="10" max="10" width="12" customWidth="1"/>
    <col min="13" max="13" width="9.453125" customWidth="1"/>
    <col min="14" max="14" width="12.1796875" customWidth="1"/>
    <col min="18" max="18" width="13.453125" customWidth="1"/>
    <col min="19" max="19" width="14.36328125" customWidth="1"/>
    <col min="20" max="20" width="10.6328125" customWidth="1"/>
    <col min="24" max="24" width="11.54296875" customWidth="1"/>
  </cols>
  <sheetData>
    <row r="1" spans="1:24">
      <c r="B1" s="3" t="s">
        <v>2</v>
      </c>
      <c r="C1" s="3" t="s">
        <v>3</v>
      </c>
      <c r="D1" s="3" t="s">
        <v>4</v>
      </c>
      <c r="E1" s="3" t="s">
        <v>0</v>
      </c>
      <c r="F1" s="3" t="s">
        <v>1</v>
      </c>
      <c r="G1" s="3" t="s">
        <v>5</v>
      </c>
      <c r="H1" s="3" t="s">
        <v>91</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row>
    <row r="2" spans="1:24">
      <c r="A2" t="s">
        <v>68</v>
      </c>
      <c r="B2" s="3">
        <v>40000</v>
      </c>
      <c r="C2" s="3" t="s">
        <v>98</v>
      </c>
      <c r="D2" s="3" t="s">
        <v>101</v>
      </c>
      <c r="E2" s="14">
        <f>6.4/64</f>
        <v>0.1</v>
      </c>
      <c r="F2" s="3">
        <f t="shared" ref="F2:H4" si="0">2/80</f>
        <v>2.5000000000000001E-2</v>
      </c>
      <c r="G2" s="14">
        <f t="shared" si="0"/>
        <v>2.5000000000000001E-2</v>
      </c>
      <c r="H2" s="14">
        <f t="shared" si="0"/>
        <v>2.5000000000000001E-2</v>
      </c>
      <c r="I2" s="15">
        <v>4</v>
      </c>
      <c r="J2" s="3" t="s">
        <v>94</v>
      </c>
      <c r="K2" s="3" t="s">
        <v>27</v>
      </c>
      <c r="L2" s="3">
        <v>0.1</v>
      </c>
      <c r="M2" s="15">
        <f>L2/F2</f>
        <v>4</v>
      </c>
      <c r="N2" s="4">
        <v>1055</v>
      </c>
      <c r="O2" s="2">
        <v>1065.6540405542701</v>
      </c>
      <c r="P2" s="7">
        <f>8*(N2/B2)^2</f>
        <v>5.5651249999999998E-3</v>
      </c>
      <c r="Q2" s="7">
        <f>8*(O2/B2)^2</f>
        <v>5.6780926707482096E-3</v>
      </c>
      <c r="R2" s="8">
        <f>(Q2-P2)/P2</f>
        <v>2.0299215336261067E-2</v>
      </c>
      <c r="S2" s="6">
        <f>1700*O2/B2</f>
        <v>45.29029672355648</v>
      </c>
      <c r="T2" s="2">
        <f>B2/4*P2</f>
        <v>55.651249999999997</v>
      </c>
      <c r="U2" s="6">
        <f>E2*N2</f>
        <v>105.5</v>
      </c>
      <c r="V2" s="6">
        <f>F2*N2</f>
        <v>26.375</v>
      </c>
      <c r="W2" s="6">
        <f>G2*N2</f>
        <v>26.375</v>
      </c>
      <c r="X2" s="6">
        <v>26.4</v>
      </c>
    </row>
    <row r="3" spans="1:24">
      <c r="A3" t="s">
        <v>68</v>
      </c>
      <c r="B3" s="3">
        <v>40000</v>
      </c>
      <c r="C3" s="3" t="s">
        <v>98</v>
      </c>
      <c r="D3" s="3" t="s">
        <v>100</v>
      </c>
      <c r="E3" s="14">
        <f>6.4/128</f>
        <v>0.05</v>
      </c>
      <c r="F3" s="3">
        <f t="shared" si="0"/>
        <v>2.5000000000000001E-2</v>
      </c>
      <c r="G3" s="14">
        <f t="shared" si="0"/>
        <v>2.5000000000000001E-2</v>
      </c>
      <c r="H3" s="14">
        <f t="shared" si="0"/>
        <v>2.5000000000000001E-2</v>
      </c>
      <c r="I3" s="15">
        <v>2</v>
      </c>
      <c r="J3" s="3" t="s">
        <v>94</v>
      </c>
      <c r="K3" s="3" t="s">
        <v>27</v>
      </c>
      <c r="L3" s="3">
        <v>0.1</v>
      </c>
      <c r="M3" s="15">
        <f t="shared" ref="M3:M6" si="1">L3/F3</f>
        <v>4</v>
      </c>
      <c r="N3" s="4">
        <v>1055</v>
      </c>
      <c r="O3" s="2">
        <v>1046.3668774222201</v>
      </c>
      <c r="P3" s="7">
        <f>8*(N3/B3)^2</f>
        <v>5.5651249999999998E-3</v>
      </c>
      <c r="Q3" s="7">
        <f>8*(O3/B3)^2</f>
        <v>5.4744182108316369E-3</v>
      </c>
      <c r="R3" s="8">
        <f>(Q3-P3)/P3</f>
        <v>-1.6299146769994007E-2</v>
      </c>
      <c r="S3" s="6">
        <f>1700*O3/B3</f>
        <v>44.470592290444351</v>
      </c>
      <c r="T3" s="2">
        <f>B3/4*P3</f>
        <v>55.651249999999997</v>
      </c>
      <c r="U3" s="6">
        <f>E3*N3</f>
        <v>52.75</v>
      </c>
      <c r="V3" s="6">
        <f>F3*N3</f>
        <v>26.375</v>
      </c>
      <c r="W3" s="6">
        <f>G3*N3</f>
        <v>26.375</v>
      </c>
      <c r="X3" s="6">
        <v>26.4</v>
      </c>
    </row>
    <row r="4" spans="1:24">
      <c r="A4" t="s">
        <v>68</v>
      </c>
      <c r="B4" s="3">
        <v>40000</v>
      </c>
      <c r="C4" s="3" t="s">
        <v>98</v>
      </c>
      <c r="D4" s="3" t="s">
        <v>99</v>
      </c>
      <c r="E4" s="14">
        <f>6.4/256</f>
        <v>2.5000000000000001E-2</v>
      </c>
      <c r="F4" s="3">
        <f t="shared" si="0"/>
        <v>2.5000000000000001E-2</v>
      </c>
      <c r="G4" s="14">
        <f t="shared" si="0"/>
        <v>2.5000000000000001E-2</v>
      </c>
      <c r="H4" s="14">
        <f t="shared" si="0"/>
        <v>2.5000000000000001E-2</v>
      </c>
      <c r="I4" s="15">
        <v>1</v>
      </c>
      <c r="J4" s="3" t="s">
        <v>94</v>
      </c>
      <c r="K4" s="3" t="s">
        <v>27</v>
      </c>
      <c r="L4" s="3">
        <v>0.1</v>
      </c>
      <c r="M4" s="15">
        <f t="shared" si="1"/>
        <v>4</v>
      </c>
      <c r="N4" s="4">
        <v>1055</v>
      </c>
      <c r="O4" s="2">
        <v>1038.48230917147</v>
      </c>
      <c r="P4" s="7">
        <f>8*(N4/B4)^2</f>
        <v>5.5651249999999998E-3</v>
      </c>
      <c r="Q4" s="7">
        <f>8*(O4/B4)^2</f>
        <v>5.3922275323105423E-3</v>
      </c>
      <c r="R4" s="8">
        <f>(Q4-P4)/P4</f>
        <v>-3.106802950328294E-2</v>
      </c>
      <c r="S4" s="6">
        <f>1700*O4/B4</f>
        <v>44.135498139787479</v>
      </c>
      <c r="T4" s="2">
        <f>B4/4*P4</f>
        <v>55.651249999999997</v>
      </c>
      <c r="U4" s="6">
        <f>E4*N4</f>
        <v>26.375</v>
      </c>
      <c r="V4" s="6">
        <f>F4*N4</f>
        <v>26.375</v>
      </c>
      <c r="W4" s="6">
        <f>G4*N4</f>
        <v>26.375</v>
      </c>
      <c r="X4" s="6">
        <f>H4*N4</f>
        <v>26.375</v>
      </c>
    </row>
    <row r="5" spans="1:24">
      <c r="A5" t="s">
        <v>68</v>
      </c>
      <c r="B5" s="3">
        <v>40000</v>
      </c>
      <c r="C5" s="3" t="s">
        <v>98</v>
      </c>
      <c r="D5" s="3" t="s">
        <v>102</v>
      </c>
      <c r="E5" s="14">
        <f>6.4/384</f>
        <v>1.6666666666666666E-2</v>
      </c>
      <c r="F5" s="14">
        <f>2/120</f>
        <v>1.6666666666666666E-2</v>
      </c>
      <c r="G5" s="14">
        <f>2/120</f>
        <v>1.6666666666666666E-2</v>
      </c>
      <c r="H5" s="14">
        <f>2/120</f>
        <v>1.6666666666666666E-2</v>
      </c>
      <c r="I5" s="15">
        <v>1</v>
      </c>
      <c r="J5" s="3" t="s">
        <v>94</v>
      </c>
      <c r="K5" s="3" t="s">
        <v>27</v>
      </c>
      <c r="L5" s="3">
        <v>0.1</v>
      </c>
      <c r="M5" s="15">
        <f t="shared" si="1"/>
        <v>6</v>
      </c>
      <c r="N5" s="4">
        <v>1055</v>
      </c>
      <c r="O5" s="2">
        <v>1043.25342559001</v>
      </c>
      <c r="P5" s="7">
        <f>8*(N5/B5)^2</f>
        <v>5.5651249999999998E-3</v>
      </c>
      <c r="Q5" s="7">
        <f>8*(O5/B5)^2</f>
        <v>5.441888550026453E-3</v>
      </c>
      <c r="R5" s="8">
        <f>(Q5-P5)/P5</f>
        <v>-2.2144417236548468E-2</v>
      </c>
      <c r="S5" s="6">
        <f>1700*O5/B5</f>
        <v>44.338270587575423</v>
      </c>
      <c r="T5" s="2">
        <f>B5/4*P5</f>
        <v>55.651249999999997</v>
      </c>
      <c r="U5" s="6">
        <f>E5*N5</f>
        <v>17.583333333333332</v>
      </c>
      <c r="V5" s="6">
        <f>F5*N5</f>
        <v>17.583333333333332</v>
      </c>
      <c r="W5" s="6">
        <f>G5*N5</f>
        <v>17.583333333333332</v>
      </c>
      <c r="X5" s="6">
        <f>H5*N5</f>
        <v>17.583333333333332</v>
      </c>
    </row>
    <row r="6" spans="1:24">
      <c r="A6" t="s">
        <v>68</v>
      </c>
      <c r="B6" s="3">
        <v>40000</v>
      </c>
      <c r="C6" s="3" t="s">
        <v>98</v>
      </c>
      <c r="D6" s="3" t="s">
        <v>103</v>
      </c>
      <c r="E6" s="14">
        <f>6.4/512</f>
        <v>1.2500000000000001E-2</v>
      </c>
      <c r="F6" s="14">
        <f>2/160</f>
        <v>1.2500000000000001E-2</v>
      </c>
      <c r="G6" s="14">
        <f>2/160</f>
        <v>1.2500000000000001E-2</v>
      </c>
      <c r="H6" s="14">
        <f>2/160</f>
        <v>1.2500000000000001E-2</v>
      </c>
      <c r="I6" s="15">
        <v>1</v>
      </c>
      <c r="J6" s="3" t="s">
        <v>94</v>
      </c>
      <c r="K6" s="3" t="s">
        <v>27</v>
      </c>
      <c r="L6" s="3">
        <v>0.1</v>
      </c>
      <c r="M6" s="15">
        <f t="shared" si="1"/>
        <v>8</v>
      </c>
      <c r="N6" s="4">
        <v>1055</v>
      </c>
      <c r="O6" s="2">
        <v>1043.2289674921899</v>
      </c>
      <c r="P6" s="7">
        <f>8*(N6/B6)^2</f>
        <v>5.5651249999999998E-3</v>
      </c>
      <c r="Q6" s="7">
        <f>8*(O6/B6)^2</f>
        <v>5.4416333930741032E-3</v>
      </c>
      <c r="R6" s="8">
        <f>(Q6-P6)/P6</f>
        <v>-2.219026651259344E-2</v>
      </c>
      <c r="S6" s="6">
        <f>1700*O6/B6</f>
        <v>44.337231118418075</v>
      </c>
      <c r="T6" s="2">
        <f>B6/4*P6</f>
        <v>55.651249999999997</v>
      </c>
      <c r="U6" s="6">
        <f>E6*N6</f>
        <v>13.1875</v>
      </c>
      <c r="V6" s="6">
        <f>F6*N6</f>
        <v>13.1875</v>
      </c>
      <c r="W6" s="6">
        <f>G6*N6</f>
        <v>13.1875</v>
      </c>
      <c r="X6" s="6">
        <f>H6*N6</f>
        <v>13.1875</v>
      </c>
    </row>
    <row r="9" spans="1:24">
      <c r="A9" t="s">
        <v>34</v>
      </c>
      <c r="B9" s="3">
        <v>40000</v>
      </c>
      <c r="C9" s="3" t="s">
        <v>186</v>
      </c>
      <c r="D9" s="3" t="s">
        <v>183</v>
      </c>
      <c r="E9" s="36">
        <v>0.1</v>
      </c>
      <c r="F9" s="14">
        <f>VALUE(MID(C9, FIND("LY", C9) + 2, FIND("_LZ", C9) - FIND("LY", C9) - 2)) / VALUE(MID(D9, FIND("NY", D9) + 2, FIND("_NZ", D9) - FIND("NY", D9) - 2))</f>
        <v>2.5000000000000001E-2</v>
      </c>
      <c r="G9" s="14">
        <f>VALUE(RIGHT(C9, LEN(C9) - FIND("_LZ", C9) - 2)) / VALUE(RIGHT(D9, LEN(D9) - FIND("_NZ", D9) - 2))</f>
        <v>2.5000000000000001E-2</v>
      </c>
      <c r="H9" s="14">
        <f>VALUE(RIGHT(C9, LEN(C9) - FIND("_LZ", C9) - 2)) / VALUE(RIGHT(D9, LEN(D9) - FIND("_NZ", D9) - 2))</f>
        <v>2.5000000000000001E-2</v>
      </c>
      <c r="I9" s="15">
        <f>E9/F9</f>
        <v>4</v>
      </c>
      <c r="J9" s="3" t="s">
        <v>94</v>
      </c>
      <c r="K9" s="3" t="s">
        <v>27</v>
      </c>
      <c r="L9" s="3">
        <v>0.1</v>
      </c>
      <c r="M9" s="15">
        <f>L9/F9</f>
        <v>4</v>
      </c>
      <c r="N9" s="4">
        <v>1055</v>
      </c>
      <c r="O9" s="2"/>
      <c r="P9" s="7">
        <f>8*(N9/B9)^2</f>
        <v>5.5651249999999998E-3</v>
      </c>
      <c r="Q9" s="7">
        <f>8*(O9/B9)^2</f>
        <v>0</v>
      </c>
      <c r="R9" s="8">
        <f>(Q9-P9)/P9</f>
        <v>-1</v>
      </c>
      <c r="S9" s="6">
        <f>1700*O9/B9</f>
        <v>0</v>
      </c>
      <c r="T9" s="2">
        <f>B9/4*P9</f>
        <v>55.651249999999997</v>
      </c>
      <c r="U9" s="6">
        <f>E9*N9</f>
        <v>105.5</v>
      </c>
      <c r="V9" s="6">
        <f>F9*N9</f>
        <v>26.375</v>
      </c>
      <c r="W9" s="6">
        <f>G9*N9</f>
        <v>26.375</v>
      </c>
      <c r="X9" s="6">
        <f>H9*N9</f>
        <v>26.375</v>
      </c>
    </row>
    <row r="10" spans="1:24">
      <c r="A10" t="s">
        <v>34</v>
      </c>
      <c r="B10" s="3">
        <v>40000</v>
      </c>
      <c r="C10" s="3" t="s">
        <v>186</v>
      </c>
      <c r="D10" s="3" t="s">
        <v>187</v>
      </c>
      <c r="E10" s="36">
        <f>VALUE(MID(C10, FIND("LX", C10) + 2, FIND("_LY", C10) - FIND("LX", C10) - 2)) / VALUE(MID(D10, FIND("NX", D10) + 2, FIND("_NY", D10) - FIND("NX", D10) - 2))</f>
        <v>0.05</v>
      </c>
      <c r="F10" s="14">
        <f>VALUE(MID(C10, FIND("LY", C10) + 2, FIND("_LZ", C10) - FIND("LY", C10) - 2)) / VALUE(MID(D10, FIND("NY", D10) + 2, FIND("_NZ", D10) - FIND("NY", D10) - 2))</f>
        <v>2.5000000000000001E-2</v>
      </c>
      <c r="G10" s="14">
        <f>VALUE(RIGHT(C10, LEN(C10) - FIND("_LZ", C10) - 2)) / VALUE(RIGHT(D10, LEN(D10) - FIND("_NZ", D10) - 2))</f>
        <v>2.5000000000000001E-2</v>
      </c>
      <c r="H10" s="14">
        <f>VALUE(RIGHT(C10, LEN(C10) - FIND("_LZ", C10) - 2)) / VALUE(RIGHT(D10, LEN(D10) - FIND("_NZ", D10) - 2))</f>
        <v>2.5000000000000001E-2</v>
      </c>
      <c r="I10" s="15">
        <f>E10/F10</f>
        <v>2</v>
      </c>
      <c r="J10" s="3" t="s">
        <v>94</v>
      </c>
      <c r="K10" s="3" t="s">
        <v>27</v>
      </c>
      <c r="L10" s="3">
        <v>0.1</v>
      </c>
      <c r="M10" s="15">
        <f>L10/F10</f>
        <v>4</v>
      </c>
      <c r="N10" s="4">
        <v>1055</v>
      </c>
      <c r="O10" s="2"/>
      <c r="P10" s="7">
        <f>8*(N10/B10)^2</f>
        <v>5.5651249999999998E-3</v>
      </c>
      <c r="Q10" s="7">
        <f>8*(O10/B10)^2</f>
        <v>0</v>
      </c>
      <c r="R10" s="8">
        <f>(Q10-P10)/P10</f>
        <v>-1</v>
      </c>
      <c r="S10" s="6">
        <f>1700*O10/B10</f>
        <v>0</v>
      </c>
      <c r="T10" s="2">
        <f>B10/4*P10</f>
        <v>55.651249999999997</v>
      </c>
      <c r="U10" s="6">
        <f>E10*N10</f>
        <v>52.75</v>
      </c>
      <c r="V10" s="6">
        <f>F10*N10</f>
        <v>26.375</v>
      </c>
      <c r="W10" s="6">
        <f>G10*N10</f>
        <v>26.375</v>
      </c>
      <c r="X10" s="6">
        <f>H10*N10</f>
        <v>26.375</v>
      </c>
    </row>
    <row r="11" spans="1:24">
      <c r="A11" t="s">
        <v>34</v>
      </c>
      <c r="B11" s="3">
        <v>40000</v>
      </c>
      <c r="C11" s="3" t="s">
        <v>186</v>
      </c>
      <c r="D11" s="3" t="s">
        <v>188</v>
      </c>
      <c r="E11" s="36">
        <f>VALUE(MID(C11, FIND("LX", C11) + 2, FIND("_LY", C11) - FIND("LX", C11) - 2)) / VALUE(MID(D11, FIND("NX", D11) + 2, FIND("_NY", D11) - FIND("NX", D11) - 2))</f>
        <v>2.5000000000000001E-2</v>
      </c>
      <c r="F11" s="14">
        <f>VALUE(MID(C11, FIND("LY", C11) + 2, FIND("_LZ", C11) - FIND("LY", C11) - 2)) / VALUE(MID(D11, FIND("NY", D11) + 2, FIND("_NZ", D11) - FIND("NY", D11) - 2))</f>
        <v>2.5000000000000001E-2</v>
      </c>
      <c r="G11" s="14">
        <f>VALUE(RIGHT(C11, LEN(C11) - FIND("_LZ", C11) - 2)) / VALUE(RIGHT(D11, LEN(D11) - FIND("_NZ", D11) - 2))</f>
        <v>2.5000000000000001E-2</v>
      </c>
      <c r="H11" s="14">
        <f>VALUE(RIGHT(C11, LEN(C11) - FIND("_LZ", C11) - 2)) / VALUE(RIGHT(D11, LEN(D11) - FIND("_NZ", D11) - 2))</f>
        <v>2.5000000000000001E-2</v>
      </c>
      <c r="I11" s="15">
        <f>E11/F11</f>
        <v>1</v>
      </c>
      <c r="J11" s="3" t="s">
        <v>94</v>
      </c>
      <c r="K11" s="3" t="s">
        <v>27</v>
      </c>
      <c r="L11" s="3">
        <v>0.1</v>
      </c>
      <c r="M11" s="15">
        <f>L11/F11</f>
        <v>4</v>
      </c>
      <c r="N11" s="4">
        <v>1055</v>
      </c>
      <c r="O11" s="2"/>
      <c r="P11" s="7">
        <f>8*(N11/B11)^2</f>
        <v>5.5651249999999998E-3</v>
      </c>
      <c r="Q11" s="7">
        <f>8*(O11/B11)^2</f>
        <v>0</v>
      </c>
      <c r="R11" s="8">
        <f>(Q11-P11)/P11</f>
        <v>-1</v>
      </c>
      <c r="S11" s="6">
        <f>1700*O11/B11</f>
        <v>0</v>
      </c>
      <c r="T11" s="2">
        <f>B11/4*P11</f>
        <v>55.651249999999997</v>
      </c>
      <c r="U11" s="6">
        <f>E11*N11</f>
        <v>26.375</v>
      </c>
      <c r="V11" s="6">
        <f>F11*N11</f>
        <v>26.375</v>
      </c>
      <c r="W11" s="6">
        <f>G11*N11</f>
        <v>26.375</v>
      </c>
      <c r="X11" s="6">
        <f>H11*N11</f>
        <v>26.375</v>
      </c>
    </row>
    <row r="12" spans="1:24">
      <c r="A12" t="s">
        <v>34</v>
      </c>
      <c r="B12" s="3">
        <v>40000</v>
      </c>
      <c r="C12" s="3" t="s">
        <v>186</v>
      </c>
      <c r="D12" s="3" t="s">
        <v>189</v>
      </c>
      <c r="E12" s="37">
        <f>VALUE(MID(C12, FIND("LX", C12) + 2, FIND("_LY", C12) - FIND("LX", C12) - 2)) / VALUE(MID(D12, FIND("NX", D12) + 2, FIND("_NY", D12) - FIND("NX", D12) - 2))</f>
        <v>1.6666666666666666E-2</v>
      </c>
      <c r="F12" s="14">
        <f>VALUE(MID(C12, FIND("LY", C12) + 2, FIND("_LZ", C12) - FIND("LY", C12) - 2)) / VALUE(MID(D12, FIND("NY", D12) + 2, FIND("_NZ", D12) - FIND("NY", D12) - 2))</f>
        <v>1.6666666666666666E-2</v>
      </c>
      <c r="G12" s="14">
        <f>VALUE(RIGHT(C12, LEN(C12) - FIND("_LZ", C12) - 2)) / VALUE(RIGHT(D12, LEN(D12) - FIND("_NZ", D12) - 2))</f>
        <v>1.6666666666666666E-2</v>
      </c>
      <c r="H12" s="14">
        <f>VALUE(RIGHT(C12, LEN(C12) - FIND("_LZ", C12) - 2)) / VALUE(RIGHT(D12, LEN(D12) - FIND("_NZ", D12) - 2))</f>
        <v>1.6666666666666666E-2</v>
      </c>
      <c r="I12" s="15">
        <f>E12/F12</f>
        <v>1</v>
      </c>
      <c r="J12" s="3" t="s">
        <v>94</v>
      </c>
      <c r="K12" s="3" t="s">
        <v>27</v>
      </c>
      <c r="L12" s="3">
        <v>0.1</v>
      </c>
      <c r="M12" s="15">
        <f>L12/F12</f>
        <v>6</v>
      </c>
      <c r="N12" s="4">
        <v>1055</v>
      </c>
      <c r="O12" s="2"/>
      <c r="P12" s="7">
        <f>8*(N12/B12)^2</f>
        <v>5.5651249999999998E-3</v>
      </c>
      <c r="Q12" s="7">
        <f>8*(O12/B12)^2</f>
        <v>0</v>
      </c>
      <c r="R12" s="8">
        <f>(Q12-P12)/P12</f>
        <v>-1</v>
      </c>
      <c r="S12" s="6">
        <f>1700*O12/B12</f>
        <v>0</v>
      </c>
      <c r="T12" s="2">
        <f>B12/4*P12</f>
        <v>55.651249999999997</v>
      </c>
      <c r="U12" s="6">
        <f>E12*N12</f>
        <v>17.583333333333332</v>
      </c>
      <c r="V12" s="6">
        <f>F12*N12</f>
        <v>17.583333333333332</v>
      </c>
      <c r="W12" s="6">
        <f>G12*N12</f>
        <v>17.583333333333332</v>
      </c>
      <c r="X12" s="6">
        <f>H12*N12</f>
        <v>17.583333333333332</v>
      </c>
    </row>
    <row r="13" spans="1:24">
      <c r="A13" t="s">
        <v>34</v>
      </c>
      <c r="B13" s="3">
        <v>40000</v>
      </c>
      <c r="C13" s="3" t="s">
        <v>186</v>
      </c>
      <c r="D13" s="3" t="s">
        <v>190</v>
      </c>
      <c r="E13" s="36">
        <f>VALUE(MID(C13, FIND("LX", C13) + 2, FIND("_LY", C13) - FIND("LX", C13) - 2)) / VALUE(MID(D13, FIND("NX", D13) + 2, FIND("_NY", D13) - FIND("NX", D13) - 2))</f>
        <v>1.2500000000000001E-2</v>
      </c>
      <c r="F13" s="14">
        <f>VALUE(MID(C13, FIND("LY", C13) + 2, FIND("_LZ", C13) - FIND("LY", C13) - 2)) / VALUE(MID(D13, FIND("NY", D13) + 2, FIND("_NZ", D13) - FIND("NY", D13) - 2))</f>
        <v>1.2500000000000001E-2</v>
      </c>
      <c r="G13" s="14">
        <f>VALUE(RIGHT(C13, LEN(C13) - FIND("_LZ", C13) - 2)) / VALUE(RIGHT(D13, LEN(D13) - FIND("_NZ", D13) - 2))</f>
        <v>1.2500000000000001E-2</v>
      </c>
      <c r="H13" s="14">
        <f>VALUE(RIGHT(C13, LEN(C13) - FIND("_LZ", C13) - 2)) / VALUE(RIGHT(D13, LEN(D13) - FIND("_NZ", D13) - 2))</f>
        <v>1.2500000000000001E-2</v>
      </c>
      <c r="I13" s="15">
        <f>E13/F13</f>
        <v>1</v>
      </c>
      <c r="J13" s="3" t="s">
        <v>94</v>
      </c>
      <c r="K13" s="3" t="s">
        <v>27</v>
      </c>
      <c r="L13" s="3">
        <v>0.1</v>
      </c>
      <c r="M13" s="15">
        <f>L13/F13</f>
        <v>8</v>
      </c>
      <c r="N13" s="4">
        <v>1055</v>
      </c>
      <c r="O13" s="2"/>
      <c r="P13" s="7">
        <f>8*(N13/B13)^2</f>
        <v>5.5651249999999998E-3</v>
      </c>
      <c r="Q13" s="7">
        <f>8*(O13/B13)^2</f>
        <v>0</v>
      </c>
      <c r="R13" s="8">
        <f>(Q13-P13)/P13</f>
        <v>-1</v>
      </c>
      <c r="S13" s="6">
        <f>1700*O13/B13</f>
        <v>0</v>
      </c>
      <c r="T13" s="2">
        <f>B13/4*P13</f>
        <v>55.651249999999997</v>
      </c>
      <c r="U13" s="6">
        <f>E13*N13</f>
        <v>13.1875</v>
      </c>
      <c r="V13" s="6">
        <f>F13*N13</f>
        <v>13.1875</v>
      </c>
      <c r="W13" s="6">
        <f>G13*N13</f>
        <v>13.1875</v>
      </c>
      <c r="X13" s="6">
        <f>H13*N13</f>
        <v>13.1875</v>
      </c>
    </row>
    <row r="16" spans="1:24">
      <c r="A16" t="s">
        <v>112</v>
      </c>
      <c r="B16" s="3">
        <v>40000</v>
      </c>
      <c r="C16" s="3" t="s">
        <v>186</v>
      </c>
      <c r="D16" s="3" t="s">
        <v>183</v>
      </c>
      <c r="E16" s="36">
        <v>0.1</v>
      </c>
      <c r="F16" s="14">
        <f>VALUE(MID(C16, FIND("LY", C16) + 2, FIND("_LZ", C16) - FIND("LY", C16) - 2)) / VALUE(MID(D16, FIND("NY", D16) + 2, FIND("_NZ", D16) - FIND("NY", D16) - 2))</f>
        <v>2.5000000000000001E-2</v>
      </c>
      <c r="G16" s="14">
        <f>VALUE(RIGHT(C16, LEN(C16) - FIND("_LZ", C16) - 2)) / VALUE(RIGHT(D16, LEN(D16) - FIND("_NZ", D16) - 2))</f>
        <v>2.5000000000000001E-2</v>
      </c>
      <c r="H16" s="14">
        <f>VALUE(RIGHT(C16, LEN(C16) - FIND("_LZ", C16) - 2)) / VALUE(RIGHT(D16, LEN(D16) - FIND("_NZ", D16) - 2))</f>
        <v>2.5000000000000001E-2</v>
      </c>
      <c r="I16" s="15">
        <f>E16/F16</f>
        <v>4</v>
      </c>
      <c r="J16" s="3" t="s">
        <v>94</v>
      </c>
      <c r="K16" s="3" t="s">
        <v>27</v>
      </c>
      <c r="L16" s="3">
        <v>0.1</v>
      </c>
      <c r="M16" s="15">
        <f>L16/F16</f>
        <v>4</v>
      </c>
      <c r="N16" s="4">
        <v>1055</v>
      </c>
      <c r="O16" s="2"/>
      <c r="P16" s="7">
        <f>8*(N16/B16)^2</f>
        <v>5.5651249999999998E-3</v>
      </c>
      <c r="Q16" s="7">
        <f>8*(O16/B16)^2</f>
        <v>0</v>
      </c>
      <c r="R16" s="8">
        <f>(Q16-P16)/P16</f>
        <v>-1</v>
      </c>
      <c r="S16" s="6">
        <f>1700*O16/B16</f>
        <v>0</v>
      </c>
      <c r="T16" s="2">
        <f>B16/4*P16</f>
        <v>55.651249999999997</v>
      </c>
      <c r="U16" s="6">
        <f>E16*N16</f>
        <v>105.5</v>
      </c>
      <c r="V16" s="6">
        <f>F16*N16</f>
        <v>26.375</v>
      </c>
      <c r="W16" s="6">
        <f>G16*N16</f>
        <v>26.375</v>
      </c>
      <c r="X16" s="6">
        <f>H16*N16</f>
        <v>26.375</v>
      </c>
    </row>
    <row r="17" spans="1:24">
      <c r="A17" t="s">
        <v>112</v>
      </c>
      <c r="B17" s="3">
        <v>40000</v>
      </c>
      <c r="C17" s="3" t="s">
        <v>186</v>
      </c>
      <c r="D17" s="3" t="s">
        <v>187</v>
      </c>
      <c r="E17" s="36">
        <f>VALUE(MID(C17, FIND("LX", C17) + 2, FIND("_LY", C17) - FIND("LX", C17) - 2)) / VALUE(MID(D17, FIND("NX", D17) + 2, FIND("_NY", D17) - FIND("NX", D17) - 2))</f>
        <v>0.05</v>
      </c>
      <c r="F17" s="14">
        <f>VALUE(MID(C17, FIND("LY", C17) + 2, FIND("_LZ", C17) - FIND("LY", C17) - 2)) / VALUE(MID(D17, FIND("NY", D17) + 2, FIND("_NZ", D17) - FIND("NY", D17) - 2))</f>
        <v>2.5000000000000001E-2</v>
      </c>
      <c r="G17" s="14">
        <f>VALUE(RIGHT(C17, LEN(C17) - FIND("_LZ", C17) - 2)) / VALUE(RIGHT(D17, LEN(D17) - FIND("_NZ", D17) - 2))</f>
        <v>2.5000000000000001E-2</v>
      </c>
      <c r="H17" s="14">
        <f>VALUE(RIGHT(C17, LEN(C17) - FIND("_LZ", C17) - 2)) / VALUE(RIGHT(D17, LEN(D17) - FIND("_NZ", D17) - 2))</f>
        <v>2.5000000000000001E-2</v>
      </c>
      <c r="I17" s="15">
        <f>E17/F17</f>
        <v>2</v>
      </c>
      <c r="J17" s="3" t="s">
        <v>94</v>
      </c>
      <c r="K17" s="3" t="s">
        <v>27</v>
      </c>
      <c r="L17" s="3">
        <v>0.1</v>
      </c>
      <c r="M17" s="15">
        <f>L17/F17</f>
        <v>4</v>
      </c>
      <c r="N17" s="4">
        <v>1055</v>
      </c>
      <c r="O17" s="2"/>
      <c r="P17" s="7">
        <f>8*(N17/B17)^2</f>
        <v>5.5651249999999998E-3</v>
      </c>
      <c r="Q17" s="7">
        <f>8*(O17/B17)^2</f>
        <v>0</v>
      </c>
      <c r="R17" s="8">
        <f>(Q17-P17)/P17</f>
        <v>-1</v>
      </c>
      <c r="S17" s="6">
        <f>1700*O17/B17</f>
        <v>0</v>
      </c>
      <c r="T17" s="2">
        <f>B17/4*P17</f>
        <v>55.651249999999997</v>
      </c>
      <c r="U17" s="6">
        <f>E17*N17</f>
        <v>52.75</v>
      </c>
      <c r="V17" s="6">
        <f>F17*N17</f>
        <v>26.375</v>
      </c>
      <c r="W17" s="6">
        <f>G17*N17</f>
        <v>26.375</v>
      </c>
      <c r="X17" s="6">
        <f>H17*N17</f>
        <v>26.375</v>
      </c>
    </row>
    <row r="18" spans="1:24">
      <c r="A18" t="s">
        <v>112</v>
      </c>
      <c r="B18" s="3">
        <v>40000</v>
      </c>
      <c r="C18" s="3" t="s">
        <v>186</v>
      </c>
      <c r="D18" s="3" t="s">
        <v>188</v>
      </c>
      <c r="E18" s="36">
        <f>VALUE(MID(C18, FIND("LX", C18) + 2, FIND("_LY", C18) - FIND("LX", C18) - 2)) / VALUE(MID(D18, FIND("NX", D18) + 2, FIND("_NY", D18) - FIND("NX", D18) - 2))</f>
        <v>2.5000000000000001E-2</v>
      </c>
      <c r="F18" s="14">
        <f>VALUE(MID(C18, FIND("LY", C18) + 2, FIND("_LZ", C18) - FIND("LY", C18) - 2)) / VALUE(MID(D18, FIND("NY", D18) + 2, FIND("_NZ", D18) - FIND("NY", D18) - 2))</f>
        <v>2.5000000000000001E-2</v>
      </c>
      <c r="G18" s="14">
        <f>VALUE(RIGHT(C18, LEN(C18) - FIND("_LZ", C18) - 2)) / VALUE(RIGHT(D18, LEN(D18) - FIND("_NZ", D18) - 2))</f>
        <v>2.5000000000000001E-2</v>
      </c>
      <c r="H18" s="14">
        <f>VALUE(RIGHT(C18, LEN(C18) - FIND("_LZ", C18) - 2)) / VALUE(RIGHT(D18, LEN(D18) - FIND("_NZ", D18) - 2))</f>
        <v>2.5000000000000001E-2</v>
      </c>
      <c r="I18" s="15">
        <f>E18/F18</f>
        <v>1</v>
      </c>
      <c r="J18" s="3" t="s">
        <v>94</v>
      </c>
      <c r="K18" s="3" t="s">
        <v>27</v>
      </c>
      <c r="L18" s="3">
        <v>0.1</v>
      </c>
      <c r="M18" s="15">
        <f>L18/F18</f>
        <v>4</v>
      </c>
      <c r="N18" s="4">
        <v>1055</v>
      </c>
      <c r="O18" s="2"/>
      <c r="P18" s="7">
        <f>8*(N18/B18)^2</f>
        <v>5.5651249999999998E-3</v>
      </c>
      <c r="Q18" s="7">
        <f>8*(O18/B18)^2</f>
        <v>0</v>
      </c>
      <c r="R18" s="8">
        <f>(Q18-P18)/P18</f>
        <v>-1</v>
      </c>
      <c r="S18" s="6">
        <f>1700*O18/B18</f>
        <v>0</v>
      </c>
      <c r="T18" s="2">
        <f>B18/4*P18</f>
        <v>55.651249999999997</v>
      </c>
      <c r="U18" s="6">
        <f>E18*N18</f>
        <v>26.375</v>
      </c>
      <c r="V18" s="6">
        <f>F18*N18</f>
        <v>26.375</v>
      </c>
      <c r="W18" s="6">
        <f>G18*N18</f>
        <v>26.375</v>
      </c>
      <c r="X18" s="6">
        <f>H18*N18</f>
        <v>26.375</v>
      </c>
    </row>
    <row r="19" spans="1:24">
      <c r="A19" t="s">
        <v>112</v>
      </c>
      <c r="B19" s="3">
        <v>40000</v>
      </c>
      <c r="C19" s="3" t="s">
        <v>186</v>
      </c>
      <c r="D19" s="3" t="s">
        <v>189</v>
      </c>
      <c r="E19" s="37">
        <f>VALUE(MID(C19, FIND("LX", C19) + 2, FIND("_LY", C19) - FIND("LX", C19) - 2)) / VALUE(MID(D19, FIND("NX", D19) + 2, FIND("_NY", D19) - FIND("NX", D19) - 2))</f>
        <v>1.6666666666666666E-2</v>
      </c>
      <c r="F19" s="14">
        <f>VALUE(MID(C19, FIND("LY", C19) + 2, FIND("_LZ", C19) - FIND("LY", C19) - 2)) / VALUE(MID(D19, FIND("NY", D19) + 2, FIND("_NZ", D19) - FIND("NY", D19) - 2))</f>
        <v>1.6666666666666666E-2</v>
      </c>
      <c r="G19" s="14">
        <f>VALUE(RIGHT(C19, LEN(C19) - FIND("_LZ", C19) - 2)) / VALUE(RIGHT(D19, LEN(D19) - FIND("_NZ", D19) - 2))</f>
        <v>1.6666666666666666E-2</v>
      </c>
      <c r="H19" s="14">
        <f>VALUE(RIGHT(C19, LEN(C19) - FIND("_LZ", C19) - 2)) / VALUE(RIGHT(D19, LEN(D19) - FIND("_NZ", D19) - 2))</f>
        <v>1.6666666666666666E-2</v>
      </c>
      <c r="I19" s="15">
        <f>E19/F19</f>
        <v>1</v>
      </c>
      <c r="J19" s="3" t="s">
        <v>94</v>
      </c>
      <c r="K19" s="3" t="s">
        <v>27</v>
      </c>
      <c r="L19" s="3">
        <v>0.1</v>
      </c>
      <c r="M19" s="15">
        <f>L19/F19</f>
        <v>6</v>
      </c>
      <c r="N19" s="4">
        <v>1055</v>
      </c>
      <c r="O19" s="2"/>
      <c r="P19" s="7">
        <f>8*(N19/B19)^2</f>
        <v>5.5651249999999998E-3</v>
      </c>
      <c r="Q19" s="7">
        <f>8*(O19/B19)^2</f>
        <v>0</v>
      </c>
      <c r="R19" s="8">
        <f>(Q19-P19)/P19</f>
        <v>-1</v>
      </c>
      <c r="S19" s="6">
        <f>1700*O19/B19</f>
        <v>0</v>
      </c>
      <c r="T19" s="2">
        <f>B19/4*P19</f>
        <v>55.651249999999997</v>
      </c>
      <c r="U19" s="6">
        <f>E19*N19</f>
        <v>17.583333333333332</v>
      </c>
      <c r="V19" s="6">
        <f>F19*N19</f>
        <v>17.583333333333332</v>
      </c>
      <c r="W19" s="6">
        <f>G19*N19</f>
        <v>17.583333333333332</v>
      </c>
      <c r="X19" s="6">
        <f>H19*N19</f>
        <v>17.583333333333332</v>
      </c>
    </row>
    <row r="20" spans="1:24">
      <c r="A20" t="s">
        <v>112</v>
      </c>
      <c r="B20" s="3">
        <v>40000</v>
      </c>
      <c r="C20" s="3" t="s">
        <v>186</v>
      </c>
      <c r="D20" s="3" t="s">
        <v>190</v>
      </c>
      <c r="E20" s="36">
        <f>VALUE(MID(C20, FIND("LX", C20) + 2, FIND("_LY", C20) - FIND("LX", C20) - 2)) / VALUE(MID(D20, FIND("NX", D20) + 2, FIND("_NY", D20) - FIND("NX", D20) - 2))</f>
        <v>1.2500000000000001E-2</v>
      </c>
      <c r="F20" s="14">
        <f>VALUE(MID(C20, FIND("LY", C20) + 2, FIND("_LZ", C20) - FIND("LY", C20) - 2)) / VALUE(MID(D20, FIND("NY", D20) + 2, FIND("_NZ", D20) - FIND("NY", D20) - 2))</f>
        <v>1.2500000000000001E-2</v>
      </c>
      <c r="G20" s="14">
        <f>VALUE(RIGHT(C20, LEN(C20) - FIND("_LZ", C20) - 2)) / VALUE(RIGHT(D20, LEN(D20) - FIND("_NZ", D20) - 2))</f>
        <v>1.2500000000000001E-2</v>
      </c>
      <c r="H20" s="14">
        <f>VALUE(RIGHT(C20, LEN(C20) - FIND("_LZ", C20) - 2)) / VALUE(RIGHT(D20, LEN(D20) - FIND("_NZ", D20) - 2))</f>
        <v>1.2500000000000001E-2</v>
      </c>
      <c r="I20" s="15">
        <f>E20/F20</f>
        <v>1</v>
      </c>
      <c r="J20" s="3" t="s">
        <v>94</v>
      </c>
      <c r="K20" s="3" t="s">
        <v>27</v>
      </c>
      <c r="L20" s="3">
        <v>0.1</v>
      </c>
      <c r="M20" s="15">
        <f>L20/F20</f>
        <v>8</v>
      </c>
      <c r="N20" s="4">
        <v>1055</v>
      </c>
      <c r="O20" s="2"/>
      <c r="P20" s="7">
        <f>8*(N20/B20)^2</f>
        <v>5.5651249999999998E-3</v>
      </c>
      <c r="Q20" s="7">
        <f>8*(O20/B20)^2</f>
        <v>0</v>
      </c>
      <c r="R20" s="8">
        <f>(Q20-P20)/P20</f>
        <v>-1</v>
      </c>
      <c r="S20" s="6">
        <f>1700*O20/B20</f>
        <v>0</v>
      </c>
      <c r="T20" s="2">
        <f>B20/4*P20</f>
        <v>55.651249999999997</v>
      </c>
      <c r="U20" s="6">
        <f>E20*N20</f>
        <v>13.1875</v>
      </c>
      <c r="V20" s="6">
        <f>F20*N20</f>
        <v>13.1875</v>
      </c>
      <c r="W20" s="6">
        <f>G20*N20</f>
        <v>13.1875</v>
      </c>
      <c r="X20" s="6">
        <f>H20*N20</f>
        <v>13.1875</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ECACA-9764-4351-8B23-49D0671A6FF0}">
  <dimension ref="ESZ504941:ISK657370"/>
  <sheetViews>
    <sheetView workbookViewId="0"/>
  </sheetViews>
  <sheetFormatPr defaultRowHeight="14.5"/>
  <sheetData>
    <row r="504941" spans="3900:3900">
      <c r="ESZ504941" t="s">
        <v>184</v>
      </c>
    </row>
    <row r="657370" spans="6589:6589">
      <c r="ISK657370" t="s">
        <v>185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4 A X 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M 4 A 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A F 1 k o i k e 4 D g A A A B E A A A A T A B w A R m 9 y b X V s Y X M v U 2 V j d G l v b j E u b S C i G A A o o B Q A A A A A A A A A A A A A A A A A A A A A A A A A A A A r T k 0 u y c z P U w i G 0 I b W A F B L A Q I t A B Q A A g A I A D O A F 1 k t 3 t E W p A A A A P Y A A A A S A A A A A A A A A A A A A A A A A A A A A A B D b 2 5 m a W c v U G F j a 2 F n Z S 5 4 b W x Q S w E C L Q A U A A I A C A A z g B d Z D 8 r p q 6 Q A A A D p A A A A E w A A A A A A A A A A A A A A A A D w A A A A W 0 N v b n R l b n R f V H l w Z X N d L n h t b F B L A Q I t A B Q A A g A I A D O A F 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b 1 D F p + j j a S Y o f M l z y W B m J A A A A A A I A A A A A A B B m A A A A A Q A A I A A A A L w l z O x F X I B f E M j j m L W p 7 O K t e 5 3 d L v A r W 8 Z S h M C o N + Z M A A A A A A 6 A A A A A A g A A I A A A A H b D Q R v d 7 C 0 D 1 / 3 Y G 0 g g I U 9 T K C P H G g 3 a U N D w Z q s 2 z Z 5 e U A A A A B U X M g f E w v / X A e B W C D L b W F n 5 8 U i P 5 s t I n X 4 z B m r 8 H q A x t D 7 c g S r S 8 n L / / O Z 9 h L c x W j w G u J R z 9 K 3 1 2 N o z j 5 f Z V y k o y O w M L i C s I K F 6 0 I 8 4 Y 4 9 P Q A A A A K h B a L m 5 4 V + n 2 d Q 5 b G 1 u A d S l z 2 j 8 0 f 3 r b L w S D F P 2 p Z 6 G U R D r 0 z 7 8 J a Q 8 i d W 4 X 1 Y t f e 3 5 V H r A g 7 f U c 7 e G H d V T g K k = < / D a t a M a s h u p > 
</file>

<file path=customXml/itemProps1.xml><?xml version="1.0" encoding="utf-8"?>
<ds:datastoreItem xmlns:ds="http://schemas.openxmlformats.org/officeDocument/2006/customXml" ds:itemID="{316E5E1A-C591-45FE-B6FB-57378B8606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DIT</vt:lpstr>
      <vt:lpstr>CHA_RETAU180</vt:lpstr>
      <vt:lpstr>CHA_RETAU395</vt:lpstr>
      <vt:lpstr>CHA_RETAU550</vt:lpstr>
      <vt:lpstr>CHA_RETAU1000</vt:lpstr>
      <vt:lpstr>CHA_RETAU5200</vt:lpstr>
      <vt:lpstr>DUC_RETAU150</vt:lpstr>
      <vt:lpstr>DUC_RETAU1000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肖 茂超</dc:creator>
  <cp:keywords/>
  <dc:description/>
  <cp:lastModifiedBy>Maochao Xiao</cp:lastModifiedBy>
  <cp:revision/>
  <dcterms:created xsi:type="dcterms:W3CDTF">2023-11-18T20:01:01Z</dcterms:created>
  <dcterms:modified xsi:type="dcterms:W3CDTF">2024-09-03T15:39:35Z</dcterms:modified>
  <cp:category/>
  <cp:contentStatus/>
</cp:coreProperties>
</file>