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och\OneDrive - uniroma1.it\Documents\code\CaNS\docs\"/>
    </mc:Choice>
  </mc:AlternateContent>
  <xr:revisionPtr revIDLastSave="0" documentId="13_ncr:1_{E92622A8-BAB5-47B3-92AC-F11AF41A9B7E}" xr6:coauthVersionLast="47" xr6:coauthVersionMax="47" xr10:uidLastSave="{00000000-0000-0000-0000-000000000000}"/>
  <bookViews>
    <workbookView xWindow="-90" yWindow="0" windowWidth="13070" windowHeight="15370" xr2:uid="{01D2C22A-6FDC-4C8A-89EA-CFEF89D4AB13}"/>
  </bookViews>
  <sheets>
    <sheet name="debug" sheetId="1" r:id="rId1"/>
    <sheet name="CHA_RETAU180" sheetId="9" r:id="rId2"/>
    <sheet name="CHA_RETAU550" sheetId="7" r:id="rId3"/>
    <sheet name="CHA_RETAU1000" sheetId="4" r:id="rId4"/>
    <sheet name="CHA_RETAU5200" sheetId="6" r:id="rId5"/>
    <sheet name="main" sheetId="2" r:id="rId6"/>
    <sheet name="initsolver" sheetId="3" r:id="rId7"/>
    <sheet name="notes" sheetId="5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30" i="6" l="1"/>
  <c r="Q30" i="6"/>
  <c r="R30" i="6" s="1"/>
  <c r="P30" i="6"/>
  <c r="T30" i="6" s="1"/>
  <c r="G30" i="6"/>
  <c r="H30" i="6" s="1"/>
  <c r="M30" i="6" s="1"/>
  <c r="S29" i="6"/>
  <c r="Q29" i="6"/>
  <c r="R29" i="6" s="1"/>
  <c r="P29" i="6"/>
  <c r="T29" i="6" s="1"/>
  <c r="G29" i="6"/>
  <c r="H29" i="6" s="1"/>
  <c r="M29" i="6" s="1"/>
  <c r="S28" i="6"/>
  <c r="Q28" i="6"/>
  <c r="R28" i="6" s="1"/>
  <c r="P28" i="6"/>
  <c r="T28" i="6" s="1"/>
  <c r="G28" i="6"/>
  <c r="H28" i="6" s="1"/>
  <c r="M28" i="6" s="1"/>
  <c r="T27" i="6"/>
  <c r="S27" i="6"/>
  <c r="Q27" i="6"/>
  <c r="R27" i="6" s="1"/>
  <c r="P27" i="6"/>
  <c r="G27" i="6"/>
  <c r="H27" i="6" s="1"/>
  <c r="M27" i="6" s="1"/>
  <c r="T24" i="6"/>
  <c r="S24" i="6"/>
  <c r="Q24" i="6"/>
  <c r="R24" i="6" s="1"/>
  <c r="P24" i="6"/>
  <c r="G24" i="6"/>
  <c r="H24" i="6" s="1"/>
  <c r="M24" i="6" s="1"/>
  <c r="S23" i="6"/>
  <c r="Q23" i="6"/>
  <c r="R23" i="6" s="1"/>
  <c r="P23" i="6"/>
  <c r="T23" i="6" s="1"/>
  <c r="G23" i="6"/>
  <c r="H23" i="6" s="1"/>
  <c r="M23" i="6" s="1"/>
  <c r="T22" i="6"/>
  <c r="S22" i="6"/>
  <c r="Q22" i="6"/>
  <c r="R22" i="6" s="1"/>
  <c r="P22" i="6"/>
  <c r="G22" i="6"/>
  <c r="H22" i="6" s="1"/>
  <c r="M22" i="6" s="1"/>
  <c r="S21" i="6"/>
  <c r="Q21" i="6"/>
  <c r="R21" i="6" s="1"/>
  <c r="P21" i="6"/>
  <c r="T21" i="6" s="1"/>
  <c r="G21" i="6"/>
  <c r="H21" i="6" s="1"/>
  <c r="M21" i="6" s="1"/>
  <c r="S18" i="6"/>
  <c r="Q18" i="6"/>
  <c r="R18" i="6" s="1"/>
  <c r="P18" i="6"/>
  <c r="T18" i="6" s="1"/>
  <c r="G18" i="6"/>
  <c r="H18" i="6" s="1"/>
  <c r="M18" i="6" s="1"/>
  <c r="S17" i="6"/>
  <c r="Q17" i="6"/>
  <c r="R17" i="6" s="1"/>
  <c r="P17" i="6"/>
  <c r="T17" i="6" s="1"/>
  <c r="G17" i="6"/>
  <c r="H17" i="6" s="1"/>
  <c r="M17" i="6" s="1"/>
  <c r="S16" i="6"/>
  <c r="Q16" i="6"/>
  <c r="R16" i="6" s="1"/>
  <c r="P16" i="6"/>
  <c r="T16" i="6" s="1"/>
  <c r="G16" i="6"/>
  <c r="H16" i="6" s="1"/>
  <c r="M16" i="6" s="1"/>
  <c r="S15" i="6"/>
  <c r="Q15" i="6"/>
  <c r="R15" i="6" s="1"/>
  <c r="P15" i="6"/>
  <c r="T15" i="6" s="1"/>
  <c r="G15" i="6"/>
  <c r="H15" i="6" s="1"/>
  <c r="M15" i="6" s="1"/>
  <c r="S10" i="6"/>
  <c r="S11" i="6"/>
  <c r="S12" i="6"/>
  <c r="S9" i="6"/>
  <c r="Q9" i="6"/>
  <c r="Q12" i="6"/>
  <c r="R12" i="6" s="1"/>
  <c r="P12" i="6"/>
  <c r="T12" i="6" s="1"/>
  <c r="G12" i="6"/>
  <c r="H12" i="6" s="1"/>
  <c r="M12" i="6" s="1"/>
  <c r="Q11" i="6"/>
  <c r="R11" i="6" s="1"/>
  <c r="P11" i="6"/>
  <c r="T11" i="6" s="1"/>
  <c r="G11" i="6"/>
  <c r="H11" i="6" s="1"/>
  <c r="M11" i="6" s="1"/>
  <c r="Q10" i="6"/>
  <c r="R10" i="6" s="1"/>
  <c r="P10" i="6"/>
  <c r="T10" i="6" s="1"/>
  <c r="G10" i="6"/>
  <c r="H10" i="6" s="1"/>
  <c r="M10" i="6" s="1"/>
  <c r="R9" i="6"/>
  <c r="P9" i="6"/>
  <c r="T9" i="6" s="1"/>
  <c r="G9" i="6"/>
  <c r="H9" i="6" s="1"/>
  <c r="M9" i="6" s="1"/>
  <c r="W3" i="7"/>
  <c r="W4" i="7"/>
  <c r="W5" i="7"/>
  <c r="W2" i="7"/>
  <c r="V3" i="7"/>
  <c r="V4" i="7"/>
  <c r="V5" i="7"/>
  <c r="V2" i="7"/>
  <c r="U3" i="7"/>
  <c r="U4" i="7"/>
  <c r="U5" i="7"/>
  <c r="U2" i="7"/>
  <c r="T3" i="7"/>
  <c r="T4" i="7"/>
  <c r="T5" i="7"/>
  <c r="T2" i="7"/>
  <c r="R13" i="7"/>
  <c r="P13" i="7"/>
  <c r="O13" i="7"/>
  <c r="S13" i="7" s="1"/>
  <c r="F13" i="7"/>
  <c r="G13" i="7" s="1"/>
  <c r="L13" i="7" s="1"/>
  <c r="R12" i="7"/>
  <c r="P12" i="7"/>
  <c r="O12" i="7"/>
  <c r="S12" i="7" s="1"/>
  <c r="G12" i="7"/>
  <c r="L12" i="7" s="1"/>
  <c r="F12" i="7"/>
  <c r="R11" i="7"/>
  <c r="P11" i="7"/>
  <c r="Q11" i="7" s="1"/>
  <c r="O11" i="7"/>
  <c r="S11" i="7" s="1"/>
  <c r="F11" i="7"/>
  <c r="G11" i="7" s="1"/>
  <c r="L11" i="7" s="1"/>
  <c r="R10" i="7"/>
  <c r="P10" i="7"/>
  <c r="Q10" i="7" s="1"/>
  <c r="O10" i="7"/>
  <c r="S10" i="7" s="1"/>
  <c r="G10" i="7"/>
  <c r="L10" i="7" s="1"/>
  <c r="F10" i="7"/>
  <c r="U16" i="9"/>
  <c r="T16" i="9"/>
  <c r="R16" i="9"/>
  <c r="P16" i="9"/>
  <c r="Q16" i="9" s="1"/>
  <c r="O16" i="9"/>
  <c r="S16" i="9" s="1"/>
  <c r="F16" i="9"/>
  <c r="V16" i="9" s="1"/>
  <c r="V15" i="9"/>
  <c r="U15" i="9"/>
  <c r="T15" i="9"/>
  <c r="R15" i="9"/>
  <c r="P15" i="9"/>
  <c r="Q15" i="9" s="1"/>
  <c r="O15" i="9"/>
  <c r="S15" i="9" s="1"/>
  <c r="F15" i="9"/>
  <c r="G15" i="9" s="1"/>
  <c r="V14" i="9"/>
  <c r="U14" i="9"/>
  <c r="T14" i="9"/>
  <c r="S14" i="9"/>
  <c r="R14" i="9"/>
  <c r="P14" i="9"/>
  <c r="Q14" i="9" s="1"/>
  <c r="O14" i="9"/>
  <c r="F14" i="9"/>
  <c r="G14" i="9" s="1"/>
  <c r="U13" i="9"/>
  <c r="T13" i="9"/>
  <c r="R13" i="9"/>
  <c r="P13" i="9"/>
  <c r="Q13" i="9" s="1"/>
  <c r="O13" i="9"/>
  <c r="S13" i="9" s="1"/>
  <c r="F13" i="9"/>
  <c r="V13" i="9" s="1"/>
  <c r="W6" i="9"/>
  <c r="V6" i="9"/>
  <c r="U6" i="9"/>
  <c r="T6" i="9"/>
  <c r="W3" i="9"/>
  <c r="W4" i="9"/>
  <c r="W5" i="9"/>
  <c r="V3" i="9"/>
  <c r="V4" i="9"/>
  <c r="V5" i="9"/>
  <c r="U3" i="9"/>
  <c r="U4" i="9"/>
  <c r="U5" i="9"/>
  <c r="T3" i="9"/>
  <c r="T4" i="9"/>
  <c r="T5" i="9"/>
  <c r="W2" i="9"/>
  <c r="V2" i="9"/>
  <c r="U2" i="9"/>
  <c r="T2" i="9"/>
  <c r="S3" i="7"/>
  <c r="S4" i="7"/>
  <c r="S5" i="7"/>
  <c r="S2" i="7"/>
  <c r="S3" i="4"/>
  <c r="S4" i="4"/>
  <c r="S5" i="4"/>
  <c r="S2" i="4"/>
  <c r="S6" i="9"/>
  <c r="Q6" i="9"/>
  <c r="O6" i="9"/>
  <c r="P6" i="9"/>
  <c r="R6" i="9"/>
  <c r="L6" i="9"/>
  <c r="H6" i="9"/>
  <c r="E6" i="9"/>
  <c r="D6" i="9"/>
  <c r="G27" i="9"/>
  <c r="F27" i="9"/>
  <c r="E27" i="9"/>
  <c r="D27" i="9"/>
  <c r="H27" i="9" s="1"/>
  <c r="R5" i="9"/>
  <c r="P5" i="9"/>
  <c r="O5" i="9"/>
  <c r="S5" i="9" s="1"/>
  <c r="F5" i="9"/>
  <c r="G5" i="9" s="1"/>
  <c r="L5" i="9" s="1"/>
  <c r="R4" i="9"/>
  <c r="P4" i="9"/>
  <c r="O4" i="9"/>
  <c r="S4" i="9" s="1"/>
  <c r="F4" i="9"/>
  <c r="G4" i="9" s="1"/>
  <c r="L4" i="9" s="1"/>
  <c r="R3" i="9"/>
  <c r="P3" i="9"/>
  <c r="O3" i="9"/>
  <c r="S3" i="9" s="1"/>
  <c r="F3" i="9"/>
  <c r="G3" i="9" s="1"/>
  <c r="L3" i="9" s="1"/>
  <c r="R2" i="9"/>
  <c r="P2" i="9"/>
  <c r="O2" i="9"/>
  <c r="S2" i="9" s="1"/>
  <c r="F2" i="9"/>
  <c r="G2" i="9" s="1"/>
  <c r="L2" i="9" s="1"/>
  <c r="O3" i="4"/>
  <c r="O4" i="4"/>
  <c r="O5" i="4"/>
  <c r="O2" i="4"/>
  <c r="P2" i="4"/>
  <c r="P3" i="4"/>
  <c r="P4" i="4"/>
  <c r="P5" i="4"/>
  <c r="R2" i="4"/>
  <c r="R3" i="4"/>
  <c r="R4" i="4"/>
  <c r="R5" i="4"/>
  <c r="L5" i="4"/>
  <c r="G5" i="4"/>
  <c r="F5" i="4"/>
  <c r="F4" i="4"/>
  <c r="G4" i="4" s="1"/>
  <c r="L4" i="4" s="1"/>
  <c r="L3" i="4"/>
  <c r="G3" i="4"/>
  <c r="F3" i="4"/>
  <c r="L2" i="4"/>
  <c r="G2" i="4"/>
  <c r="F2" i="4"/>
  <c r="T3" i="6"/>
  <c r="T4" i="6"/>
  <c r="T5" i="6"/>
  <c r="R3" i="7"/>
  <c r="R4" i="7"/>
  <c r="R5" i="7"/>
  <c r="R2" i="7"/>
  <c r="Q3" i="7"/>
  <c r="Q4" i="7"/>
  <c r="Q5" i="7"/>
  <c r="P3" i="7"/>
  <c r="P4" i="7"/>
  <c r="P5" i="7"/>
  <c r="P2" i="7"/>
  <c r="O27" i="9"/>
  <c r="S27" i="9" s="1"/>
  <c r="S3" i="6"/>
  <c r="S4" i="6"/>
  <c r="S5" i="6"/>
  <c r="Q3" i="6"/>
  <c r="R3" i="6" s="1"/>
  <c r="Q4" i="6"/>
  <c r="R4" i="6" s="1"/>
  <c r="Q5" i="6"/>
  <c r="R5" i="6" s="1"/>
  <c r="S2" i="6"/>
  <c r="D45" i="6"/>
  <c r="D46" i="6"/>
  <c r="D44" i="6"/>
  <c r="O5" i="7"/>
  <c r="F5" i="7"/>
  <c r="G5" i="7" s="1"/>
  <c r="L5" i="7" s="1"/>
  <c r="O4" i="7"/>
  <c r="F4" i="7"/>
  <c r="G4" i="7" s="1"/>
  <c r="L4" i="7" s="1"/>
  <c r="O3" i="7"/>
  <c r="F3" i="7"/>
  <c r="G3" i="7" s="1"/>
  <c r="L3" i="7" s="1"/>
  <c r="O2" i="7"/>
  <c r="F2" i="7"/>
  <c r="G2" i="7" s="1"/>
  <c r="L2" i="7" s="1"/>
  <c r="Q2" i="6"/>
  <c r="G43" i="6"/>
  <c r="L43" i="6" s="1"/>
  <c r="G3" i="6"/>
  <c r="H3" i="6" s="1"/>
  <c r="M3" i="6" s="1"/>
  <c r="G4" i="6"/>
  <c r="H4" i="6" s="1"/>
  <c r="M4" i="6" s="1"/>
  <c r="G5" i="6"/>
  <c r="H5" i="6" s="1"/>
  <c r="M5" i="6" s="1"/>
  <c r="F44" i="6"/>
  <c r="G44" i="6" s="1"/>
  <c r="L44" i="6" s="1"/>
  <c r="F45" i="6"/>
  <c r="G45" i="6" s="1"/>
  <c r="L45" i="6" s="1"/>
  <c r="F46" i="6"/>
  <c r="G46" i="6" s="1"/>
  <c r="L46" i="6" s="1"/>
  <c r="G2" i="6"/>
  <c r="H2" i="6" s="1"/>
  <c r="M2" i="6" s="1"/>
  <c r="P2" i="6"/>
  <c r="P3" i="6"/>
  <c r="P4" i="6"/>
  <c r="P5" i="6"/>
  <c r="O43" i="6"/>
  <c r="O44" i="6"/>
  <c r="O45" i="6"/>
  <c r="O46" i="6"/>
  <c r="R2" i="6" l="1"/>
  <c r="Q12" i="7"/>
  <c r="Q13" i="7"/>
  <c r="W15" i="9"/>
  <c r="W14" i="9"/>
  <c r="G13" i="9"/>
  <c r="G16" i="9"/>
  <c r="T2" i="6"/>
  <c r="Q5" i="9"/>
  <c r="Q3" i="9"/>
  <c r="Q4" i="9"/>
  <c r="Q2" i="9"/>
  <c r="Q3" i="4"/>
  <c r="Q5" i="4"/>
  <c r="Q4" i="4"/>
  <c r="Q2" i="4"/>
  <c r="Q2" i="7"/>
  <c r="W16" i="9" l="1"/>
  <c r="W13" i="9"/>
</calcChain>
</file>

<file path=xl/sharedStrings.xml><?xml version="1.0" encoding="utf-8"?>
<sst xmlns="http://schemas.openxmlformats.org/spreadsheetml/2006/main" count="461" uniqueCount="132">
  <si>
    <t>nompi</t>
  </si>
  <si>
    <t xml:space="preserve">mpi 2*2 </t>
  </si>
  <si>
    <t>RK</t>
  </si>
  <si>
    <t>IMPLICIT1D</t>
  </si>
  <si>
    <t>IMPLICIT</t>
  </si>
  <si>
    <t>passed</t>
  </si>
  <si>
    <t>IMPLICIT_P2</t>
  </si>
  <si>
    <t>duct</t>
  </si>
  <si>
    <t>channel, two walls</t>
  </si>
  <si>
    <t>duct, four walls</t>
  </si>
  <si>
    <t>u profiles along y and z are a bit different. I do not solve it, since the implicit mode does not support NN in x and y. If DD is used in the y direction, y and z profiles are the same</t>
  </si>
  <si>
    <t>exp</t>
  </si>
  <si>
    <t>NN</t>
  </si>
  <si>
    <t>imp1d</t>
  </si>
  <si>
    <t>symmetric</t>
  </si>
  <si>
    <t>MM</t>
  </si>
  <si>
    <t>non-symmetric</t>
  </si>
  <si>
    <t>MM+fixed wall model+bcvel0</t>
  </si>
  <si>
    <t>MM+fixed wall model+bcvel600</t>
  </si>
  <si>
    <t>name</t>
  </si>
  <si>
    <t>kind</t>
  </si>
  <si>
    <t>dimension</t>
  </si>
  <si>
    <t>explanation</t>
  </si>
  <si>
    <t>hwm</t>
  </si>
  <si>
    <t>Reb</t>
  </si>
  <si>
    <t>Retau</t>
  </si>
  <si>
    <t>Mesh</t>
  </si>
  <si>
    <t>Domain</t>
  </si>
  <si>
    <t>CFR</t>
  </si>
  <si>
    <t>CFR/CPG</t>
  </si>
  <si>
    <t>Retau_dns</t>
  </si>
  <si>
    <t>Cf</t>
  </si>
  <si>
    <t>Cf_dns</t>
  </si>
  <si>
    <t>Relative error</t>
  </si>
  <si>
    <t>#ETT averaging</t>
  </si>
  <si>
    <t>dx</t>
  </si>
  <si>
    <t>dy</t>
  </si>
  <si>
    <t>avoid MPI_ALLREDUCE(MPI_SUM) and use -O0 when comparing the results from different numbers of MPI tasks</t>
  </si>
  <si>
    <t>debug, CFR, different in force
opt, CFR, different in force
debug, CPG, exactly the same
opt, CPG, different in mean velocity</t>
  </si>
  <si>
    <t>12.8×4.8×2.0</t>
  </si>
  <si>
    <t>stretching</t>
  </si>
  <si>
    <t>128×48×32</t>
  </si>
  <si>
    <t>AR=dx/dy</t>
  </si>
  <si>
    <t>192×72×48</t>
  </si>
  <si>
    <t>256×96×64</t>
  </si>
  <si>
    <t>384×144×96</t>
  </si>
  <si>
    <t>64×48×32</t>
  </si>
  <si>
    <t>96×72×48</t>
  </si>
  <si>
    <t>128×96×64</t>
  </si>
  <si>
    <t>192×144×96</t>
  </si>
  <si>
    <t>Mesh type (z)</t>
  </si>
  <si>
    <t>dz_c=dy</t>
  </si>
  <si>
    <t>dz_w≈dz_c/4</t>
  </si>
  <si>
    <t>#cells</t>
  </si>
  <si>
    <t>dx+</t>
  </si>
  <si>
    <t>dy+</t>
  </si>
  <si>
    <t>dz_w+</t>
  </si>
  <si>
    <t>dz_c+</t>
  </si>
  <si>
    <t>du/dz_dns</t>
  </si>
  <si>
    <t>18.84×6.28×2.0</t>
  </si>
  <si>
    <t>384×256×144</t>
  </si>
  <si>
    <t>natural stretching</t>
  </si>
  <si>
    <t>DNS</t>
  </si>
  <si>
    <t>DNS results "Direct numerical simulation of one-sided forced thermal convection in plane channels". Velocity profiles "Moser, 2015", which will be replaced by the results of Pirozzoli</t>
  </si>
  <si>
    <t>The WMLES results show about 3% difference from the DNS results</t>
  </si>
  <si>
    <t>The results from local machine and newton are EXACTLY the same</t>
  </si>
  <si>
    <t>dx+_dns</t>
  </si>
  <si>
    <t>dy+_dns</t>
  </si>
  <si>
    <t>dz_c+_dns</t>
  </si>
  <si>
    <t>dz_w+_dns</t>
  </si>
  <si>
    <t>NOSP</t>
  </si>
  <si>
    <t>sgs debug</t>
  </si>
  <si>
    <t>visct=0, cross-derivatives  passed</t>
  </si>
  <si>
    <t>test average    passed     zero at walls? Yes</t>
  </si>
  <si>
    <t>all u v w ghost cells are correct  I think yes</t>
  </si>
  <si>
    <t>test inner cell dw_plus and visct using test functions</t>
  </si>
  <si>
    <t>two walls y</t>
  </si>
  <si>
    <t xml:space="preserve">two walls z </t>
  </si>
  <si>
    <t>four walls yz   passed</t>
  </si>
  <si>
    <t>linear variation of velocity   passed</t>
  </si>
  <si>
    <t>chkdt    modified</t>
  </si>
  <si>
    <t>uniform velocity field  visct=0  passed</t>
  </si>
  <si>
    <t>ghost cells/corner edge cells have correct visct values? Yes</t>
  </si>
  <si>
    <t>special treatments of gradients near the wall for WMLES, not needed</t>
  </si>
  <si>
    <t>simplify wall model, done</t>
  </si>
  <si>
    <t>simplify interpolation</t>
  </si>
  <si>
    <r>
      <t>test bound</t>
    </r>
    <r>
      <rPr>
        <sz val="11"/>
        <rFont val="Calibri"/>
        <family val="2"/>
        <scheme val="minor"/>
      </rPr>
      <t xml:space="preserve">   channel, (three directions)</t>
    </r>
    <r>
      <rPr>
        <sz val="11"/>
        <color theme="1"/>
        <rFont val="Calibri"/>
        <family val="2"/>
        <scheme val="minor"/>
      </rPr>
      <t xml:space="preserve"> square duct, lid driven flow   influence of nonuniform grids   no influence</t>
    </r>
  </si>
  <si>
    <t>all ghost values need to be meaningful when using wall model bc's? No, only the points calculated in cmpt_bcuvw</t>
  </si>
  <si>
    <t>4 walls</t>
  </si>
  <si>
    <t>2 walls</t>
  </si>
  <si>
    <t>6 walls</t>
  </si>
  <si>
    <t>pencil_axis &amp; nproc</t>
  </si>
  <si>
    <t>p1&amp;n4</t>
  </si>
  <si>
    <t>p2&amp;n4</t>
  </si>
  <si>
    <t>p3&amp;n4</t>
  </si>
  <si>
    <t>test different n1n2n3  with diff initial bc values</t>
  </si>
  <si>
    <t>ok</t>
  </si>
  <si>
    <t>ok, passed</t>
  </si>
  <si>
    <t>parallel?   Ok</t>
  </si>
  <si>
    <t>add visct bound checkbc. Ok</t>
  </si>
  <si>
    <t>upper bound safe considering interpolation? Yes</t>
  </si>
  <si>
    <t>poisson solver changed? No</t>
  </si>
  <si>
    <t>implicit1d scheme</t>
  </si>
  <si>
    <t>need to recheck the wm bc treatment method, may not need complex treatment of the bc. Should now be the simplest form</t>
  </si>
  <si>
    <t>test using different numbers of cpus if the same results</t>
  </si>
  <si>
    <t>test wall model height info, done by assuming linear distribution of velocity</t>
  </si>
  <si>
    <t>add limitation to domain splitting</t>
  </si>
  <si>
    <t>compute wall distance in preprocessing…</t>
  </si>
  <si>
    <t>compare with main, done</t>
  </si>
  <si>
    <t>square duct</t>
  </si>
  <si>
    <t>lid-driven cavity</t>
  </si>
  <si>
    <t>channel2d</t>
  </si>
  <si>
    <t>channel3d</t>
  </si>
  <si>
    <t>WMLES, laminar, without SGS</t>
  </si>
  <si>
    <t>WMLES, turbulent, with/without SGS</t>
  </si>
  <si>
    <t>DNS, laminar, compare with main</t>
  </si>
  <si>
    <t>test if there should be 12.0 in chkdt. bug</t>
  </si>
  <si>
    <t>same?</t>
  </si>
  <si>
    <t>yes</t>
  </si>
  <si>
    <t>add wall model selection, done</t>
  </si>
  <si>
    <t>WM</t>
  </si>
  <si>
    <t>WM+SMAG</t>
  </si>
  <si>
    <t>modify dims, done</t>
  </si>
  <si>
    <t>test if restart affects the results, no   set icheck=1</t>
  </si>
  <si>
    <t>WM+SMAG+KAP0.4187</t>
  </si>
  <si>
    <t>check added viscous terms, done. only involving non-penetratic bc and ghost bc</t>
  </si>
  <si>
    <t>optimize the wall model speed according to larsson's website</t>
  </si>
  <si>
    <t>compare with Bae's computation</t>
  </si>
  <si>
    <t>why vel changes slowly first</t>
  </si>
  <si>
    <t>influence of dt</t>
  </si>
  <si>
    <t>WM+SMAG+CS0.05</t>
  </si>
  <si>
    <t>WM+SMAG+CS0.2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</si>
</sst>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3"/>
      <charset val="134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2" fillId="0" borderId="0" xfId="0" applyFont="1" applyAlignment="1">
      <alignment horizontal="left"/>
    </xf>
    <xf numFmtId="2" fontId="0" fillId="0" borderId="0" xfId="0" applyNumberFormat="1"/>
    <xf numFmtId="0" fontId="0" fillId="0" borderId="0" xfId="0" applyAlignment="1">
      <alignment horizontal="right"/>
    </xf>
    <xf numFmtId="1" fontId="0" fillId="0" borderId="0" xfId="0" applyNumberFormat="1" applyAlignment="1">
      <alignment horizontal="right"/>
    </xf>
    <xf numFmtId="10" fontId="3" fillId="0" borderId="0" xfId="1" applyNumberFormat="1" applyFont="1"/>
    <xf numFmtId="164" fontId="0" fillId="0" borderId="0" xfId="0" applyNumberFormat="1"/>
    <xf numFmtId="165" fontId="0" fillId="0" borderId="0" xfId="0" applyNumberFormat="1"/>
    <xf numFmtId="10" fontId="0" fillId="0" borderId="0" xfId="1" applyNumberFormat="1" applyFont="1"/>
    <xf numFmtId="0" fontId="0" fillId="0" borderId="0" xfId="0" applyAlignment="1">
      <alignment horizontal="right" indent="1"/>
    </xf>
    <xf numFmtId="164" fontId="0" fillId="0" borderId="0" xfId="0" applyNumberFormat="1" applyAlignment="1">
      <alignment horizontal="right"/>
    </xf>
    <xf numFmtId="2" fontId="0" fillId="0" borderId="0" xfId="0" applyNumberFormat="1" applyAlignment="1">
      <alignment horizontal="right"/>
    </xf>
    <xf numFmtId="11" fontId="0" fillId="0" borderId="0" xfId="0" applyNumberFormat="1"/>
    <xf numFmtId="2" fontId="1" fillId="0" borderId="0" xfId="0" applyNumberFormat="1" applyFont="1"/>
    <xf numFmtId="0" fontId="0" fillId="0" borderId="0" xfId="0" applyAlignment="1">
      <alignment horizontal="left"/>
    </xf>
    <xf numFmtId="1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F17C5-A88B-45BD-B60F-0BA67AB143DF}">
  <dimension ref="A1:E91"/>
  <sheetViews>
    <sheetView tabSelected="1" topLeftCell="A38" zoomScale="70" zoomScaleNormal="70" workbookViewId="0">
      <selection activeCell="B56" sqref="B56"/>
    </sheetView>
  </sheetViews>
  <sheetFormatPr defaultRowHeight="14.5"/>
  <cols>
    <col min="1" max="1" width="43.26953125" customWidth="1"/>
    <col min="2" max="2" width="98.1796875" customWidth="1"/>
    <col min="3" max="3" width="20.81640625" customWidth="1"/>
    <col min="4" max="4" width="38.26953125" customWidth="1"/>
    <col min="5" max="5" width="28.54296875" customWidth="1"/>
    <col min="6" max="6" width="14.90625" customWidth="1"/>
  </cols>
  <sheetData>
    <row r="1" spans="1:5">
      <c r="A1" t="s">
        <v>8</v>
      </c>
      <c r="B1" t="s">
        <v>2</v>
      </c>
      <c r="C1" t="s">
        <v>0</v>
      </c>
      <c r="D1" t="s">
        <v>5</v>
      </c>
    </row>
    <row r="2" spans="1:5">
      <c r="B2" t="s">
        <v>4</v>
      </c>
      <c r="C2" t="s">
        <v>0</v>
      </c>
      <c r="D2" t="s">
        <v>5</v>
      </c>
    </row>
    <row r="3" spans="1:5">
      <c r="B3" t="s">
        <v>3</v>
      </c>
      <c r="C3" t="s">
        <v>0</v>
      </c>
      <c r="D3" t="s">
        <v>5</v>
      </c>
    </row>
    <row r="4" spans="1:5">
      <c r="B4" t="s">
        <v>6</v>
      </c>
      <c r="C4" t="s">
        <v>0</v>
      </c>
      <c r="D4" t="s">
        <v>5</v>
      </c>
    </row>
    <row r="5" spans="1:5">
      <c r="B5" t="s">
        <v>2</v>
      </c>
      <c r="C5" t="s">
        <v>1</v>
      </c>
      <c r="D5" t="s">
        <v>5</v>
      </c>
    </row>
    <row r="6" spans="1:5">
      <c r="B6" t="s">
        <v>4</v>
      </c>
      <c r="C6" t="s">
        <v>1</v>
      </c>
      <c r="D6" t="s">
        <v>5</v>
      </c>
    </row>
    <row r="7" spans="1:5">
      <c r="B7" t="s">
        <v>3</v>
      </c>
      <c r="C7" t="s">
        <v>1</v>
      </c>
      <c r="D7" t="s">
        <v>5</v>
      </c>
    </row>
    <row r="8" spans="1:5">
      <c r="B8" t="s">
        <v>6</v>
      </c>
      <c r="C8" t="s">
        <v>1</v>
      </c>
      <c r="D8" t="s">
        <v>5</v>
      </c>
    </row>
    <row r="10" spans="1:5">
      <c r="A10" t="s">
        <v>9</v>
      </c>
      <c r="B10" t="s">
        <v>2</v>
      </c>
      <c r="C10" t="s">
        <v>0</v>
      </c>
      <c r="D10" t="s">
        <v>5</v>
      </c>
    </row>
    <row r="11" spans="1:5">
      <c r="B11" t="s">
        <v>4</v>
      </c>
      <c r="C11" t="s">
        <v>0</v>
      </c>
      <c r="D11" t="s">
        <v>5</v>
      </c>
    </row>
    <row r="12" spans="1:5" ht="13.75" customHeight="1">
      <c r="B12" t="s">
        <v>3</v>
      </c>
      <c r="C12" t="s">
        <v>0</v>
      </c>
      <c r="D12" t="s">
        <v>5</v>
      </c>
      <c r="E12" s="1" t="s">
        <v>10</v>
      </c>
    </row>
    <row r="13" spans="1:5">
      <c r="B13" t="s">
        <v>6</v>
      </c>
      <c r="C13" t="s">
        <v>0</v>
      </c>
      <c r="D13" t="s">
        <v>5</v>
      </c>
    </row>
    <row r="14" spans="1:5">
      <c r="B14" t="s">
        <v>2</v>
      </c>
      <c r="C14" t="s">
        <v>1</v>
      </c>
      <c r="D14" t="s">
        <v>5</v>
      </c>
    </row>
    <row r="15" spans="1:5">
      <c r="B15" t="s">
        <v>4</v>
      </c>
      <c r="C15" t="s">
        <v>1</v>
      </c>
      <c r="D15" t="s">
        <v>5</v>
      </c>
    </row>
    <row r="16" spans="1:5" ht="87">
      <c r="B16" t="s">
        <v>3</v>
      </c>
      <c r="C16" t="s">
        <v>1</v>
      </c>
      <c r="D16" t="s">
        <v>5</v>
      </c>
      <c r="E16" s="1" t="s">
        <v>10</v>
      </c>
    </row>
    <row r="17" spans="1:5">
      <c r="B17" t="s">
        <v>6</v>
      </c>
      <c r="C17" t="s">
        <v>1</v>
      </c>
      <c r="D17" t="s">
        <v>5</v>
      </c>
    </row>
    <row r="20" spans="1:5">
      <c r="A20" t="s">
        <v>7</v>
      </c>
    </row>
    <row r="21" spans="1:5">
      <c r="A21" t="s">
        <v>13</v>
      </c>
      <c r="B21" t="s">
        <v>12</v>
      </c>
      <c r="C21" t="s">
        <v>14</v>
      </c>
    </row>
    <row r="22" spans="1:5">
      <c r="A22" t="s">
        <v>11</v>
      </c>
      <c r="B22" t="s">
        <v>12</v>
      </c>
      <c r="C22" t="s">
        <v>14</v>
      </c>
    </row>
    <row r="23" spans="1:5">
      <c r="A23" t="s">
        <v>11</v>
      </c>
      <c r="B23" t="s">
        <v>15</v>
      </c>
      <c r="C23" t="s">
        <v>14</v>
      </c>
      <c r="E23" s="2"/>
    </row>
    <row r="24" spans="1:5">
      <c r="A24" s="2" t="s">
        <v>13</v>
      </c>
      <c r="B24" s="2" t="s">
        <v>17</v>
      </c>
      <c r="C24" s="2" t="s">
        <v>16</v>
      </c>
      <c r="D24" s="2"/>
    </row>
    <row r="25" spans="1:5">
      <c r="A25" s="2" t="s">
        <v>13</v>
      </c>
      <c r="B25" s="2" t="s">
        <v>18</v>
      </c>
      <c r="C25" s="2" t="s">
        <v>14</v>
      </c>
    </row>
    <row r="29" spans="1:5">
      <c r="A29" t="s">
        <v>71</v>
      </c>
      <c r="B29" t="s">
        <v>82</v>
      </c>
    </row>
    <row r="30" spans="1:5">
      <c r="B30" t="s">
        <v>74</v>
      </c>
    </row>
    <row r="31" spans="1:5">
      <c r="B31" t="s">
        <v>73</v>
      </c>
    </row>
    <row r="32" spans="1:5">
      <c r="B32" t="s">
        <v>72</v>
      </c>
    </row>
    <row r="33" spans="2:2">
      <c r="B33" t="s">
        <v>75</v>
      </c>
    </row>
    <row r="34" spans="2:2">
      <c r="B34" t="s">
        <v>77</v>
      </c>
    </row>
    <row r="35" spans="2:2">
      <c r="B35" t="s">
        <v>76</v>
      </c>
    </row>
    <row r="36" spans="2:2">
      <c r="B36" t="s">
        <v>78</v>
      </c>
    </row>
    <row r="38" spans="2:2">
      <c r="B38" t="s">
        <v>81</v>
      </c>
    </row>
    <row r="39" spans="2:2">
      <c r="B39" t="s">
        <v>79</v>
      </c>
    </row>
    <row r="41" spans="2:2">
      <c r="B41" t="s">
        <v>80</v>
      </c>
    </row>
    <row r="42" spans="2:2">
      <c r="B42" t="s">
        <v>83</v>
      </c>
    </row>
    <row r="43" spans="2:2">
      <c r="B43" t="s">
        <v>103</v>
      </c>
    </row>
    <row r="44" spans="2:2">
      <c r="B44" t="s">
        <v>84</v>
      </c>
    </row>
    <row r="46" spans="2:2">
      <c r="B46" t="s">
        <v>104</v>
      </c>
    </row>
    <row r="47" spans="2:2">
      <c r="B47" t="s">
        <v>106</v>
      </c>
    </row>
    <row r="48" spans="2:2">
      <c r="B48" s="2" t="s">
        <v>107</v>
      </c>
    </row>
    <row r="49" spans="2:2">
      <c r="B49" t="s">
        <v>108</v>
      </c>
    </row>
    <row r="50" spans="2:2">
      <c r="B50" t="s">
        <v>116</v>
      </c>
    </row>
    <row r="51" spans="2:2">
      <c r="B51" s="2" t="s">
        <v>102</v>
      </c>
    </row>
    <row r="52" spans="2:2">
      <c r="B52" t="s">
        <v>119</v>
      </c>
    </row>
    <row r="53" spans="2:2">
      <c r="B53" t="s">
        <v>122</v>
      </c>
    </row>
    <row r="54" spans="2:2">
      <c r="B54" t="s">
        <v>123</v>
      </c>
    </row>
    <row r="55" spans="2:2">
      <c r="B55" t="s">
        <v>125</v>
      </c>
    </row>
    <row r="56" spans="2:2">
      <c r="B56" s="2" t="s">
        <v>126</v>
      </c>
    </row>
    <row r="57" spans="2:2">
      <c r="B57" t="s">
        <v>127</v>
      </c>
    </row>
    <row r="58" spans="2:2">
      <c r="B58" t="s">
        <v>128</v>
      </c>
    </row>
    <row r="59" spans="2:2">
      <c r="B59" t="s">
        <v>129</v>
      </c>
    </row>
    <row r="62" spans="2:2">
      <c r="B62" t="s">
        <v>105</v>
      </c>
    </row>
    <row r="64" spans="2:2">
      <c r="B64" t="s">
        <v>85</v>
      </c>
    </row>
    <row r="65" spans="1:4">
      <c r="B65" t="s">
        <v>86</v>
      </c>
    </row>
    <row r="66" spans="1:4">
      <c r="B66" t="s">
        <v>87</v>
      </c>
    </row>
    <row r="67" spans="1:4">
      <c r="B67" t="s">
        <v>98</v>
      </c>
    </row>
    <row r="68" spans="1:4">
      <c r="B68" t="s">
        <v>101</v>
      </c>
    </row>
    <row r="69" spans="1:4">
      <c r="B69" t="s">
        <v>99</v>
      </c>
    </row>
    <row r="70" spans="1:4">
      <c r="B70" t="s">
        <v>100</v>
      </c>
    </row>
    <row r="76" spans="1:4">
      <c r="A76" t="s">
        <v>91</v>
      </c>
      <c r="B76" t="s">
        <v>89</v>
      </c>
      <c r="C76" t="s">
        <v>88</v>
      </c>
      <c r="D76" t="s">
        <v>90</v>
      </c>
    </row>
    <row r="77" spans="1:4">
      <c r="A77" t="s">
        <v>92</v>
      </c>
      <c r="B77" t="s">
        <v>96</v>
      </c>
      <c r="C77" t="s">
        <v>96</v>
      </c>
      <c r="D77" t="s">
        <v>96</v>
      </c>
    </row>
    <row r="78" spans="1:4">
      <c r="A78" s="16" t="s">
        <v>93</v>
      </c>
      <c r="B78" t="s">
        <v>96</v>
      </c>
      <c r="C78" t="s">
        <v>96</v>
      </c>
      <c r="D78" t="s">
        <v>96</v>
      </c>
    </row>
    <row r="79" spans="1:4">
      <c r="A79" s="16" t="s">
        <v>94</v>
      </c>
      <c r="B79" t="s">
        <v>96</v>
      </c>
      <c r="C79" t="s">
        <v>96</v>
      </c>
      <c r="D79" t="s">
        <v>96</v>
      </c>
    </row>
    <row r="80" spans="1:4">
      <c r="A80" t="s">
        <v>95</v>
      </c>
      <c r="B80" t="s">
        <v>97</v>
      </c>
    </row>
    <row r="83" spans="1:3">
      <c r="C83" t="s">
        <v>117</v>
      </c>
    </row>
    <row r="84" spans="1:3">
      <c r="A84" t="s">
        <v>115</v>
      </c>
      <c r="B84" t="s">
        <v>111</v>
      </c>
      <c r="C84" t="s">
        <v>118</v>
      </c>
    </row>
    <row r="85" spans="1:3">
      <c r="B85" t="s">
        <v>109</v>
      </c>
      <c r="C85" t="s">
        <v>118</v>
      </c>
    </row>
    <row r="86" spans="1:3">
      <c r="B86" t="s">
        <v>110</v>
      </c>
      <c r="C86" t="s">
        <v>118</v>
      </c>
    </row>
    <row r="87" spans="1:3">
      <c r="B87" t="s">
        <v>112</v>
      </c>
      <c r="C87" t="s">
        <v>118</v>
      </c>
    </row>
    <row r="89" spans="1:3">
      <c r="A89" t="s">
        <v>113</v>
      </c>
      <c r="B89" t="s">
        <v>111</v>
      </c>
      <c r="C89" t="s">
        <v>118</v>
      </c>
    </row>
    <row r="91" spans="1:3">
      <c r="A91" t="s">
        <v>114</v>
      </c>
      <c r="B91" t="s">
        <v>111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B825A-8F5D-4559-BC02-F7413FCCDF08}">
  <dimension ref="A1:W34"/>
  <sheetViews>
    <sheetView zoomScale="70" zoomScaleNormal="70" workbookViewId="0">
      <selection activeCell="I47" sqref="I47"/>
    </sheetView>
  </sheetViews>
  <sheetFormatPr defaultRowHeight="14.5"/>
  <cols>
    <col min="2" max="2" width="15.6328125" customWidth="1"/>
    <col min="3" max="3" width="13" customWidth="1"/>
    <col min="4" max="4" width="11.08984375" customWidth="1"/>
    <col min="5" max="5" width="11.36328125" customWidth="1"/>
    <col min="6" max="6" width="14.26953125" customWidth="1"/>
    <col min="7" max="7" width="11.90625" customWidth="1"/>
    <col min="8" max="8" width="12.26953125" customWidth="1"/>
    <col min="9" max="9" width="20.7265625" customWidth="1"/>
    <col min="12" max="12" width="10" customWidth="1"/>
    <col min="13" max="13" width="10.90625" customWidth="1"/>
    <col min="17" max="17" width="14.08984375" customWidth="1"/>
    <col min="18" max="18" width="16.08984375" customWidth="1"/>
    <col min="19" max="19" width="13" customWidth="1"/>
    <col min="20" max="20" width="12.1796875" customWidth="1"/>
    <col min="21" max="21" width="11.7265625" customWidth="1"/>
    <col min="22" max="22" width="13" customWidth="1"/>
    <col min="23" max="23" width="13.36328125" customWidth="1"/>
  </cols>
  <sheetData>
    <row r="1" spans="1:23">
      <c r="A1" s="5" t="s">
        <v>24</v>
      </c>
      <c r="B1" s="5" t="s">
        <v>27</v>
      </c>
      <c r="C1" s="5" t="s">
        <v>26</v>
      </c>
      <c r="D1" s="5" t="s">
        <v>35</v>
      </c>
      <c r="E1" s="5" t="s">
        <v>36</v>
      </c>
      <c r="F1" s="5" t="s">
        <v>51</v>
      </c>
      <c r="G1" s="5" t="s">
        <v>52</v>
      </c>
      <c r="H1" s="5" t="s">
        <v>42</v>
      </c>
      <c r="I1" s="5" t="s">
        <v>50</v>
      </c>
      <c r="J1" s="5" t="s">
        <v>29</v>
      </c>
      <c r="K1" s="5" t="s">
        <v>23</v>
      </c>
      <c r="L1" s="5" t="s">
        <v>53</v>
      </c>
      <c r="M1" s="5" t="s">
        <v>30</v>
      </c>
      <c r="N1" s="5" t="s">
        <v>25</v>
      </c>
      <c r="O1" s="5" t="s">
        <v>32</v>
      </c>
      <c r="P1" s="5" t="s">
        <v>31</v>
      </c>
      <c r="Q1" s="5" t="s">
        <v>33</v>
      </c>
      <c r="R1" s="5" t="s">
        <v>34</v>
      </c>
      <c r="S1" s="5" t="s">
        <v>58</v>
      </c>
      <c r="T1" s="5" t="s">
        <v>66</v>
      </c>
      <c r="U1" s="5" t="s">
        <v>67</v>
      </c>
      <c r="V1" s="5" t="s">
        <v>68</v>
      </c>
      <c r="W1" s="5" t="s">
        <v>69</v>
      </c>
    </row>
    <row r="2" spans="1:23">
      <c r="A2" s="5">
        <v>5714</v>
      </c>
      <c r="B2" s="5" t="s">
        <v>39</v>
      </c>
      <c r="C2" s="5" t="s">
        <v>41</v>
      </c>
      <c r="D2" s="5">
        <v>0.1</v>
      </c>
      <c r="E2" s="5">
        <v>0.1</v>
      </c>
      <c r="F2">
        <f>E2</f>
        <v>0.1</v>
      </c>
      <c r="G2" s="5">
        <f>0.25*F2</f>
        <v>2.5000000000000001E-2</v>
      </c>
      <c r="H2" s="5">
        <v>1</v>
      </c>
      <c r="I2" s="5" t="s">
        <v>40</v>
      </c>
      <c r="J2" s="5" t="s">
        <v>28</v>
      </c>
      <c r="K2">
        <v>0.1</v>
      </c>
      <c r="L2" s="8">
        <f>K2/G2</f>
        <v>4</v>
      </c>
      <c r="M2" s="13">
        <v>180.601843765257</v>
      </c>
      <c r="N2" s="4">
        <v>179.99818440102101</v>
      </c>
      <c r="O2">
        <f>8*(M2/A2)^2</f>
        <v>7.9919705400696046E-3</v>
      </c>
      <c r="P2" s="9">
        <f>8*(N2/A2)^2</f>
        <v>7.9386337085019347E-3</v>
      </c>
      <c r="Q2" s="10">
        <f>(P2-O2)/O2</f>
        <v>-6.6738023245022388E-3</v>
      </c>
      <c r="R2" s="8">
        <f>100*2*N2/A2</f>
        <v>6.3002514666090654</v>
      </c>
      <c r="S2" s="4">
        <f>A2/4*O2</f>
        <v>11.416529916489431</v>
      </c>
      <c r="T2" s="8">
        <f>D2*M2</f>
        <v>18.060184376525701</v>
      </c>
      <c r="U2" s="8">
        <f>E2*N2</f>
        <v>17.9998184401021</v>
      </c>
      <c r="V2" s="8">
        <f>F2*M2</f>
        <v>18.060184376525701</v>
      </c>
      <c r="W2" s="4">
        <f>G2*M2</f>
        <v>4.5150460941314252</v>
      </c>
    </row>
    <row r="3" spans="1:23">
      <c r="A3" s="5">
        <v>5714</v>
      </c>
      <c r="B3" s="5" t="s">
        <v>39</v>
      </c>
      <c r="C3" s="5" t="s">
        <v>43</v>
      </c>
      <c r="D3" s="5">
        <v>6.7000000000000004E-2</v>
      </c>
      <c r="E3" s="5">
        <v>6.7000000000000004E-2</v>
      </c>
      <c r="F3">
        <f>E3</f>
        <v>6.7000000000000004E-2</v>
      </c>
      <c r="G3" s="5">
        <f>0.25*F3</f>
        <v>1.6750000000000001E-2</v>
      </c>
      <c r="H3" s="5">
        <v>1</v>
      </c>
      <c r="I3" s="5" t="s">
        <v>40</v>
      </c>
      <c r="J3" s="5" t="s">
        <v>28</v>
      </c>
      <c r="K3">
        <v>0.1</v>
      </c>
      <c r="L3" s="8">
        <f t="shared" ref="L3:L5" si="0">K3/G3</f>
        <v>5.9701492537313436</v>
      </c>
      <c r="M3" s="13">
        <v>180.601843765257</v>
      </c>
      <c r="N3" s="4">
        <v>182.74010750150001</v>
      </c>
      <c r="O3">
        <f>8*(M3/A3)^2</f>
        <v>7.9919705400696046E-3</v>
      </c>
      <c r="P3" s="9">
        <f t="shared" ref="P3:P6" si="1">8*(N3/A3)^2</f>
        <v>8.1823352010309113E-3</v>
      </c>
      <c r="Q3" s="10">
        <f t="shared" ref="Q3:Q6" si="2">(P3-O3)/O3</f>
        <v>2.3819489825052425E-2</v>
      </c>
      <c r="R3" s="8">
        <f t="shared" ref="R3:R6" si="3">100*2*N3/A3</f>
        <v>6.396223573731187</v>
      </c>
      <c r="S3" s="4">
        <f t="shared" ref="S3:S6" si="4">A3/4*O3</f>
        <v>11.416529916489431</v>
      </c>
      <c r="T3" s="8">
        <f t="shared" ref="T3:T6" si="5">D3*M3</f>
        <v>12.10032353227222</v>
      </c>
      <c r="U3" s="8">
        <f t="shared" ref="U3:U6" si="6">E3*N3</f>
        <v>12.243587202600501</v>
      </c>
      <c r="V3" s="8">
        <f t="shared" ref="V3:V6" si="7">F3*M3</f>
        <v>12.10032353227222</v>
      </c>
      <c r="W3" s="4">
        <f t="shared" ref="W3:W6" si="8">G3*M3</f>
        <v>3.0250808830680551</v>
      </c>
    </row>
    <row r="4" spans="1:23">
      <c r="A4" s="5">
        <v>5714</v>
      </c>
      <c r="B4" s="5" t="s">
        <v>39</v>
      </c>
      <c r="C4" s="5" t="s">
        <v>44</v>
      </c>
      <c r="D4" s="5">
        <v>0.05</v>
      </c>
      <c r="E4" s="5">
        <v>0.05</v>
      </c>
      <c r="F4">
        <f>E4</f>
        <v>0.05</v>
      </c>
      <c r="G4" s="5">
        <f>0.25*F4</f>
        <v>1.2500000000000001E-2</v>
      </c>
      <c r="H4" s="5">
        <v>1</v>
      </c>
      <c r="I4" s="5" t="s">
        <v>40</v>
      </c>
      <c r="J4" s="5" t="s">
        <v>28</v>
      </c>
      <c r="K4">
        <v>0.1</v>
      </c>
      <c r="L4" s="8">
        <f t="shared" si="0"/>
        <v>8</v>
      </c>
      <c r="M4" s="13">
        <v>180.601843765257</v>
      </c>
      <c r="N4" s="4">
        <v>183.383339658707</v>
      </c>
      <c r="O4">
        <f>8*(M4/A4)^2</f>
        <v>7.9919705400696046E-3</v>
      </c>
      <c r="P4" s="9">
        <f t="shared" si="1"/>
        <v>8.2400390530784837E-3</v>
      </c>
      <c r="Q4" s="10">
        <f t="shared" si="2"/>
        <v>3.1039718147749643E-2</v>
      </c>
      <c r="R4" s="8">
        <f t="shared" si="3"/>
        <v>6.4187378249459925</v>
      </c>
      <c r="S4" s="4">
        <f t="shared" si="4"/>
        <v>11.416529916489431</v>
      </c>
      <c r="T4" s="8">
        <f t="shared" si="5"/>
        <v>9.0300921882628504</v>
      </c>
      <c r="U4" s="8">
        <f t="shared" si="6"/>
        <v>9.1691669829353497</v>
      </c>
      <c r="V4" s="8">
        <f t="shared" si="7"/>
        <v>9.0300921882628504</v>
      </c>
      <c r="W4" s="4">
        <f t="shared" si="8"/>
        <v>2.2575230470657126</v>
      </c>
    </row>
    <row r="5" spans="1:23">
      <c r="A5" s="5">
        <v>5714</v>
      </c>
      <c r="B5" s="5" t="s">
        <v>39</v>
      </c>
      <c r="C5" s="5" t="s">
        <v>45</v>
      </c>
      <c r="D5" s="5">
        <v>3.3000000000000002E-2</v>
      </c>
      <c r="E5" s="5">
        <v>3.3000000000000002E-2</v>
      </c>
      <c r="F5">
        <f>E5</f>
        <v>3.3000000000000002E-2</v>
      </c>
      <c r="G5" s="5">
        <f>0.25*F5</f>
        <v>8.2500000000000004E-3</v>
      </c>
      <c r="H5" s="5">
        <v>1</v>
      </c>
      <c r="I5" s="5" t="s">
        <v>40</v>
      </c>
      <c r="J5" s="5" t="s">
        <v>28</v>
      </c>
      <c r="K5">
        <v>0.1</v>
      </c>
      <c r="L5" s="8">
        <f t="shared" si="0"/>
        <v>12.121212121212121</v>
      </c>
      <c r="M5" s="13">
        <v>180.601843765257</v>
      </c>
      <c r="N5" s="4">
        <v>183.668368577509</v>
      </c>
      <c r="O5">
        <f>8*(M5/A5)^2</f>
        <v>7.9919705400696046E-3</v>
      </c>
      <c r="P5" s="9">
        <f t="shared" si="1"/>
        <v>8.2656736025973811E-3</v>
      </c>
      <c r="Q5" s="10">
        <f t="shared" si="2"/>
        <v>3.4247256187382384E-2</v>
      </c>
      <c r="R5" s="8">
        <f t="shared" si="3"/>
        <v>6.4287143359296115</v>
      </c>
      <c r="S5" s="4">
        <f t="shared" si="4"/>
        <v>11.416529916489431</v>
      </c>
      <c r="T5" s="8">
        <f t="shared" si="5"/>
        <v>5.9598608442534813</v>
      </c>
      <c r="U5" s="8">
        <f t="shared" si="6"/>
        <v>6.0610561630577973</v>
      </c>
      <c r="V5" s="8">
        <f t="shared" si="7"/>
        <v>5.9598608442534813</v>
      </c>
      <c r="W5" s="4">
        <f t="shared" si="8"/>
        <v>1.4899652110633703</v>
      </c>
    </row>
    <row r="6" spans="1:23">
      <c r="A6" s="5">
        <v>5714</v>
      </c>
      <c r="B6" s="5" t="s">
        <v>59</v>
      </c>
      <c r="C6" s="5" t="s">
        <v>60</v>
      </c>
      <c r="D6">
        <f>18.84/384</f>
        <v>4.9062500000000002E-2</v>
      </c>
      <c r="E6">
        <f>6.28/256</f>
        <v>2.4531250000000001E-2</v>
      </c>
      <c r="F6" s="14">
        <v>2.2990199999999999E-2</v>
      </c>
      <c r="G6" s="14">
        <v>1.5090470000000001E-4</v>
      </c>
      <c r="H6" s="5">
        <f>D6/E6</f>
        <v>2</v>
      </c>
      <c r="I6" s="5" t="s">
        <v>61</v>
      </c>
      <c r="J6" s="5" t="s">
        <v>28</v>
      </c>
      <c r="K6">
        <v>0.1</v>
      </c>
      <c r="L6" s="8">
        <f>K6/G6</f>
        <v>662.66988370806212</v>
      </c>
      <c r="M6" s="13">
        <v>180.601843765257</v>
      </c>
      <c r="N6" s="4">
        <v>183.51840919111899</v>
      </c>
      <c r="O6">
        <f>8*(M6/A6)^2</f>
        <v>7.9919705400696046E-3</v>
      </c>
      <c r="P6" s="9">
        <f t="shared" si="1"/>
        <v>8.2521817929983986E-3</v>
      </c>
      <c r="Q6" s="10">
        <f t="shared" si="2"/>
        <v>3.2559085600248942E-2</v>
      </c>
      <c r="R6" s="8">
        <f t="shared" si="3"/>
        <v>6.4234654949639127</v>
      </c>
      <c r="S6" s="4">
        <f t="shared" si="4"/>
        <v>11.416529916489431</v>
      </c>
      <c r="T6" s="8">
        <f t="shared" si="5"/>
        <v>8.8607779597329213</v>
      </c>
      <c r="U6" s="8">
        <f t="shared" si="6"/>
        <v>4.501935975469638</v>
      </c>
      <c r="V6" s="8">
        <f t="shared" si="7"/>
        <v>4.1520725085320116</v>
      </c>
      <c r="W6" s="4">
        <f t="shared" si="8"/>
        <v>2.7253667052842979E-2</v>
      </c>
    </row>
    <row r="12" spans="1:23">
      <c r="A12" s="5" t="s">
        <v>70</v>
      </c>
    </row>
    <row r="13" spans="1:23">
      <c r="A13" s="5">
        <v>5714</v>
      </c>
      <c r="B13" s="5" t="s">
        <v>39</v>
      </c>
      <c r="C13" s="5" t="s">
        <v>41</v>
      </c>
      <c r="D13" s="5">
        <v>0.1</v>
      </c>
      <c r="E13" s="5">
        <v>0.1</v>
      </c>
      <c r="F13">
        <f>E13</f>
        <v>0.1</v>
      </c>
      <c r="G13" s="5">
        <f>0.25*F13</f>
        <v>2.5000000000000001E-2</v>
      </c>
      <c r="H13" s="5">
        <v>1</v>
      </c>
      <c r="I13" s="5" t="s">
        <v>40</v>
      </c>
      <c r="J13" s="5" t="s">
        <v>28</v>
      </c>
      <c r="K13">
        <v>0</v>
      </c>
      <c r="L13" s="8">
        <v>0</v>
      </c>
      <c r="M13" s="13">
        <v>180.601843765257</v>
      </c>
      <c r="N13" s="4">
        <v>181.51132402826201</v>
      </c>
      <c r="O13">
        <f>8*(M13/A13)^2</f>
        <v>7.9919705400696046E-3</v>
      </c>
      <c r="P13" s="9">
        <f>8*(N13/A13)^2</f>
        <v>8.0726656302520777E-3</v>
      </c>
      <c r="Q13" s="10">
        <f>(P13-O13)/O13</f>
        <v>1.0097020475474653E-2</v>
      </c>
      <c r="R13" s="8">
        <f>100*2*N13/A13</f>
        <v>6.3532140016892553</v>
      </c>
      <c r="S13" s="4">
        <f>A13/4*O13</f>
        <v>11.416529916489431</v>
      </c>
      <c r="T13" s="8">
        <f>D13*M13</f>
        <v>18.060184376525701</v>
      </c>
      <c r="U13" s="8">
        <f>E13*N13</f>
        <v>18.151132402826203</v>
      </c>
      <c r="V13" s="8">
        <f>F13*M13</f>
        <v>18.060184376525701</v>
      </c>
      <c r="W13" s="8">
        <f>G13*M13</f>
        <v>4.5150460941314252</v>
      </c>
    </row>
    <row r="14" spans="1:23">
      <c r="A14" s="5">
        <v>5714</v>
      </c>
      <c r="B14" s="5" t="s">
        <v>39</v>
      </c>
      <c r="C14" s="5" t="s">
        <v>43</v>
      </c>
      <c r="D14" s="5">
        <v>6.7000000000000004E-2</v>
      </c>
      <c r="E14" s="5">
        <v>6.7000000000000004E-2</v>
      </c>
      <c r="F14">
        <f>E14</f>
        <v>6.7000000000000004E-2</v>
      </c>
      <c r="G14" s="5">
        <f>0.25*F14</f>
        <v>1.6750000000000001E-2</v>
      </c>
      <c r="H14" s="5">
        <v>1</v>
      </c>
      <c r="I14" s="5" t="s">
        <v>40</v>
      </c>
      <c r="J14" s="5" t="s">
        <v>28</v>
      </c>
      <c r="K14">
        <v>0</v>
      </c>
      <c r="L14" s="8">
        <v>0</v>
      </c>
      <c r="M14" s="13">
        <v>180.601843765257</v>
      </c>
      <c r="N14" s="4">
        <v>182.633280201991</v>
      </c>
      <c r="O14">
        <f>8*(M14/A14)^2</f>
        <v>7.9919705400696046E-3</v>
      </c>
      <c r="P14" s="9">
        <f t="shared" ref="P14:P16" si="9">8*(N14/A14)^2</f>
        <v>8.1727714408602013E-3</v>
      </c>
      <c r="Q14" s="10">
        <f t="shared" ref="Q14:Q16" si="10">(P14-O14)/O14</f>
        <v>2.2622818725883596E-2</v>
      </c>
      <c r="R14" s="8">
        <f t="shared" ref="R14:R16" si="11">100*2*N14/A14</f>
        <v>6.3924844312912494</v>
      </c>
      <c r="S14" s="4">
        <f t="shared" ref="S14:S16" si="12">A14/4*O14</f>
        <v>11.416529916489431</v>
      </c>
      <c r="T14" s="8">
        <f t="shared" ref="T14:T16" si="13">D14*M14</f>
        <v>12.10032353227222</v>
      </c>
      <c r="U14" s="8">
        <f t="shared" ref="U14:U16" si="14">E14*N14</f>
        <v>12.236429773533398</v>
      </c>
      <c r="V14" s="8">
        <f t="shared" ref="V14:V16" si="15">F14*M14</f>
        <v>12.10032353227222</v>
      </c>
      <c r="W14" s="8">
        <f t="shared" ref="W14:W16" si="16">G14*M14</f>
        <v>3.0250808830680551</v>
      </c>
    </row>
    <row r="15" spans="1:23">
      <c r="A15" s="5">
        <v>5714</v>
      </c>
      <c r="B15" s="5" t="s">
        <v>39</v>
      </c>
      <c r="C15" s="5" t="s">
        <v>44</v>
      </c>
      <c r="D15" s="5">
        <v>0.05</v>
      </c>
      <c r="E15" s="5">
        <v>0.05</v>
      </c>
      <c r="F15">
        <f>E15</f>
        <v>0.05</v>
      </c>
      <c r="G15" s="5">
        <f>0.25*F15</f>
        <v>1.2500000000000001E-2</v>
      </c>
      <c r="H15" s="5">
        <v>1</v>
      </c>
      <c r="I15" s="5" t="s">
        <v>40</v>
      </c>
      <c r="J15" s="5" t="s">
        <v>28</v>
      </c>
      <c r="K15">
        <v>0</v>
      </c>
      <c r="L15" s="8">
        <v>0</v>
      </c>
      <c r="M15" s="13">
        <v>180.601843765257</v>
      </c>
      <c r="N15" s="4">
        <v>181.289661622458</v>
      </c>
      <c r="O15">
        <f>8*(M15/A15)^2</f>
        <v>7.9919705400696046E-3</v>
      </c>
      <c r="P15" s="9">
        <f t="shared" si="9"/>
        <v>8.0529609217001707E-3</v>
      </c>
      <c r="Q15" s="10">
        <f t="shared" si="10"/>
        <v>7.6314572638595908E-3</v>
      </c>
      <c r="R15" s="8">
        <f t="shared" si="11"/>
        <v>6.3454554295575081</v>
      </c>
      <c r="S15" s="4">
        <f t="shared" si="12"/>
        <v>11.416529916489431</v>
      </c>
      <c r="T15" s="8">
        <f t="shared" si="13"/>
        <v>9.0300921882628504</v>
      </c>
      <c r="U15" s="8">
        <f t="shared" si="14"/>
        <v>9.0644830811228996</v>
      </c>
      <c r="V15" s="8">
        <f t="shared" si="15"/>
        <v>9.0300921882628504</v>
      </c>
      <c r="W15" s="8">
        <f t="shared" si="16"/>
        <v>2.2575230470657126</v>
      </c>
    </row>
    <row r="16" spans="1:23">
      <c r="A16" s="5">
        <v>5714</v>
      </c>
      <c r="B16" s="5" t="s">
        <v>39</v>
      </c>
      <c r="C16" s="5" t="s">
        <v>45</v>
      </c>
      <c r="D16" s="5">
        <v>3.3000000000000002E-2</v>
      </c>
      <c r="E16" s="5">
        <v>3.3000000000000002E-2</v>
      </c>
      <c r="F16">
        <f>E16</f>
        <v>3.3000000000000002E-2</v>
      </c>
      <c r="G16" s="5">
        <f>0.25*F16</f>
        <v>8.2500000000000004E-3</v>
      </c>
      <c r="H16" s="5">
        <v>1</v>
      </c>
      <c r="I16" s="5" t="s">
        <v>40</v>
      </c>
      <c r="J16" s="5" t="s">
        <v>28</v>
      </c>
      <c r="K16">
        <v>0</v>
      </c>
      <c r="L16" s="8">
        <v>0</v>
      </c>
      <c r="M16" s="13">
        <v>180.601843765257</v>
      </c>
      <c r="N16" s="4">
        <v>180.70061309741001</v>
      </c>
      <c r="O16">
        <f>8*(M16/A16)^2</f>
        <v>7.9919705400696046E-3</v>
      </c>
      <c r="P16" s="9">
        <f t="shared" si="9"/>
        <v>8.0007143870129832E-3</v>
      </c>
      <c r="Q16" s="10">
        <f t="shared" si="10"/>
        <v>1.0940789758344649E-3</v>
      </c>
      <c r="R16" s="8">
        <f t="shared" si="11"/>
        <v>6.3248377002943652</v>
      </c>
      <c r="S16" s="4">
        <f t="shared" si="12"/>
        <v>11.416529916489431</v>
      </c>
      <c r="T16" s="8">
        <f t="shared" si="13"/>
        <v>5.9598608442534813</v>
      </c>
      <c r="U16" s="8">
        <f t="shared" si="14"/>
        <v>5.9631202322145311</v>
      </c>
      <c r="V16" s="8">
        <f t="shared" si="15"/>
        <v>5.9598608442534813</v>
      </c>
      <c r="W16" s="8">
        <f t="shared" si="16"/>
        <v>1.4899652110633703</v>
      </c>
    </row>
    <row r="25" spans="1:19">
      <c r="A25" s="5" t="s">
        <v>62</v>
      </c>
    </row>
    <row r="26" spans="1:19">
      <c r="A26" s="5" t="s">
        <v>24</v>
      </c>
      <c r="B26" s="5" t="s">
        <v>27</v>
      </c>
      <c r="C26" s="5" t="s">
        <v>26</v>
      </c>
      <c r="D26" s="5" t="s">
        <v>54</v>
      </c>
      <c r="E26" s="5" t="s">
        <v>55</v>
      </c>
      <c r="F26" s="5" t="s">
        <v>57</v>
      </c>
      <c r="G26" s="5" t="s">
        <v>56</v>
      </c>
      <c r="H26" s="5" t="s">
        <v>42</v>
      </c>
      <c r="I26" s="5" t="s">
        <v>50</v>
      </c>
      <c r="J26" s="5" t="s">
        <v>29</v>
      </c>
      <c r="K26" s="5" t="s">
        <v>23</v>
      </c>
      <c r="L26" s="5" t="s">
        <v>53</v>
      </c>
      <c r="M26" s="5" t="s">
        <v>30</v>
      </c>
      <c r="N26" s="5" t="s">
        <v>25</v>
      </c>
      <c r="O26" s="5" t="s">
        <v>32</v>
      </c>
      <c r="P26" s="5" t="s">
        <v>31</v>
      </c>
      <c r="Q26" s="5" t="s">
        <v>33</v>
      </c>
      <c r="R26" s="5" t="s">
        <v>34</v>
      </c>
      <c r="S26" s="5" t="s">
        <v>58</v>
      </c>
    </row>
    <row r="27" spans="1:19">
      <c r="A27" s="5">
        <v>5714</v>
      </c>
      <c r="B27" s="5" t="s">
        <v>59</v>
      </c>
      <c r="C27" s="5" t="s">
        <v>60</v>
      </c>
      <c r="D27" s="8">
        <f>18.84*M27/384</f>
        <v>8.8607779597329213</v>
      </c>
      <c r="E27" s="8">
        <f>6.28*M27/256</f>
        <v>4.4303889798664606</v>
      </c>
      <c r="F27" s="8">
        <f>0.0229902*M27</f>
        <v>4.1520725085320116</v>
      </c>
      <c r="G27" s="4">
        <f>0.0001509047*M27</f>
        <v>2.7253667052842979E-2</v>
      </c>
      <c r="H27" s="4">
        <f>D27/E27</f>
        <v>2</v>
      </c>
      <c r="I27" s="5" t="s">
        <v>61</v>
      </c>
      <c r="J27" s="11" t="s">
        <v>28</v>
      </c>
      <c r="K27">
        <v>0</v>
      </c>
      <c r="L27">
        <v>0</v>
      </c>
      <c r="M27" s="4">
        <v>180.601843765257</v>
      </c>
      <c r="O27">
        <f>8*(M27/A27)^2</f>
        <v>7.9919705400696046E-3</v>
      </c>
      <c r="S27" s="4">
        <f>2857*O27/2</f>
        <v>11.416529916489431</v>
      </c>
    </row>
    <row r="33" spans="1:1">
      <c r="A33" t="s">
        <v>64</v>
      </c>
    </row>
    <row r="34" spans="1:1">
      <c r="A34" t="s">
        <v>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3DFC1-43AF-4E64-819A-C97D29654F85}">
  <dimension ref="A1:W22"/>
  <sheetViews>
    <sheetView zoomScale="55" zoomScaleNormal="55" workbookViewId="0">
      <selection activeCell="K10" sqref="K10"/>
    </sheetView>
  </sheetViews>
  <sheetFormatPr defaultRowHeight="14.5"/>
  <cols>
    <col min="2" max="2" width="16.81640625" customWidth="1"/>
    <col min="3" max="3" width="14.7265625" customWidth="1"/>
    <col min="6" max="6" width="12.26953125" customWidth="1"/>
    <col min="7" max="7" width="13.1796875" customWidth="1"/>
    <col min="8" max="8" width="12" customWidth="1"/>
    <col min="9" max="9" width="14.08984375" customWidth="1"/>
    <col min="13" max="13" width="10.81640625" customWidth="1"/>
    <col min="15" max="15" width="9.36328125" bestFit="1" customWidth="1"/>
    <col min="17" max="17" width="13.08984375" customWidth="1"/>
    <col min="18" max="18" width="15" customWidth="1"/>
    <col min="19" max="19" width="12.1796875" customWidth="1"/>
    <col min="22" max="22" width="10.7265625" customWidth="1"/>
    <col min="23" max="23" width="11.54296875" customWidth="1"/>
  </cols>
  <sheetData>
    <row r="1" spans="1:23">
      <c r="A1" s="5" t="s">
        <v>24</v>
      </c>
      <c r="B1" s="5" t="s">
        <v>27</v>
      </c>
      <c r="C1" s="5" t="s">
        <v>26</v>
      </c>
      <c r="D1" s="5" t="s">
        <v>35</v>
      </c>
      <c r="E1" s="5" t="s">
        <v>36</v>
      </c>
      <c r="F1" s="5" t="s">
        <v>51</v>
      </c>
      <c r="G1" s="5" t="s">
        <v>52</v>
      </c>
      <c r="H1" s="5" t="s">
        <v>42</v>
      </c>
      <c r="I1" s="5" t="s">
        <v>50</v>
      </c>
      <c r="J1" s="5" t="s">
        <v>29</v>
      </c>
      <c r="K1" s="5" t="s">
        <v>23</v>
      </c>
      <c r="L1" s="5" t="s">
        <v>53</v>
      </c>
      <c r="M1" s="5" t="s">
        <v>30</v>
      </c>
      <c r="N1" s="5" t="s">
        <v>25</v>
      </c>
      <c r="O1" s="5" t="s">
        <v>32</v>
      </c>
      <c r="P1" s="5" t="s">
        <v>31</v>
      </c>
      <c r="Q1" s="5" t="s">
        <v>33</v>
      </c>
      <c r="R1" s="5" t="s">
        <v>34</v>
      </c>
      <c r="S1" s="5" t="s">
        <v>58</v>
      </c>
      <c r="T1" s="5" t="s">
        <v>66</v>
      </c>
      <c r="U1" s="5" t="s">
        <v>67</v>
      </c>
      <c r="V1" s="5" t="s">
        <v>68</v>
      </c>
      <c r="W1" s="5" t="s">
        <v>69</v>
      </c>
    </row>
    <row r="2" spans="1:23">
      <c r="A2" s="5">
        <v>20540</v>
      </c>
      <c r="B2" s="5" t="s">
        <v>39</v>
      </c>
      <c r="C2" s="5" t="s">
        <v>41</v>
      </c>
      <c r="D2" s="5">
        <v>0.1</v>
      </c>
      <c r="E2" s="5">
        <v>0.1</v>
      </c>
      <c r="F2">
        <f>E2</f>
        <v>0.1</v>
      </c>
      <c r="G2" s="5">
        <f>0.25*F2</f>
        <v>2.5000000000000001E-2</v>
      </c>
      <c r="H2" s="5">
        <v>1</v>
      </c>
      <c r="I2" s="5" t="s">
        <v>40</v>
      </c>
      <c r="J2" s="5" t="s">
        <v>28</v>
      </c>
      <c r="K2">
        <v>0.1</v>
      </c>
      <c r="L2" s="8">
        <f>K2/G2</f>
        <v>4</v>
      </c>
      <c r="M2" s="13">
        <v>551.75</v>
      </c>
      <c r="N2" s="4">
        <v>545.78357335980195</v>
      </c>
      <c r="O2" s="9">
        <f>8*(M2/A2)^2</f>
        <v>5.772630931736967E-3</v>
      </c>
      <c r="P2" s="9">
        <f>8*(N2/A2)^2</f>
        <v>5.648459631799151E-3</v>
      </c>
      <c r="Q2" s="10">
        <f>(P2-O2)/O2</f>
        <v>-2.1510347951597404E-2</v>
      </c>
      <c r="R2" s="8">
        <f>200*2*N2/A2</f>
        <v>10.628696657445024</v>
      </c>
      <c r="S2" s="4">
        <f>A2/4*O2</f>
        <v>29.642459834469324</v>
      </c>
      <c r="T2" s="8">
        <f>D2*M2</f>
        <v>55.175000000000004</v>
      </c>
      <c r="U2" s="8">
        <f>E2*M2</f>
        <v>55.175000000000004</v>
      </c>
      <c r="V2" s="8">
        <f>F2*M2</f>
        <v>55.175000000000004</v>
      </c>
      <c r="W2" s="8">
        <f>G2*M2</f>
        <v>13.793750000000001</v>
      </c>
    </row>
    <row r="3" spans="1:23">
      <c r="A3" s="5">
        <v>20540</v>
      </c>
      <c r="B3" s="5" t="s">
        <v>39</v>
      </c>
      <c r="C3" s="5" t="s">
        <v>43</v>
      </c>
      <c r="D3" s="5">
        <v>6.7000000000000004E-2</v>
      </c>
      <c r="E3" s="5">
        <v>6.7000000000000004E-2</v>
      </c>
      <c r="F3">
        <f>E3</f>
        <v>6.7000000000000004E-2</v>
      </c>
      <c r="G3" s="5">
        <f>0.25*F3</f>
        <v>1.6750000000000001E-2</v>
      </c>
      <c r="H3" s="5">
        <v>1</v>
      </c>
      <c r="I3" s="5" t="s">
        <v>40</v>
      </c>
      <c r="J3" s="5" t="s">
        <v>28</v>
      </c>
      <c r="K3">
        <v>0.1</v>
      </c>
      <c r="L3" s="8">
        <f t="shared" ref="L3:L5" si="0">K3/G3</f>
        <v>5.9701492537313436</v>
      </c>
      <c r="M3" s="13">
        <v>551.75</v>
      </c>
      <c r="N3" s="4">
        <v>546.01003637948202</v>
      </c>
      <c r="O3" s="9">
        <f>8*(M3/A3)^2</f>
        <v>5.772630931736967E-3</v>
      </c>
      <c r="P3" s="9">
        <f t="shared" ref="P3:P5" si="1">8*(N3/A3)^2</f>
        <v>5.6531480565552529E-3</v>
      </c>
      <c r="Q3" s="10">
        <f t="shared" ref="Q3:Q5" si="2">(P3-O3)/O3</f>
        <v>-2.0698166329119909E-2</v>
      </c>
      <c r="R3" s="8">
        <f t="shared" ref="R3:R5" si="3">200*2*N3/A3</f>
        <v>10.633106842833145</v>
      </c>
      <c r="S3" s="4">
        <f t="shared" ref="S3:S5" si="4">A3/4*O3</f>
        <v>29.642459834469324</v>
      </c>
      <c r="T3" s="8">
        <f t="shared" ref="T3:T5" si="5">D3*M3</f>
        <v>36.96725</v>
      </c>
      <c r="U3" s="8">
        <f t="shared" ref="U3:U5" si="6">E3*M3</f>
        <v>36.96725</v>
      </c>
      <c r="V3" s="8">
        <f t="shared" ref="V3:V5" si="7">F3*M3</f>
        <v>36.96725</v>
      </c>
      <c r="W3" s="8">
        <f t="shared" ref="W3:W5" si="8">G3*M3</f>
        <v>9.2418125</v>
      </c>
    </row>
    <row r="4" spans="1:23">
      <c r="A4" s="5">
        <v>20540</v>
      </c>
      <c r="B4" s="5" t="s">
        <v>39</v>
      </c>
      <c r="C4" s="5" t="s">
        <v>44</v>
      </c>
      <c r="D4" s="5">
        <v>0.05</v>
      </c>
      <c r="E4" s="5">
        <v>0.05</v>
      </c>
      <c r="F4">
        <f>E4</f>
        <v>0.05</v>
      </c>
      <c r="G4" s="5">
        <f>0.25*F4</f>
        <v>1.2500000000000001E-2</v>
      </c>
      <c r="H4" s="5">
        <v>1</v>
      </c>
      <c r="I4" s="5" t="s">
        <v>40</v>
      </c>
      <c r="J4" s="5" t="s">
        <v>28</v>
      </c>
      <c r="K4">
        <v>0.1</v>
      </c>
      <c r="L4" s="8">
        <f t="shared" si="0"/>
        <v>8</v>
      </c>
      <c r="M4" s="13">
        <v>551.75</v>
      </c>
      <c r="N4" s="4">
        <v>550.69190375916003</v>
      </c>
      <c r="O4" s="9">
        <f>8*(M4/A4)^2</f>
        <v>5.772630931736967E-3</v>
      </c>
      <c r="P4" s="9">
        <f t="shared" si="1"/>
        <v>5.7505117023593354E-3</v>
      </c>
      <c r="Q4" s="10">
        <f t="shared" si="2"/>
        <v>-3.831741477880346E-3</v>
      </c>
      <c r="R4" s="8">
        <f t="shared" si="3"/>
        <v>10.724282449058618</v>
      </c>
      <c r="S4" s="4">
        <f t="shared" si="4"/>
        <v>29.642459834469324</v>
      </c>
      <c r="T4" s="8">
        <f t="shared" si="5"/>
        <v>27.587500000000002</v>
      </c>
      <c r="U4" s="8">
        <f t="shared" si="6"/>
        <v>27.587500000000002</v>
      </c>
      <c r="V4" s="8">
        <f t="shared" si="7"/>
        <v>27.587500000000002</v>
      </c>
      <c r="W4" s="8">
        <f t="shared" si="8"/>
        <v>6.8968750000000005</v>
      </c>
    </row>
    <row r="5" spans="1:23">
      <c r="A5" s="5">
        <v>20540</v>
      </c>
      <c r="B5" s="5" t="s">
        <v>39</v>
      </c>
      <c r="C5" s="5" t="s">
        <v>45</v>
      </c>
      <c r="D5" s="5">
        <v>3.3000000000000002E-2</v>
      </c>
      <c r="E5" s="5">
        <v>3.3000000000000002E-2</v>
      </c>
      <c r="F5">
        <f>E5</f>
        <v>3.3000000000000002E-2</v>
      </c>
      <c r="G5" s="5">
        <f>0.25*F5</f>
        <v>8.2500000000000004E-3</v>
      </c>
      <c r="H5" s="5">
        <v>1</v>
      </c>
      <c r="I5" s="5" t="s">
        <v>40</v>
      </c>
      <c r="J5" s="5" t="s">
        <v>28</v>
      </c>
      <c r="K5">
        <v>0.1</v>
      </c>
      <c r="L5" s="8">
        <f t="shared" si="0"/>
        <v>12.121212121212121</v>
      </c>
      <c r="M5" s="13">
        <v>551.75</v>
      </c>
      <c r="N5" s="4">
        <v>556.05087169541605</v>
      </c>
      <c r="O5" s="9">
        <f>8*(M5/A5)^2</f>
        <v>5.772630931736967E-3</v>
      </c>
      <c r="P5" s="9">
        <f t="shared" si="1"/>
        <v>5.8629765923423373E-3</v>
      </c>
      <c r="Q5" s="10">
        <f t="shared" si="2"/>
        <v>1.5650690590431615E-2</v>
      </c>
      <c r="R5" s="8">
        <f t="shared" si="3"/>
        <v>10.828644044701385</v>
      </c>
      <c r="S5" s="4">
        <f t="shared" si="4"/>
        <v>29.642459834469324</v>
      </c>
      <c r="T5" s="8">
        <f t="shared" si="5"/>
        <v>18.207750000000001</v>
      </c>
      <c r="U5" s="8">
        <f t="shared" si="6"/>
        <v>18.207750000000001</v>
      </c>
      <c r="V5" s="8">
        <f t="shared" si="7"/>
        <v>18.207750000000001</v>
      </c>
      <c r="W5" s="8">
        <f t="shared" si="8"/>
        <v>4.5519375000000002</v>
      </c>
    </row>
    <row r="6" spans="1:23">
      <c r="A6" s="5"/>
      <c r="B6" s="5"/>
      <c r="C6" s="5"/>
      <c r="D6" s="5"/>
      <c r="E6" s="5"/>
      <c r="G6" s="5"/>
      <c r="H6" s="5"/>
      <c r="I6" s="5"/>
      <c r="J6" s="5"/>
      <c r="L6" s="8"/>
      <c r="M6" s="13"/>
      <c r="O6" s="9"/>
      <c r="P6" s="4"/>
    </row>
    <row r="7" spans="1:23">
      <c r="A7" s="5"/>
      <c r="B7" s="5"/>
      <c r="C7" s="5"/>
      <c r="D7" s="5"/>
      <c r="E7" s="5"/>
      <c r="G7" s="5"/>
      <c r="H7" s="5"/>
      <c r="I7" s="5"/>
      <c r="J7" s="5"/>
      <c r="L7" s="8"/>
      <c r="M7" s="13"/>
      <c r="O7" s="9"/>
      <c r="P7" s="4"/>
    </row>
    <row r="8" spans="1:23">
      <c r="A8" s="5"/>
      <c r="B8" s="5"/>
      <c r="C8" s="5"/>
      <c r="D8" s="5"/>
      <c r="E8" s="5"/>
      <c r="G8" s="5"/>
      <c r="H8" s="5"/>
      <c r="I8" s="5"/>
      <c r="J8" s="5"/>
      <c r="L8" s="8"/>
      <c r="M8" s="13"/>
      <c r="O8" s="9"/>
    </row>
    <row r="9" spans="1:23">
      <c r="A9" s="5" t="s">
        <v>70</v>
      </c>
      <c r="B9" s="5"/>
      <c r="D9" s="5"/>
      <c r="E9" s="5"/>
      <c r="G9" s="5"/>
      <c r="H9" s="5"/>
      <c r="I9" s="5"/>
      <c r="J9" s="5"/>
      <c r="L9" s="8"/>
      <c r="M9" s="13"/>
      <c r="O9" s="9"/>
    </row>
    <row r="10" spans="1:23">
      <c r="A10" s="5">
        <v>20540</v>
      </c>
      <c r="B10" s="5" t="s">
        <v>39</v>
      </c>
      <c r="C10" s="5" t="s">
        <v>41</v>
      </c>
      <c r="D10" s="5">
        <v>0.1</v>
      </c>
      <c r="E10" s="5">
        <v>0.1</v>
      </c>
      <c r="F10">
        <f>E10</f>
        <v>0.1</v>
      </c>
      <c r="G10" s="5">
        <f>0.25*F10</f>
        <v>2.5000000000000001E-2</v>
      </c>
      <c r="H10" s="5">
        <v>1</v>
      </c>
      <c r="I10" s="5" t="s">
        <v>40</v>
      </c>
      <c r="J10" s="5" t="s">
        <v>28</v>
      </c>
      <c r="K10">
        <v>0</v>
      </c>
      <c r="L10" s="8">
        <f>K10/G10</f>
        <v>0</v>
      </c>
      <c r="M10" s="13">
        <v>551.75</v>
      </c>
      <c r="N10" s="15">
        <v>560.00502063061197</v>
      </c>
      <c r="O10" s="9">
        <f>8*(M10/A10)^2</f>
        <v>5.772630931736967E-3</v>
      </c>
      <c r="P10" s="9">
        <f>8*(N10/A10)^2</f>
        <v>5.9466578264462649E-3</v>
      </c>
      <c r="Q10" s="10">
        <f>(P10-O10)/O10</f>
        <v>3.0146894330716146E-2</v>
      </c>
      <c r="R10" s="8">
        <f>200*2*N10/A10</f>
        <v>10.905647918804517</v>
      </c>
      <c r="S10" s="4">
        <f>A10/4*O10</f>
        <v>29.642459834469324</v>
      </c>
    </row>
    <row r="11" spans="1:23">
      <c r="A11" s="5">
        <v>20540</v>
      </c>
      <c r="B11" s="5" t="s">
        <v>39</v>
      </c>
      <c r="C11" s="5" t="s">
        <v>43</v>
      </c>
      <c r="D11" s="5">
        <v>6.7000000000000004E-2</v>
      </c>
      <c r="E11" s="5">
        <v>6.7000000000000004E-2</v>
      </c>
      <c r="F11">
        <f>E11</f>
        <v>6.7000000000000004E-2</v>
      </c>
      <c r="G11" s="5">
        <f>0.25*F11</f>
        <v>1.6750000000000001E-2</v>
      </c>
      <c r="H11" s="5">
        <v>1</v>
      </c>
      <c r="I11" s="5" t="s">
        <v>40</v>
      </c>
      <c r="J11" s="5" t="s">
        <v>28</v>
      </c>
      <c r="K11">
        <v>0</v>
      </c>
      <c r="L11" s="8">
        <f t="shared" ref="L11:L13" si="9">K11/G11</f>
        <v>0</v>
      </c>
      <c r="M11" s="13">
        <v>551.75</v>
      </c>
      <c r="N11" s="15">
        <v>564.04199736140004</v>
      </c>
      <c r="O11" s="9">
        <f>8*(M11/A11)^2</f>
        <v>5.772630931736967E-3</v>
      </c>
      <c r="P11" s="9">
        <f t="shared" ref="P11:P13" si="10">8*(N11/A11)^2</f>
        <v>6.032703657288984E-3</v>
      </c>
      <c r="Q11" s="10">
        <f t="shared" ref="Q11:Q13" si="11">(P11-O11)/O11</f>
        <v>4.5052720090276395E-2</v>
      </c>
      <c r="R11" s="8">
        <f t="shared" ref="R11:R13" si="12">200*2*N11/A11</f>
        <v>10.984264797690361</v>
      </c>
      <c r="S11" s="4">
        <f t="shared" ref="S11:S13" si="13">A11/4*O11</f>
        <v>29.642459834469324</v>
      </c>
    </row>
    <row r="12" spans="1:23">
      <c r="A12" s="5">
        <v>20540</v>
      </c>
      <c r="B12" s="5" t="s">
        <v>39</v>
      </c>
      <c r="C12" s="5" t="s">
        <v>44</v>
      </c>
      <c r="D12" s="5">
        <v>0.05</v>
      </c>
      <c r="E12" s="5">
        <v>0.05</v>
      </c>
      <c r="F12">
        <f>E12</f>
        <v>0.05</v>
      </c>
      <c r="G12" s="5">
        <f>0.25*F12</f>
        <v>1.2500000000000001E-2</v>
      </c>
      <c r="H12" s="5">
        <v>1</v>
      </c>
      <c r="I12" s="5" t="s">
        <v>40</v>
      </c>
      <c r="J12" s="5" t="s">
        <v>28</v>
      </c>
      <c r="K12">
        <v>0</v>
      </c>
      <c r="L12" s="8">
        <f t="shared" si="9"/>
        <v>0</v>
      </c>
      <c r="M12" s="13">
        <v>551.75</v>
      </c>
      <c r="N12" s="15">
        <v>578.50252578898403</v>
      </c>
      <c r="O12" s="9">
        <f>8*(M12/A12)^2</f>
        <v>5.772630931736967E-3</v>
      </c>
      <c r="P12" s="9">
        <f t="shared" si="10"/>
        <v>6.3459935650623835E-3</v>
      </c>
      <c r="Q12" s="10">
        <f t="shared" si="11"/>
        <v>9.9324318513619808E-2</v>
      </c>
      <c r="R12" s="8">
        <f t="shared" si="12"/>
        <v>11.265871972521598</v>
      </c>
      <c r="S12" s="4">
        <f t="shared" si="13"/>
        <v>29.642459834469324</v>
      </c>
    </row>
    <row r="13" spans="1:23">
      <c r="A13" s="5">
        <v>20540</v>
      </c>
      <c r="B13" s="5" t="s">
        <v>39</v>
      </c>
      <c r="C13" s="5" t="s">
        <v>45</v>
      </c>
      <c r="D13" s="5">
        <v>3.3000000000000002E-2</v>
      </c>
      <c r="E13" s="5">
        <v>3.3000000000000002E-2</v>
      </c>
      <c r="F13">
        <f>E13</f>
        <v>3.3000000000000002E-2</v>
      </c>
      <c r="G13" s="5">
        <f>0.25*F13</f>
        <v>8.2500000000000004E-3</v>
      </c>
      <c r="H13" s="5">
        <v>1</v>
      </c>
      <c r="I13" s="5" t="s">
        <v>40</v>
      </c>
      <c r="J13" s="5" t="s">
        <v>28</v>
      </c>
      <c r="K13">
        <v>0</v>
      </c>
      <c r="L13" s="8">
        <f t="shared" si="9"/>
        <v>0</v>
      </c>
      <c r="M13" s="13">
        <v>551.75</v>
      </c>
      <c r="N13" s="15">
        <v>582.44997203883202</v>
      </c>
      <c r="O13" s="9">
        <f>8*(M13/A13)^2</f>
        <v>5.772630931736967E-3</v>
      </c>
      <c r="P13" s="9">
        <f t="shared" si="10"/>
        <v>6.4328935665566456E-3</v>
      </c>
      <c r="Q13" s="10">
        <f t="shared" si="11"/>
        <v>0.11437811331219257</v>
      </c>
      <c r="R13" s="8">
        <f t="shared" si="12"/>
        <v>11.342745317211918</v>
      </c>
      <c r="S13" s="4">
        <f t="shared" si="13"/>
        <v>29.642459834469324</v>
      </c>
    </row>
    <row r="14" spans="1:23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</row>
    <row r="15" spans="1:23">
      <c r="A15" s="5"/>
      <c r="B15" s="5"/>
      <c r="C15" s="5"/>
      <c r="D15" s="12"/>
      <c r="H15" s="4"/>
      <c r="I15" s="5"/>
      <c r="J15" s="11"/>
    </row>
    <row r="22" spans="1:19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FF680-E330-4D55-9962-B9A4D02270CE}">
  <dimension ref="A1:S10"/>
  <sheetViews>
    <sheetView zoomScale="55" zoomScaleNormal="55" workbookViewId="0">
      <selection activeCell="L43" sqref="L43"/>
    </sheetView>
  </sheetViews>
  <sheetFormatPr defaultRowHeight="14.5"/>
  <cols>
    <col min="1" max="1" width="7.26953125" customWidth="1"/>
    <col min="2" max="2" width="15.08984375" customWidth="1"/>
    <col min="3" max="3" width="13.36328125" customWidth="1"/>
    <col min="4" max="4" width="13.7265625" customWidth="1"/>
    <col min="5" max="5" width="12.08984375" customWidth="1"/>
    <col min="6" max="6" width="11.08984375" customWidth="1"/>
    <col min="7" max="7" width="9.26953125" customWidth="1"/>
    <col min="8" max="8" width="10.81640625" customWidth="1"/>
    <col min="9" max="9" width="13.90625" customWidth="1"/>
    <col min="10" max="10" width="12.36328125" customWidth="1"/>
    <col min="11" max="11" width="14.1796875" customWidth="1"/>
    <col min="12" max="12" width="12.453125" customWidth="1"/>
    <col min="13" max="13" width="12.1796875" customWidth="1"/>
    <col min="14" max="14" width="10.54296875" customWidth="1"/>
    <col min="16" max="16" width="10.54296875" customWidth="1"/>
    <col min="17" max="17" width="15.81640625" customWidth="1"/>
    <col min="18" max="18" width="15.54296875" customWidth="1"/>
    <col min="19" max="19" width="11.1796875" customWidth="1"/>
  </cols>
  <sheetData>
    <row r="1" spans="1:19">
      <c r="A1" s="5" t="s">
        <v>24</v>
      </c>
      <c r="B1" s="5" t="s">
        <v>27</v>
      </c>
      <c r="C1" s="5" t="s">
        <v>26</v>
      </c>
      <c r="D1" s="5" t="s">
        <v>35</v>
      </c>
      <c r="E1" s="5" t="s">
        <v>36</v>
      </c>
      <c r="F1" s="5" t="s">
        <v>51</v>
      </c>
      <c r="G1" s="5" t="s">
        <v>52</v>
      </c>
      <c r="H1" s="5" t="s">
        <v>42</v>
      </c>
      <c r="I1" s="5" t="s">
        <v>50</v>
      </c>
      <c r="J1" s="5" t="s">
        <v>29</v>
      </c>
      <c r="K1" s="5" t="s">
        <v>23</v>
      </c>
      <c r="L1" s="5" t="s">
        <v>53</v>
      </c>
      <c r="M1" s="5" t="s">
        <v>30</v>
      </c>
      <c r="N1" s="5" t="s">
        <v>25</v>
      </c>
      <c r="O1" s="5" t="s">
        <v>32</v>
      </c>
      <c r="P1" s="5" t="s">
        <v>31</v>
      </c>
      <c r="Q1" s="5" t="s">
        <v>33</v>
      </c>
      <c r="R1" s="5" t="s">
        <v>34</v>
      </c>
      <c r="S1" s="5" t="s">
        <v>58</v>
      </c>
    </row>
    <row r="2" spans="1:19">
      <c r="A2" s="5">
        <v>40582</v>
      </c>
      <c r="B2" s="5" t="s">
        <v>39</v>
      </c>
      <c r="C2" s="5" t="s">
        <v>41</v>
      </c>
      <c r="D2" s="5">
        <v>0.1</v>
      </c>
      <c r="E2" s="5">
        <v>0.1</v>
      </c>
      <c r="F2">
        <f>E2</f>
        <v>0.1</v>
      </c>
      <c r="G2" s="5">
        <f>0.25*F2</f>
        <v>2.5000000000000001E-2</v>
      </c>
      <c r="H2" s="5">
        <v>1</v>
      </c>
      <c r="I2" s="5" t="s">
        <v>40</v>
      </c>
      <c r="J2" s="5" t="s">
        <v>28</v>
      </c>
      <c r="K2">
        <v>0.1</v>
      </c>
      <c r="L2" s="8">
        <f>K2/G2</f>
        <v>4</v>
      </c>
      <c r="M2" s="13">
        <v>1002.1</v>
      </c>
      <c r="N2" s="8">
        <v>991.44275767622696</v>
      </c>
      <c r="O2" s="9">
        <f>8*(M2/A2)^2</f>
        <v>4.8780384385069212E-3</v>
      </c>
      <c r="P2" s="9">
        <f>8*(N2/A2)^2</f>
        <v>4.7748351610169409E-3</v>
      </c>
      <c r="Q2" s="10">
        <f>(P2-O2)/O2</f>
        <v>-2.1156716739929773E-2</v>
      </c>
      <c r="R2" s="8">
        <f>200*2*N2/A2</f>
        <v>9.7722414634687986</v>
      </c>
      <c r="S2" s="4">
        <f>A2/4*O2</f>
        <v>49.490138977871972</v>
      </c>
    </row>
    <row r="3" spans="1:19">
      <c r="A3" s="5">
        <v>40582</v>
      </c>
      <c r="B3" s="5" t="s">
        <v>39</v>
      </c>
      <c r="C3" s="5" t="s">
        <v>43</v>
      </c>
      <c r="D3" s="5">
        <v>6.7000000000000004E-2</v>
      </c>
      <c r="E3" s="5">
        <v>6.7000000000000004E-2</v>
      </c>
      <c r="F3">
        <f>E3</f>
        <v>6.7000000000000004E-2</v>
      </c>
      <c r="G3" s="5">
        <f>0.25*F3</f>
        <v>1.6750000000000001E-2</v>
      </c>
      <c r="H3" s="5">
        <v>1</v>
      </c>
      <c r="I3" s="5" t="s">
        <v>40</v>
      </c>
      <c r="J3" s="5" t="s">
        <v>28</v>
      </c>
      <c r="K3">
        <v>0.1</v>
      </c>
      <c r="L3" s="8">
        <f t="shared" ref="L3:L5" si="0">K3/G3</f>
        <v>5.9701492537313436</v>
      </c>
      <c r="M3" s="13">
        <v>1002.1</v>
      </c>
      <c r="N3" s="8">
        <v>967.18605429573699</v>
      </c>
      <c r="O3" s="9">
        <f t="shared" ref="O3:O5" si="1">8*(M3/A3)^2</f>
        <v>4.8780384385069212E-3</v>
      </c>
      <c r="P3" s="9">
        <f t="shared" ref="P3:P5" si="2">8*(N3/A3)^2</f>
        <v>4.5440504628099102E-3</v>
      </c>
      <c r="Q3" s="10">
        <f t="shared" ref="Q3:Q5" si="3">(P3-O3)/O3</f>
        <v>-6.8467680176632364E-2</v>
      </c>
      <c r="R3" s="8">
        <f t="shared" ref="R3:R5" si="4">200*2*N3/A3</f>
        <v>9.5331531644151291</v>
      </c>
      <c r="S3" s="4">
        <f t="shared" ref="S3:S5" si="5">A3/4*O3</f>
        <v>49.490138977871972</v>
      </c>
    </row>
    <row r="4" spans="1:19">
      <c r="A4" s="5">
        <v>40582</v>
      </c>
      <c r="B4" s="5" t="s">
        <v>39</v>
      </c>
      <c r="C4" s="5" t="s">
        <v>44</v>
      </c>
      <c r="D4" s="5">
        <v>0.05</v>
      </c>
      <c r="E4" s="5">
        <v>0.05</v>
      </c>
      <c r="F4">
        <f>E4</f>
        <v>0.05</v>
      </c>
      <c r="G4" s="5">
        <f>0.25*F4</f>
        <v>1.2500000000000001E-2</v>
      </c>
      <c r="H4" s="5">
        <v>1</v>
      </c>
      <c r="I4" s="5" t="s">
        <v>40</v>
      </c>
      <c r="J4" s="5" t="s">
        <v>28</v>
      </c>
      <c r="K4">
        <v>0.1</v>
      </c>
      <c r="L4" s="8">
        <f t="shared" si="0"/>
        <v>8</v>
      </c>
      <c r="M4" s="13">
        <v>1002.1</v>
      </c>
      <c r="N4" s="8">
        <v>978.16635810243804</v>
      </c>
      <c r="O4" s="9">
        <f t="shared" si="1"/>
        <v>4.8780384385069212E-3</v>
      </c>
      <c r="P4" s="9">
        <f t="shared" si="2"/>
        <v>4.6478118426103634E-3</v>
      </c>
      <c r="Q4" s="10">
        <f t="shared" si="3"/>
        <v>-4.7196552220491725E-2</v>
      </c>
      <c r="R4" s="8">
        <f t="shared" si="4"/>
        <v>9.6413814804833482</v>
      </c>
      <c r="S4" s="4">
        <f t="shared" si="5"/>
        <v>49.490138977871972</v>
      </c>
    </row>
    <row r="5" spans="1:19">
      <c r="A5" s="5">
        <v>40582</v>
      </c>
      <c r="B5" s="5" t="s">
        <v>39</v>
      </c>
      <c r="C5" s="5" t="s">
        <v>45</v>
      </c>
      <c r="D5" s="5">
        <v>3.3000000000000002E-2</v>
      </c>
      <c r="E5" s="5">
        <v>3.3000000000000002E-2</v>
      </c>
      <c r="F5">
        <f>E5</f>
        <v>3.3000000000000002E-2</v>
      </c>
      <c r="G5" s="5">
        <f>0.25*F5</f>
        <v>8.2500000000000004E-3</v>
      </c>
      <c r="H5" s="5">
        <v>1</v>
      </c>
      <c r="I5" s="5" t="s">
        <v>40</v>
      </c>
      <c r="J5" s="5" t="s">
        <v>28</v>
      </c>
      <c r="K5">
        <v>0.1</v>
      </c>
      <c r="L5" s="8">
        <f t="shared" si="0"/>
        <v>12.121212121212121</v>
      </c>
      <c r="M5" s="13">
        <v>1002.1</v>
      </c>
      <c r="N5" s="8">
        <v>989.39442504592398</v>
      </c>
      <c r="O5" s="9">
        <f t="shared" si="1"/>
        <v>4.8780384385069212E-3</v>
      </c>
      <c r="P5" s="9">
        <f t="shared" si="2"/>
        <v>4.7551258085106367E-3</v>
      </c>
      <c r="Q5" s="10">
        <f t="shared" si="3"/>
        <v>-2.5197142569853514E-2</v>
      </c>
      <c r="R5" s="8">
        <f t="shared" si="4"/>
        <v>9.7520518953814399</v>
      </c>
      <c r="S5" s="4">
        <f t="shared" si="5"/>
        <v>49.490138977871972</v>
      </c>
    </row>
    <row r="6" spans="1:19">
      <c r="A6" s="5"/>
      <c r="B6" s="5"/>
      <c r="C6" s="6"/>
      <c r="D6" s="5"/>
      <c r="E6" s="5"/>
      <c r="F6" s="5"/>
      <c r="G6" s="5"/>
      <c r="K6" s="7"/>
      <c r="L6" s="4"/>
    </row>
    <row r="7" spans="1:19">
      <c r="A7" s="5"/>
      <c r="B7" s="5"/>
      <c r="C7" s="6"/>
      <c r="D7" s="5"/>
      <c r="E7" s="5"/>
      <c r="F7" s="5"/>
      <c r="G7" s="5"/>
      <c r="K7" s="7"/>
      <c r="L7" s="4"/>
    </row>
    <row r="8" spans="1:19">
      <c r="I8" s="5"/>
    </row>
    <row r="10" spans="1:19">
      <c r="F10" s="5"/>
    </row>
  </sheetData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2F51E-90FA-449F-904F-669D9897EDC7}">
  <dimension ref="A1:T46"/>
  <sheetViews>
    <sheetView zoomScale="55" zoomScaleNormal="55" workbookViewId="0">
      <selection activeCell="J24" sqref="J24"/>
    </sheetView>
  </sheetViews>
  <sheetFormatPr defaultRowHeight="14.5"/>
  <cols>
    <col min="1" max="1" width="26.7265625" customWidth="1"/>
    <col min="2" max="2" width="12.6328125" customWidth="1"/>
    <col min="3" max="3" width="12.08984375" customWidth="1"/>
    <col min="4" max="4" width="12.81640625" customWidth="1"/>
    <col min="5" max="5" width="8.08984375" customWidth="1"/>
    <col min="6" max="6" width="9.36328125" customWidth="1"/>
    <col min="7" max="7" width="14.36328125" customWidth="1"/>
    <col min="8" max="8" width="11.81640625" customWidth="1"/>
    <col min="9" max="9" width="10.08984375" customWidth="1"/>
    <col min="10" max="10" width="14.08984375" customWidth="1"/>
    <col min="12" max="12" width="8.81640625" customWidth="1"/>
    <col min="13" max="13" width="14.81640625" customWidth="1"/>
    <col min="14" max="14" width="12.08984375" customWidth="1"/>
    <col min="15" max="15" width="8.6328125" customWidth="1"/>
    <col min="16" max="16" width="10.90625" customWidth="1"/>
    <col min="17" max="17" width="15.453125" customWidth="1"/>
    <col min="18" max="18" width="14.7265625" customWidth="1"/>
    <col min="19" max="19" width="13.36328125" customWidth="1"/>
    <col min="20" max="20" width="11.7265625" customWidth="1"/>
  </cols>
  <sheetData>
    <row r="1" spans="1:20">
      <c r="B1" s="5" t="s">
        <v>24</v>
      </c>
      <c r="C1" s="5" t="s">
        <v>27</v>
      </c>
      <c r="D1" s="5" t="s">
        <v>26</v>
      </c>
      <c r="E1" s="5" t="s">
        <v>35</v>
      </c>
      <c r="F1" s="5" t="s">
        <v>36</v>
      </c>
      <c r="G1" s="5" t="s">
        <v>51</v>
      </c>
      <c r="H1" s="5" t="s">
        <v>52</v>
      </c>
      <c r="I1" s="5" t="s">
        <v>42</v>
      </c>
      <c r="J1" s="5" t="s">
        <v>50</v>
      </c>
      <c r="K1" s="5" t="s">
        <v>29</v>
      </c>
      <c r="L1" s="5" t="s">
        <v>23</v>
      </c>
      <c r="M1" s="5" t="s">
        <v>53</v>
      </c>
      <c r="N1" s="5" t="s">
        <v>30</v>
      </c>
      <c r="O1" s="5" t="s">
        <v>25</v>
      </c>
      <c r="P1" s="5" t="s">
        <v>32</v>
      </c>
      <c r="Q1" s="5" t="s">
        <v>31</v>
      </c>
      <c r="R1" s="5" t="s">
        <v>33</v>
      </c>
      <c r="S1" s="5" t="s">
        <v>34</v>
      </c>
      <c r="T1" s="5" t="s">
        <v>58</v>
      </c>
    </row>
    <row r="2" spans="1:20">
      <c r="A2" t="s">
        <v>120</v>
      </c>
      <c r="B2" s="5">
        <v>250000</v>
      </c>
      <c r="C2" s="5" t="s">
        <v>39</v>
      </c>
      <c r="D2" s="5" t="s">
        <v>41</v>
      </c>
      <c r="E2" s="5">
        <v>0.1</v>
      </c>
      <c r="F2" s="5">
        <v>0.1</v>
      </c>
      <c r="G2">
        <f>F2</f>
        <v>0.1</v>
      </c>
      <c r="H2" s="5">
        <f>0.25*G2</f>
        <v>2.5000000000000001E-2</v>
      </c>
      <c r="I2" s="5">
        <v>1</v>
      </c>
      <c r="J2" s="5" t="s">
        <v>40</v>
      </c>
      <c r="K2" s="5" t="s">
        <v>28</v>
      </c>
      <c r="L2">
        <v>0.1</v>
      </c>
      <c r="M2" s="8">
        <f>L2/H2</f>
        <v>4</v>
      </c>
      <c r="N2" s="8">
        <v>5185.8969999999999</v>
      </c>
      <c r="O2">
        <v>5587</v>
      </c>
      <c r="P2">
        <f>8*(N2/B2)^2</f>
        <v>3.4423715449099523E-3</v>
      </c>
      <c r="Q2" s="9">
        <f>8*(O2/B2)^2</f>
        <v>3.9954648319999999E-3</v>
      </c>
      <c r="R2" s="10">
        <f>(Q2-P2)/P2</f>
        <v>0.16067216448726362</v>
      </c>
      <c r="S2" s="8">
        <f>100*2*O2/B2</f>
        <v>4.4695999999999998</v>
      </c>
      <c r="T2" s="4">
        <f>B2/4*P2</f>
        <v>215.14822155687202</v>
      </c>
    </row>
    <row r="3" spans="1:20">
      <c r="A3" t="s">
        <v>120</v>
      </c>
      <c r="B3" s="5">
        <v>250000</v>
      </c>
      <c r="C3" s="5" t="s">
        <v>39</v>
      </c>
      <c r="D3" s="5" t="s">
        <v>43</v>
      </c>
      <c r="E3" s="5">
        <v>6.7000000000000004E-2</v>
      </c>
      <c r="F3" s="5">
        <v>6.7000000000000004E-2</v>
      </c>
      <c r="G3">
        <f>F3</f>
        <v>6.7000000000000004E-2</v>
      </c>
      <c r="H3" s="5">
        <f>0.25*G3</f>
        <v>1.6750000000000001E-2</v>
      </c>
      <c r="I3" s="5">
        <v>1</v>
      </c>
      <c r="J3" s="5" t="s">
        <v>40</v>
      </c>
      <c r="K3" s="5" t="s">
        <v>28</v>
      </c>
      <c r="L3">
        <v>0.1</v>
      </c>
      <c r="M3" s="8">
        <f>L3/H3</f>
        <v>5.9701492537313436</v>
      </c>
      <c r="N3" s="8">
        <v>5185.8969999999999</v>
      </c>
      <c r="O3">
        <v>4998</v>
      </c>
      <c r="P3">
        <f>8*(N3/B3)^2</f>
        <v>3.4423715449099523E-3</v>
      </c>
      <c r="Q3" s="9">
        <f t="shared" ref="Q3:Q5" si="0">8*(O3/B3)^2</f>
        <v>3.1974405119999999E-3</v>
      </c>
      <c r="R3" s="10">
        <f t="shared" ref="R3:R5" si="1">(Q3-P3)/P3</f>
        <v>-7.1151829404387981E-2</v>
      </c>
      <c r="S3" s="8">
        <f t="shared" ref="S3:S5" si="2">100*2*O3/B3</f>
        <v>3.9984000000000002</v>
      </c>
      <c r="T3" s="4">
        <f t="shared" ref="T3:T5" si="3">B3/4*P3</f>
        <v>215.14822155687202</v>
      </c>
    </row>
    <row r="4" spans="1:20">
      <c r="A4" t="s">
        <v>120</v>
      </c>
      <c r="B4" s="5">
        <v>250000</v>
      </c>
      <c r="C4" s="5" t="s">
        <v>39</v>
      </c>
      <c r="D4" s="5" t="s">
        <v>44</v>
      </c>
      <c r="E4" s="5">
        <v>0.05</v>
      </c>
      <c r="F4" s="5">
        <v>0.05</v>
      </c>
      <c r="G4">
        <f>F4</f>
        <v>0.05</v>
      </c>
      <c r="H4" s="5">
        <f>0.25*G4</f>
        <v>1.2500000000000001E-2</v>
      </c>
      <c r="I4" s="5">
        <v>1</v>
      </c>
      <c r="J4" s="5" t="s">
        <v>40</v>
      </c>
      <c r="K4" s="5" t="s">
        <v>28</v>
      </c>
      <c r="L4">
        <v>0.1</v>
      </c>
      <c r="M4" s="8">
        <f>L4/H4</f>
        <v>8</v>
      </c>
      <c r="N4" s="8">
        <v>5185.8969999999999</v>
      </c>
      <c r="O4">
        <v>4673</v>
      </c>
      <c r="P4">
        <f>8*(N4/B4)^2</f>
        <v>3.4423715449099523E-3</v>
      </c>
      <c r="Q4" s="9">
        <f t="shared" si="0"/>
        <v>2.795126912E-3</v>
      </c>
      <c r="R4" s="10">
        <f t="shared" si="1"/>
        <v>-0.18802288610216922</v>
      </c>
      <c r="S4" s="8">
        <f t="shared" si="2"/>
        <v>3.7383999999999999</v>
      </c>
      <c r="T4" s="4">
        <f t="shared" si="3"/>
        <v>215.14822155687202</v>
      </c>
    </row>
    <row r="5" spans="1:20">
      <c r="A5" t="s">
        <v>120</v>
      </c>
      <c r="B5" s="5">
        <v>250000</v>
      </c>
      <c r="C5" s="5" t="s">
        <v>39</v>
      </c>
      <c r="D5" s="5" t="s">
        <v>45</v>
      </c>
      <c r="E5" s="5">
        <v>3.3000000000000002E-2</v>
      </c>
      <c r="F5" s="5">
        <v>3.3000000000000002E-2</v>
      </c>
      <c r="G5">
        <f>F5</f>
        <v>3.3000000000000002E-2</v>
      </c>
      <c r="H5" s="5">
        <f>0.25*G5</f>
        <v>8.2500000000000004E-3</v>
      </c>
      <c r="I5" s="5">
        <v>1</v>
      </c>
      <c r="J5" s="5" t="s">
        <v>40</v>
      </c>
      <c r="K5" s="5" t="s">
        <v>28</v>
      </c>
      <c r="L5">
        <v>0.1</v>
      </c>
      <c r="M5" s="8">
        <f>L5/H5</f>
        <v>12.121212121212121</v>
      </c>
      <c r="N5" s="8">
        <v>5185.8969999999999</v>
      </c>
      <c r="O5">
        <v>5040</v>
      </c>
      <c r="P5">
        <f>8*(N5/B5)^2</f>
        <v>3.4423715449099523E-3</v>
      </c>
      <c r="Q5" s="9">
        <f t="shared" si="0"/>
        <v>3.2514048000000001E-3</v>
      </c>
      <c r="R5" s="10">
        <f t="shared" si="1"/>
        <v>-5.5475343790917724E-2</v>
      </c>
      <c r="S5" s="8">
        <f t="shared" si="2"/>
        <v>4.032</v>
      </c>
      <c r="T5" s="4">
        <f t="shared" si="3"/>
        <v>215.14822155687202</v>
      </c>
    </row>
    <row r="6" spans="1:20">
      <c r="A6" s="5"/>
      <c r="B6" s="5"/>
      <c r="C6" s="5"/>
      <c r="D6" s="5"/>
      <c r="E6" s="5"/>
      <c r="G6" s="5"/>
      <c r="H6" s="5"/>
      <c r="I6" s="5"/>
      <c r="J6" s="5"/>
      <c r="L6" s="8"/>
      <c r="M6" s="8"/>
      <c r="P6" s="4"/>
      <c r="T6" s="6"/>
    </row>
    <row r="7" spans="1:20">
      <c r="P7" s="4"/>
      <c r="T7" s="6"/>
    </row>
    <row r="8" spans="1:20">
      <c r="T8" s="6"/>
    </row>
    <row r="9" spans="1:20">
      <c r="A9" t="s">
        <v>121</v>
      </c>
      <c r="B9" s="5">
        <v>250000</v>
      </c>
      <c r="C9" s="5" t="s">
        <v>39</v>
      </c>
      <c r="D9" s="5" t="s">
        <v>41</v>
      </c>
      <c r="E9" s="5">
        <v>0.1</v>
      </c>
      <c r="F9" s="5">
        <v>0.1</v>
      </c>
      <c r="G9">
        <f>F9</f>
        <v>0.1</v>
      </c>
      <c r="H9" s="5">
        <f>0.25*G9</f>
        <v>2.5000000000000001E-2</v>
      </c>
      <c r="I9" s="5">
        <v>1</v>
      </c>
      <c r="J9" s="5" t="s">
        <v>40</v>
      </c>
      <c r="K9" s="5" t="s">
        <v>28</v>
      </c>
      <c r="L9">
        <v>0.1</v>
      </c>
      <c r="M9" s="8">
        <f>L9/H9</f>
        <v>4</v>
      </c>
      <c r="N9" s="8">
        <v>5185.8969999999999</v>
      </c>
      <c r="O9" s="17">
        <v>4862.8822243521199</v>
      </c>
      <c r="P9">
        <f>8*(N9/B9)^2</f>
        <v>3.4423715449099523E-3</v>
      </c>
      <c r="Q9" s="9">
        <f>8*(O9/B9)^2</f>
        <v>3.0268958115737374E-3</v>
      </c>
      <c r="R9" s="10">
        <f>(Q9-P9)/P9</f>
        <v>-0.12069462227299557</v>
      </c>
      <c r="S9" s="8">
        <f>500*2*O9/B9</f>
        <v>19.45152889740848</v>
      </c>
      <c r="T9" s="4">
        <f>B9/4*P9</f>
        <v>215.14822155687202</v>
      </c>
    </row>
    <row r="10" spans="1:20">
      <c r="A10" t="s">
        <v>121</v>
      </c>
      <c r="B10" s="5">
        <v>250000</v>
      </c>
      <c r="C10" s="5" t="s">
        <v>39</v>
      </c>
      <c r="D10" s="5" t="s">
        <v>43</v>
      </c>
      <c r="E10" s="5">
        <v>6.7000000000000004E-2</v>
      </c>
      <c r="F10" s="5">
        <v>6.7000000000000004E-2</v>
      </c>
      <c r="G10">
        <f>F10</f>
        <v>6.7000000000000004E-2</v>
      </c>
      <c r="H10" s="5">
        <f>0.25*G10</f>
        <v>1.6750000000000001E-2</v>
      </c>
      <c r="I10" s="5">
        <v>1</v>
      </c>
      <c r="J10" s="5" t="s">
        <v>40</v>
      </c>
      <c r="K10" s="5" t="s">
        <v>28</v>
      </c>
      <c r="L10">
        <v>0.1</v>
      </c>
      <c r="M10" s="8">
        <f>L10/H10</f>
        <v>5.9701492537313436</v>
      </c>
      <c r="N10" s="8">
        <v>5185.8969999999999</v>
      </c>
      <c r="O10" s="17">
        <v>5124.0208644099903</v>
      </c>
      <c r="P10">
        <f>8*(N10/B10)^2</f>
        <v>3.4423715449099523E-3</v>
      </c>
      <c r="Q10" s="9">
        <f>8*(O10/B10)^2</f>
        <v>3.3607154968203403E-3</v>
      </c>
      <c r="R10" s="10">
        <f t="shared" ref="R10:R12" si="4">(Q10-P10)/P10</f>
        <v>-2.3720870052610196E-2</v>
      </c>
      <c r="S10" s="8">
        <f t="shared" ref="S10:S12" si="5">500*2*O10/B10</f>
        <v>20.496083457639962</v>
      </c>
      <c r="T10" s="4">
        <f t="shared" ref="T10:T12" si="6">B10/4*P10</f>
        <v>215.14822155687202</v>
      </c>
    </row>
    <row r="11" spans="1:20">
      <c r="A11" t="s">
        <v>121</v>
      </c>
      <c r="B11" s="5">
        <v>250000</v>
      </c>
      <c r="C11" s="5" t="s">
        <v>39</v>
      </c>
      <c r="D11" s="5" t="s">
        <v>44</v>
      </c>
      <c r="E11" s="5">
        <v>0.05</v>
      </c>
      <c r="F11" s="5">
        <v>0.05</v>
      </c>
      <c r="G11">
        <f>F11</f>
        <v>0.05</v>
      </c>
      <c r="H11" s="5">
        <f>0.25*G11</f>
        <v>1.2500000000000001E-2</v>
      </c>
      <c r="I11" s="5">
        <v>1</v>
      </c>
      <c r="J11" s="5" t="s">
        <v>40</v>
      </c>
      <c r="K11" s="5" t="s">
        <v>28</v>
      </c>
      <c r="L11">
        <v>0.1</v>
      </c>
      <c r="M11" s="8">
        <f>L11/H11</f>
        <v>8</v>
      </c>
      <c r="N11" s="8">
        <v>5185.8969999999999</v>
      </c>
      <c r="O11" s="17">
        <v>5139.2474953825704</v>
      </c>
      <c r="P11">
        <f>8*(N11/B11)^2</f>
        <v>3.4423715449099523E-3</v>
      </c>
      <c r="Q11" s="9">
        <f t="shared" ref="Q11:Q12" si="7">8*(O11/B11)^2</f>
        <v>3.3807186968058912E-3</v>
      </c>
      <c r="R11" s="10">
        <f t="shared" si="4"/>
        <v>-1.7909992370005439E-2</v>
      </c>
      <c r="S11" s="8">
        <f t="shared" si="5"/>
        <v>20.556989981530283</v>
      </c>
      <c r="T11" s="4">
        <f t="shared" si="6"/>
        <v>215.14822155687202</v>
      </c>
    </row>
    <row r="12" spans="1:20">
      <c r="A12" t="s">
        <v>121</v>
      </c>
      <c r="B12" s="5">
        <v>250000</v>
      </c>
      <c r="C12" s="5" t="s">
        <v>39</v>
      </c>
      <c r="D12" s="5" t="s">
        <v>45</v>
      </c>
      <c r="E12" s="5">
        <v>3.3000000000000002E-2</v>
      </c>
      <c r="F12" s="5">
        <v>3.3000000000000002E-2</v>
      </c>
      <c r="G12">
        <f>F12</f>
        <v>3.3000000000000002E-2</v>
      </c>
      <c r="H12" s="5">
        <f>0.25*G12</f>
        <v>8.2500000000000004E-3</v>
      </c>
      <c r="I12" s="5">
        <v>1</v>
      </c>
      <c r="J12" s="5" t="s">
        <v>40</v>
      </c>
      <c r="K12" s="5" t="s">
        <v>28</v>
      </c>
      <c r="L12">
        <v>0.1</v>
      </c>
      <c r="M12" s="8">
        <f>L12/H12</f>
        <v>12.121212121212121</v>
      </c>
      <c r="N12" s="8">
        <v>5185.8969999999999</v>
      </c>
      <c r="O12" s="17">
        <v>5166.3797844559504</v>
      </c>
      <c r="P12">
        <f>8*(N12/B12)^2</f>
        <v>3.4423715449099523E-3</v>
      </c>
      <c r="Q12" s="9">
        <f t="shared" si="7"/>
        <v>3.4165094498860944E-3</v>
      </c>
      <c r="R12" s="10">
        <f t="shared" si="4"/>
        <v>-7.5128714859669272E-3</v>
      </c>
      <c r="S12" s="8">
        <f t="shared" si="5"/>
        <v>20.6655191378238</v>
      </c>
      <c r="T12" s="4">
        <f t="shared" si="6"/>
        <v>215.14822155687202</v>
      </c>
    </row>
    <row r="15" spans="1:20">
      <c r="A15" t="s">
        <v>124</v>
      </c>
      <c r="B15" s="5">
        <v>250000</v>
      </c>
      <c r="C15" s="5" t="s">
        <v>39</v>
      </c>
      <c r="D15" s="5" t="s">
        <v>41</v>
      </c>
      <c r="E15" s="5">
        <v>0.1</v>
      </c>
      <c r="F15" s="5">
        <v>0.1</v>
      </c>
      <c r="G15">
        <f>F15</f>
        <v>0.1</v>
      </c>
      <c r="H15" s="5">
        <f>0.25*G15</f>
        <v>2.5000000000000001E-2</v>
      </c>
      <c r="I15" s="5">
        <v>1</v>
      </c>
      <c r="J15" s="5" t="s">
        <v>40</v>
      </c>
      <c r="K15" s="5" t="s">
        <v>28</v>
      </c>
      <c r="L15">
        <v>0.1</v>
      </c>
      <c r="M15" s="8">
        <f>L15/H15</f>
        <v>4</v>
      </c>
      <c r="N15" s="8">
        <v>5185.8969999999999</v>
      </c>
      <c r="O15" s="17">
        <v>4875.9608767305699</v>
      </c>
      <c r="P15">
        <f>8*(N15/B15)^2</f>
        <v>3.4423715449099523E-3</v>
      </c>
      <c r="Q15" s="9">
        <f>8*(O15/B15)^2</f>
        <v>3.0431992923401147E-3</v>
      </c>
      <c r="R15" s="10">
        <f>(Q15-P15)/P15</f>
        <v>-0.11595850342188423</v>
      </c>
      <c r="S15" s="8">
        <f>500*2*O15/B15</f>
        <v>19.50384350692228</v>
      </c>
      <c r="T15" s="4">
        <f>B15/4*P15</f>
        <v>215.14822155687202</v>
      </c>
    </row>
    <row r="16" spans="1:20">
      <c r="A16" t="s">
        <v>124</v>
      </c>
      <c r="B16" s="5">
        <v>250000</v>
      </c>
      <c r="C16" s="5" t="s">
        <v>39</v>
      </c>
      <c r="D16" s="5" t="s">
        <v>43</v>
      </c>
      <c r="E16" s="5">
        <v>6.7000000000000004E-2</v>
      </c>
      <c r="F16" s="5">
        <v>6.7000000000000004E-2</v>
      </c>
      <c r="G16">
        <f>F16</f>
        <v>6.7000000000000004E-2</v>
      </c>
      <c r="H16" s="5">
        <f>0.25*G16</f>
        <v>1.6750000000000001E-2</v>
      </c>
      <c r="I16" s="5">
        <v>1</v>
      </c>
      <c r="J16" s="5" t="s">
        <v>40</v>
      </c>
      <c r="K16" s="5" t="s">
        <v>28</v>
      </c>
      <c r="L16">
        <v>0.1</v>
      </c>
      <c r="M16" s="8">
        <f>L16/H16</f>
        <v>5.9701492537313436</v>
      </c>
      <c r="N16" s="8">
        <v>5185.8969999999999</v>
      </c>
      <c r="O16" s="17">
        <v>5136.7265536654104</v>
      </c>
      <c r="P16">
        <f>8*(N16/B16)^2</f>
        <v>3.4423715449099523E-3</v>
      </c>
      <c r="Q16" s="9">
        <f>8*(O16/B16)^2</f>
        <v>3.3774028399528098E-3</v>
      </c>
      <c r="R16" s="10">
        <f t="shared" ref="R16:R18" si="8">(Q16-P16)/P16</f>
        <v>-1.8873240180365815E-2</v>
      </c>
      <c r="S16" s="8">
        <f t="shared" ref="S16:S18" si="9">500*2*O16/B16</f>
        <v>20.546906214661643</v>
      </c>
      <c r="T16" s="4">
        <f t="shared" ref="T16:T18" si="10">B16/4*P16</f>
        <v>215.14822155687202</v>
      </c>
    </row>
    <row r="17" spans="1:20">
      <c r="A17" t="s">
        <v>124</v>
      </c>
      <c r="B17" s="5">
        <v>250000</v>
      </c>
      <c r="C17" s="5" t="s">
        <v>39</v>
      </c>
      <c r="D17" s="5" t="s">
        <v>44</v>
      </c>
      <c r="E17" s="5">
        <v>0.05</v>
      </c>
      <c r="F17" s="5">
        <v>0.05</v>
      </c>
      <c r="G17">
        <f>F17</f>
        <v>0.05</v>
      </c>
      <c r="H17" s="5">
        <f>0.25*G17</f>
        <v>1.2500000000000001E-2</v>
      </c>
      <c r="I17" s="5">
        <v>1</v>
      </c>
      <c r="J17" s="5" t="s">
        <v>40</v>
      </c>
      <c r="K17" s="5" t="s">
        <v>28</v>
      </c>
      <c r="L17">
        <v>0.1</v>
      </c>
      <c r="M17" s="8">
        <f>L17/H17</f>
        <v>8</v>
      </c>
      <c r="N17" s="8">
        <v>5185.8969999999999</v>
      </c>
      <c r="O17" s="17">
        <v>5147.0208386715803</v>
      </c>
      <c r="P17">
        <f>8*(N17/B17)^2</f>
        <v>3.4423715449099523E-3</v>
      </c>
      <c r="Q17" s="9">
        <f t="shared" ref="Q17:Q18" si="11">8*(O17/B17)^2</f>
        <v>3.3909534097560962E-3</v>
      </c>
      <c r="R17" s="10">
        <f t="shared" si="8"/>
        <v>-1.4936834819554941E-2</v>
      </c>
      <c r="S17" s="8">
        <f t="shared" si="9"/>
        <v>20.588083354686319</v>
      </c>
      <c r="T17" s="4">
        <f t="shared" si="10"/>
        <v>215.14822155687202</v>
      </c>
    </row>
    <row r="18" spans="1:20">
      <c r="A18" t="s">
        <v>124</v>
      </c>
      <c r="B18" s="5">
        <v>250000</v>
      </c>
      <c r="C18" s="5" t="s">
        <v>39</v>
      </c>
      <c r="D18" s="5" t="s">
        <v>45</v>
      </c>
      <c r="E18" s="5">
        <v>3.3000000000000002E-2</v>
      </c>
      <c r="F18" s="5">
        <v>3.3000000000000002E-2</v>
      </c>
      <c r="G18">
        <f>F18</f>
        <v>3.3000000000000002E-2</v>
      </c>
      <c r="H18" s="5">
        <f>0.25*G18</f>
        <v>8.2500000000000004E-3</v>
      </c>
      <c r="I18" s="5">
        <v>1</v>
      </c>
      <c r="J18" s="5" t="s">
        <v>40</v>
      </c>
      <c r="K18" s="5" t="s">
        <v>28</v>
      </c>
      <c r="L18">
        <v>0.1</v>
      </c>
      <c r="M18" s="8">
        <f>L18/H18</f>
        <v>12.121212121212121</v>
      </c>
      <c r="N18" s="8">
        <v>5185.8969999999999</v>
      </c>
      <c r="O18" s="17">
        <v>5190.7707276150904</v>
      </c>
      <c r="P18">
        <f>8*(N18/B18)^2</f>
        <v>3.4423715449099523E-3</v>
      </c>
      <c r="Q18" s="9">
        <f t="shared" si="11"/>
        <v>3.4488448955732093E-3</v>
      </c>
      <c r="R18" s="10">
        <f t="shared" si="8"/>
        <v>1.8804915677474731E-3</v>
      </c>
      <c r="S18" s="8">
        <f t="shared" si="9"/>
        <v>20.763082910460362</v>
      </c>
      <c r="T18" s="4">
        <f t="shared" si="10"/>
        <v>215.14822155687202</v>
      </c>
    </row>
    <row r="21" spans="1:20">
      <c r="A21" t="s">
        <v>130</v>
      </c>
      <c r="B21" s="5">
        <v>250000</v>
      </c>
      <c r="C21" s="5" t="s">
        <v>39</v>
      </c>
      <c r="D21" s="5" t="s">
        <v>41</v>
      </c>
      <c r="E21" s="5">
        <v>0.1</v>
      </c>
      <c r="F21" s="5">
        <v>0.1</v>
      </c>
      <c r="G21">
        <f>F21</f>
        <v>0.1</v>
      </c>
      <c r="H21" s="5">
        <f>0.25*G21</f>
        <v>2.5000000000000001E-2</v>
      </c>
      <c r="I21" s="5">
        <v>1</v>
      </c>
      <c r="J21" s="5" t="s">
        <v>40</v>
      </c>
      <c r="K21" s="5" t="s">
        <v>28</v>
      </c>
      <c r="L21">
        <v>0.1</v>
      </c>
      <c r="M21" s="8">
        <f>L21/H21</f>
        <v>4</v>
      </c>
      <c r="N21" s="8">
        <v>5185.8969999999999</v>
      </c>
      <c r="O21" s="17">
        <v>5210.6464404963799</v>
      </c>
      <c r="P21">
        <f>8*(N21/B21)^2</f>
        <v>3.4423715449099523E-3</v>
      </c>
      <c r="Q21" s="9">
        <f>8*(O21/B21)^2</f>
        <v>3.4753070499657724E-3</v>
      </c>
      <c r="R21" s="10">
        <f>(Q21-P21)/P21</f>
        <v>9.5676787430223845E-3</v>
      </c>
      <c r="S21" s="8">
        <f>500*2*O21/B21</f>
        <v>20.842585761985518</v>
      </c>
      <c r="T21" s="4">
        <f>B21/4*P21</f>
        <v>215.14822155687202</v>
      </c>
    </row>
    <row r="22" spans="1:20">
      <c r="A22" t="s">
        <v>130</v>
      </c>
      <c r="B22" s="5">
        <v>250000</v>
      </c>
      <c r="C22" s="5" t="s">
        <v>39</v>
      </c>
      <c r="D22" s="5" t="s">
        <v>43</v>
      </c>
      <c r="E22" s="5">
        <v>6.7000000000000004E-2</v>
      </c>
      <c r="F22" s="5">
        <v>6.7000000000000004E-2</v>
      </c>
      <c r="G22">
        <f>F22</f>
        <v>6.7000000000000004E-2</v>
      </c>
      <c r="H22" s="5">
        <f>0.25*G22</f>
        <v>1.6750000000000001E-2</v>
      </c>
      <c r="I22" s="5">
        <v>1</v>
      </c>
      <c r="J22" s="5" t="s">
        <v>40</v>
      </c>
      <c r="K22" s="5" t="s">
        <v>28</v>
      </c>
      <c r="L22">
        <v>0.1</v>
      </c>
      <c r="M22" s="8">
        <f>L22/H22</f>
        <v>5.9701492537313436</v>
      </c>
      <c r="N22" s="8">
        <v>5185.8969999999999</v>
      </c>
      <c r="O22" s="17">
        <v>4956.1843727380501</v>
      </c>
      <c r="P22">
        <f>8*(N22/B22)^2</f>
        <v>3.4423715449099523E-3</v>
      </c>
      <c r="Q22" s="9">
        <f>8*(O22/B22)^2</f>
        <v>3.1441617326813261E-3</v>
      </c>
      <c r="R22" s="10">
        <f t="shared" ref="R22:R24" si="12">(Q22-P22)/P22</f>
        <v>-8.6629176524995632E-2</v>
      </c>
      <c r="S22" s="8">
        <f t="shared" ref="S22:S24" si="13">500*2*O22/B22</f>
        <v>19.824737490952202</v>
      </c>
      <c r="T22" s="4">
        <f t="shared" ref="T22:T24" si="14">B22/4*P22</f>
        <v>215.14822155687202</v>
      </c>
    </row>
    <row r="23" spans="1:20">
      <c r="A23" t="s">
        <v>130</v>
      </c>
      <c r="B23" s="5">
        <v>250000</v>
      </c>
      <c r="C23" s="5" t="s">
        <v>39</v>
      </c>
      <c r="D23" s="5" t="s">
        <v>44</v>
      </c>
      <c r="E23" s="5">
        <v>0.05</v>
      </c>
      <c r="F23" s="5">
        <v>0.05</v>
      </c>
      <c r="G23">
        <f>F23</f>
        <v>0.05</v>
      </c>
      <c r="H23" s="5">
        <f>0.25*G23</f>
        <v>1.2500000000000001E-2</v>
      </c>
      <c r="I23" s="5">
        <v>1</v>
      </c>
      <c r="J23" s="5" t="s">
        <v>40</v>
      </c>
      <c r="K23" s="5" t="s">
        <v>28</v>
      </c>
      <c r="L23">
        <v>0.1</v>
      </c>
      <c r="M23" s="8">
        <f>L23/H23</f>
        <v>8</v>
      </c>
      <c r="N23" s="8">
        <v>5185.8969999999999</v>
      </c>
      <c r="O23" s="17">
        <v>4967.0733698676504</v>
      </c>
      <c r="P23">
        <f>8*(N23/B23)^2</f>
        <v>3.4423715449099523E-3</v>
      </c>
      <c r="Q23" s="9">
        <f t="shared" ref="Q23:Q24" si="15">8*(O23/B23)^2</f>
        <v>3.157992686290992E-3</v>
      </c>
      <c r="R23" s="10">
        <f t="shared" si="12"/>
        <v>-8.2611320396096075E-2</v>
      </c>
      <c r="S23" s="8">
        <f t="shared" si="13"/>
        <v>19.868293479470601</v>
      </c>
      <c r="T23" s="4">
        <f t="shared" si="14"/>
        <v>215.14822155687202</v>
      </c>
    </row>
    <row r="24" spans="1:20">
      <c r="A24" t="s">
        <v>130</v>
      </c>
      <c r="B24" s="5">
        <v>250000</v>
      </c>
      <c r="C24" s="5" t="s">
        <v>39</v>
      </c>
      <c r="D24" s="5" t="s">
        <v>45</v>
      </c>
      <c r="E24" s="5">
        <v>3.3000000000000002E-2</v>
      </c>
      <c r="F24" s="5">
        <v>3.3000000000000002E-2</v>
      </c>
      <c r="G24">
        <f>F24</f>
        <v>3.3000000000000002E-2</v>
      </c>
      <c r="H24" s="5">
        <f>0.25*G24</f>
        <v>8.2500000000000004E-3</v>
      </c>
      <c r="I24" s="5">
        <v>1</v>
      </c>
      <c r="J24" s="5" t="s">
        <v>40</v>
      </c>
      <c r="K24" s="5" t="s">
        <v>28</v>
      </c>
      <c r="L24">
        <v>0.1</v>
      </c>
      <c r="M24" s="8">
        <f>L24/H24</f>
        <v>12.121212121212121</v>
      </c>
      <c r="N24" s="8">
        <v>5185.8969999999999</v>
      </c>
      <c r="O24" s="17">
        <v>5024.9827306890502</v>
      </c>
      <c r="P24">
        <f>8*(N24/B24)^2</f>
        <v>3.4423715449099523E-3</v>
      </c>
      <c r="Q24" s="9">
        <f t="shared" si="15"/>
        <v>3.2320577847965671E-3</v>
      </c>
      <c r="R24" s="10">
        <f t="shared" si="12"/>
        <v>-6.1095601497277274E-2</v>
      </c>
      <c r="S24" s="8">
        <f t="shared" si="13"/>
        <v>20.099930922756201</v>
      </c>
      <c r="T24" s="4">
        <f t="shared" si="14"/>
        <v>215.14822155687202</v>
      </c>
    </row>
    <row r="27" spans="1:20">
      <c r="A27" t="s">
        <v>131</v>
      </c>
      <c r="B27" s="5">
        <v>250000</v>
      </c>
      <c r="C27" s="5" t="s">
        <v>39</v>
      </c>
      <c r="D27" s="5" t="s">
        <v>41</v>
      </c>
      <c r="E27" s="5">
        <v>0.1</v>
      </c>
      <c r="F27" s="5">
        <v>0.1</v>
      </c>
      <c r="G27">
        <f>F27</f>
        <v>0.1</v>
      </c>
      <c r="H27" s="5">
        <f>0.25*G27</f>
        <v>2.5000000000000001E-2</v>
      </c>
      <c r="I27" s="5">
        <v>1</v>
      </c>
      <c r="J27" s="5" t="s">
        <v>40</v>
      </c>
      <c r="K27" s="5" t="s">
        <v>28</v>
      </c>
      <c r="L27">
        <v>0.1</v>
      </c>
      <c r="M27" s="8">
        <f>L27/H27</f>
        <v>4</v>
      </c>
      <c r="N27" s="8">
        <v>5185.8969999999999</v>
      </c>
      <c r="O27" s="17">
        <v>4449.5032680837103</v>
      </c>
      <c r="P27">
        <f>8*(N27/B27)^2</f>
        <v>3.4423715449099523E-3</v>
      </c>
      <c r="Q27" s="9">
        <f>8*(O27/B27)^2</f>
        <v>2.5341541545840151E-3</v>
      </c>
      <c r="R27" s="10">
        <f>(Q27-P27)/P27</f>
        <v>-0.26383479484335992</v>
      </c>
      <c r="S27" s="8">
        <f>500*2*O27/B27</f>
        <v>17.79801307233484</v>
      </c>
      <c r="T27" s="4">
        <f>B27/4*P27</f>
        <v>215.14822155687202</v>
      </c>
    </row>
    <row r="28" spans="1:20">
      <c r="A28" t="s">
        <v>131</v>
      </c>
      <c r="B28" s="5">
        <v>250000</v>
      </c>
      <c r="C28" s="5" t="s">
        <v>39</v>
      </c>
      <c r="D28" s="5" t="s">
        <v>43</v>
      </c>
      <c r="E28" s="5">
        <v>6.7000000000000004E-2</v>
      </c>
      <c r="F28" s="5">
        <v>6.7000000000000004E-2</v>
      </c>
      <c r="G28">
        <f>F28</f>
        <v>6.7000000000000004E-2</v>
      </c>
      <c r="H28" s="5">
        <f>0.25*G28</f>
        <v>1.6750000000000001E-2</v>
      </c>
      <c r="I28" s="5">
        <v>1</v>
      </c>
      <c r="J28" s="5" t="s">
        <v>40</v>
      </c>
      <c r="K28" s="5" t="s">
        <v>28</v>
      </c>
      <c r="L28">
        <v>0.1</v>
      </c>
      <c r="M28" s="8">
        <f>L28/H28</f>
        <v>5.9701492537313436</v>
      </c>
      <c r="N28" s="8">
        <v>5185.8969999999999</v>
      </c>
      <c r="O28" s="17">
        <v>4920.5720290005802</v>
      </c>
      <c r="P28">
        <f>8*(N28/B28)^2</f>
        <v>3.4423715449099523E-3</v>
      </c>
      <c r="Q28" s="9">
        <f>8*(O28/B28)^2</f>
        <v>3.0991397238506095E-3</v>
      </c>
      <c r="R28" s="10">
        <f t="shared" ref="R28:R30" si="16">(Q28-P28)/P28</f>
        <v>-9.9707953247191158E-2</v>
      </c>
      <c r="S28" s="8">
        <f t="shared" ref="S28:S30" si="17">500*2*O28/B28</f>
        <v>19.682288116002322</v>
      </c>
      <c r="T28" s="4">
        <f t="shared" ref="T28:T30" si="18">B28/4*P28</f>
        <v>215.14822155687202</v>
      </c>
    </row>
    <row r="29" spans="1:20">
      <c r="A29" t="s">
        <v>131</v>
      </c>
      <c r="B29" s="5">
        <v>250000</v>
      </c>
      <c r="C29" s="5" t="s">
        <v>39</v>
      </c>
      <c r="D29" s="5" t="s">
        <v>44</v>
      </c>
      <c r="E29" s="5">
        <v>0.05</v>
      </c>
      <c r="F29" s="5">
        <v>0.05</v>
      </c>
      <c r="G29">
        <f>F29</f>
        <v>0.05</v>
      </c>
      <c r="H29" s="5">
        <f>0.25*G29</f>
        <v>1.2500000000000001E-2</v>
      </c>
      <c r="I29" s="5">
        <v>1</v>
      </c>
      <c r="J29" s="5" t="s">
        <v>40</v>
      </c>
      <c r="K29" s="5" t="s">
        <v>28</v>
      </c>
      <c r="L29">
        <v>0.1</v>
      </c>
      <c r="M29" s="8">
        <f>L29/H29</f>
        <v>8</v>
      </c>
      <c r="N29" s="8">
        <v>5185.8969999999999</v>
      </c>
      <c r="O29" s="17">
        <v>5123.7630065744997</v>
      </c>
      <c r="P29">
        <f>8*(N29/B29)^2</f>
        <v>3.4423715449099523E-3</v>
      </c>
      <c r="Q29" s="9">
        <f t="shared" ref="Q29:Q30" si="19">8*(O29/B29)^2</f>
        <v>3.3603772604852934E-3</v>
      </c>
      <c r="R29" s="10">
        <f t="shared" si="16"/>
        <v>-2.3819126830135286E-2</v>
      </c>
      <c r="S29" s="8">
        <f t="shared" si="17"/>
        <v>20.495052026297998</v>
      </c>
      <c r="T29" s="4">
        <f t="shared" si="18"/>
        <v>215.14822155687202</v>
      </c>
    </row>
    <row r="30" spans="1:20">
      <c r="A30" t="s">
        <v>131</v>
      </c>
      <c r="B30" s="5">
        <v>250000</v>
      </c>
      <c r="C30" s="5" t="s">
        <v>39</v>
      </c>
      <c r="D30" s="5" t="s">
        <v>45</v>
      </c>
      <c r="E30" s="5">
        <v>3.3000000000000002E-2</v>
      </c>
      <c r="F30" s="5">
        <v>3.3000000000000002E-2</v>
      </c>
      <c r="G30">
        <f>F30</f>
        <v>3.3000000000000002E-2</v>
      </c>
      <c r="H30" s="5">
        <f>0.25*G30</f>
        <v>8.2500000000000004E-3</v>
      </c>
      <c r="I30" s="5">
        <v>1</v>
      </c>
      <c r="J30" s="5" t="s">
        <v>40</v>
      </c>
      <c r="K30" s="5" t="s">
        <v>28</v>
      </c>
      <c r="L30">
        <v>0.1</v>
      </c>
      <c r="M30" s="8">
        <f>L30/H30</f>
        <v>12.121212121212121</v>
      </c>
      <c r="N30" s="8">
        <v>5185.8969999999999</v>
      </c>
      <c r="O30" s="17">
        <v>5206.2071308491204</v>
      </c>
      <c r="P30">
        <f>8*(N30/B30)^2</f>
        <v>3.4423715449099523E-3</v>
      </c>
      <c r="Q30" s="9">
        <f t="shared" si="19"/>
        <v>3.4693878642309416E-3</v>
      </c>
      <c r="R30" s="10">
        <f t="shared" si="16"/>
        <v>7.8481706487891611E-3</v>
      </c>
      <c r="S30" s="8">
        <f t="shared" si="17"/>
        <v>20.82482852339648</v>
      </c>
      <c r="T30" s="4">
        <f t="shared" si="18"/>
        <v>215.14822155687202</v>
      </c>
    </row>
    <row r="43" spans="1:15">
      <c r="A43" s="5">
        <v>250000</v>
      </c>
      <c r="B43" s="5" t="s">
        <v>39</v>
      </c>
      <c r="C43" s="5" t="s">
        <v>46</v>
      </c>
      <c r="D43" s="5">
        <v>0.2</v>
      </c>
      <c r="E43" s="5">
        <v>0.1</v>
      </c>
      <c r="F43">
        <v>0.1</v>
      </c>
      <c r="G43" s="5">
        <f>0.25*F43</f>
        <v>2.5000000000000001E-2</v>
      </c>
      <c r="H43" s="5">
        <v>2</v>
      </c>
      <c r="I43" s="5" t="s">
        <v>40</v>
      </c>
      <c r="J43" s="5" t="s">
        <v>28</v>
      </c>
      <c r="K43">
        <v>0.1</v>
      </c>
      <c r="L43" s="8">
        <f>K43/G43</f>
        <v>4</v>
      </c>
      <c r="M43" s="8">
        <v>5185.8969999999999</v>
      </c>
      <c r="O43">
        <f>8*(M43/A43)^2</f>
        <v>3.4423715449099523E-3</v>
      </c>
    </row>
    <row r="44" spans="1:15">
      <c r="A44" s="5">
        <v>250000</v>
      </c>
      <c r="B44" s="5" t="s">
        <v>39</v>
      </c>
      <c r="C44" s="5" t="s">
        <v>47</v>
      </c>
      <c r="D44" s="5">
        <f>E44*2</f>
        <v>0.13400000000000001</v>
      </c>
      <c r="E44" s="5">
        <v>6.7000000000000004E-2</v>
      </c>
      <c r="F44">
        <f>E44</f>
        <v>6.7000000000000004E-2</v>
      </c>
      <c r="G44" s="5">
        <f>0.25*F44</f>
        <v>1.6750000000000001E-2</v>
      </c>
      <c r="H44" s="5">
        <v>2</v>
      </c>
      <c r="I44" s="5" t="s">
        <v>40</v>
      </c>
      <c r="J44" s="5" t="s">
        <v>28</v>
      </c>
      <c r="K44">
        <v>0.1</v>
      </c>
      <c r="L44" s="8">
        <f>K44/G44</f>
        <v>5.9701492537313436</v>
      </c>
      <c r="M44" s="8">
        <v>5185.8969999999999</v>
      </c>
      <c r="O44">
        <f>8*(M44/A44)^2</f>
        <v>3.4423715449099523E-3</v>
      </c>
    </row>
    <row r="45" spans="1:15">
      <c r="A45" s="5">
        <v>250000</v>
      </c>
      <c r="B45" s="5" t="s">
        <v>39</v>
      </c>
      <c r="C45" s="5" t="s">
        <v>48</v>
      </c>
      <c r="D45" s="5">
        <f t="shared" ref="D45:D46" si="20">E45*2</f>
        <v>0.1</v>
      </c>
      <c r="E45" s="5">
        <v>0.05</v>
      </c>
      <c r="F45">
        <f>E45</f>
        <v>0.05</v>
      </c>
      <c r="G45" s="5">
        <f>0.25*F45</f>
        <v>1.2500000000000001E-2</v>
      </c>
      <c r="H45" s="5">
        <v>2</v>
      </c>
      <c r="I45" s="5" t="s">
        <v>40</v>
      </c>
      <c r="J45" s="5" t="s">
        <v>28</v>
      </c>
      <c r="K45">
        <v>0.1</v>
      </c>
      <c r="L45" s="8">
        <f>K45/G45</f>
        <v>8</v>
      </c>
      <c r="M45" s="8">
        <v>5185.8969999999999</v>
      </c>
      <c r="O45">
        <f>8*(M45/A45)^2</f>
        <v>3.4423715449099523E-3</v>
      </c>
    </row>
    <row r="46" spans="1:15">
      <c r="A46" s="5">
        <v>250000</v>
      </c>
      <c r="B46" s="5" t="s">
        <v>39</v>
      </c>
      <c r="C46" s="5" t="s">
        <v>49</v>
      </c>
      <c r="D46" s="5">
        <f t="shared" si="20"/>
        <v>6.6000000000000003E-2</v>
      </c>
      <c r="E46" s="5">
        <v>3.3000000000000002E-2</v>
      </c>
      <c r="F46">
        <f>E46</f>
        <v>3.3000000000000002E-2</v>
      </c>
      <c r="G46" s="5">
        <f>0.25*F46</f>
        <v>8.2500000000000004E-3</v>
      </c>
      <c r="H46" s="5">
        <v>2</v>
      </c>
      <c r="I46" s="5" t="s">
        <v>40</v>
      </c>
      <c r="J46" s="5" t="s">
        <v>28</v>
      </c>
      <c r="K46">
        <v>0.1</v>
      </c>
      <c r="L46" s="8">
        <f>K46/G46</f>
        <v>12.121212121212121</v>
      </c>
      <c r="M46" s="8">
        <v>5185.8969999999999</v>
      </c>
      <c r="O46">
        <f>8*(M46/A46)^2</f>
        <v>3.4423715449099523E-3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3D359-A47C-4A9C-AA50-6D07B64231AE}">
  <dimension ref="A1:D4"/>
  <sheetViews>
    <sheetView workbookViewId="0">
      <selection activeCell="C23" sqref="C23"/>
    </sheetView>
  </sheetViews>
  <sheetFormatPr defaultRowHeight="14.5"/>
  <cols>
    <col min="1" max="1" width="17.90625" customWidth="1"/>
    <col min="2" max="2" width="18.26953125" customWidth="1"/>
    <col min="3" max="3" width="23.36328125" customWidth="1"/>
    <col min="4" max="4" width="23" customWidth="1"/>
  </cols>
  <sheetData>
    <row r="1" spans="1:4">
      <c r="A1" t="s">
        <v>19</v>
      </c>
      <c r="B1" t="s">
        <v>20</v>
      </c>
      <c r="C1" t="s">
        <v>21</v>
      </c>
      <c r="D1" t="s">
        <v>22</v>
      </c>
    </row>
    <row r="4" spans="1:4">
      <c r="A4" s="3"/>
      <c r="B4" s="3"/>
      <c r="C4" s="3"/>
      <c r="D4" s="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B158E-7148-4AB6-B7D0-A5EFE522960E}">
  <dimension ref="A1:D1"/>
  <sheetViews>
    <sheetView workbookViewId="0">
      <selection activeCell="I24" sqref="I24"/>
    </sheetView>
  </sheetViews>
  <sheetFormatPr defaultRowHeight="14.5"/>
  <cols>
    <col min="1" max="1" width="14.7265625" customWidth="1"/>
    <col min="2" max="2" width="14.36328125" customWidth="1"/>
    <col min="3" max="3" width="14.81640625" customWidth="1"/>
    <col min="4" max="4" width="24.54296875" customWidth="1"/>
  </cols>
  <sheetData>
    <row r="1" spans="1:4">
      <c r="A1" t="s">
        <v>19</v>
      </c>
      <c r="B1" t="s">
        <v>20</v>
      </c>
      <c r="C1" t="s">
        <v>21</v>
      </c>
      <c r="D1" t="s">
        <v>22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65B28-909F-4DCB-A7FC-99B4B3E29597}">
  <dimension ref="A1:A3"/>
  <sheetViews>
    <sheetView workbookViewId="0">
      <selection activeCell="A18" sqref="A18"/>
    </sheetView>
  </sheetViews>
  <sheetFormatPr defaultRowHeight="14.5"/>
  <cols>
    <col min="1" max="1" width="95.81640625" customWidth="1"/>
    <col min="2" max="2" width="8.7265625" customWidth="1"/>
  </cols>
  <sheetData>
    <row r="1" spans="1:1">
      <c r="A1" t="s">
        <v>37</v>
      </c>
    </row>
    <row r="2" spans="1:1" ht="58">
      <c r="A2" s="1" t="s">
        <v>38</v>
      </c>
    </row>
    <row r="3" spans="1:1">
      <c r="A3" t="s">
        <v>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debug</vt:lpstr>
      <vt:lpstr>CHA_RETAU180</vt:lpstr>
      <vt:lpstr>CHA_RETAU550</vt:lpstr>
      <vt:lpstr>CHA_RETAU1000</vt:lpstr>
      <vt:lpstr>CHA_RETAU5200</vt:lpstr>
      <vt:lpstr>main</vt:lpstr>
      <vt:lpstr>initsolver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肖 茂超</dc:creator>
  <cp:lastModifiedBy>Maochao Xiao</cp:lastModifiedBy>
  <dcterms:created xsi:type="dcterms:W3CDTF">2023-11-18T20:01:01Z</dcterms:created>
  <dcterms:modified xsi:type="dcterms:W3CDTF">2024-04-18T13:47:56Z</dcterms:modified>
</cp:coreProperties>
</file>