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mchao\code\CaNS\docs\"/>
    </mc:Choice>
  </mc:AlternateContent>
  <xr:revisionPtr revIDLastSave="0" documentId="13_ncr:1_{976C446C-A481-4511-8075-CE0FB29D73A8}" xr6:coauthVersionLast="47" xr6:coauthVersionMax="47" xr10:uidLastSave="{00000000-0000-0000-0000-000000000000}"/>
  <bookViews>
    <workbookView xWindow="-110" yWindow="-110" windowWidth="25820" windowHeight="15500" firstSheet="3" activeTab="6" xr2:uid="{01D2C22A-6FDC-4C8A-89EA-CFEF89D4AB13}"/>
  </bookViews>
  <sheets>
    <sheet name="debug" sheetId="1" r:id="rId1"/>
    <sheet name="notes" sheetId="5" r:id="rId2"/>
    <sheet name="CHA_RETAU180" sheetId="9" r:id="rId3"/>
    <sheet name="CHA_RETAU395" sheetId="10" r:id="rId4"/>
    <sheet name="CHA_RETAU550" sheetId="7" r:id="rId5"/>
    <sheet name="CHA_RETAU1000" sheetId="4" r:id="rId6"/>
    <sheet name="CHA_RETAU5200" sheetId="6" r:id="rId7"/>
    <sheet name="DUC_RETAU150" sheetId="11" r:id="rId8"/>
    <sheet name="DUC_RETAU1000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5" i="6" l="1"/>
  <c r="U125" i="6"/>
  <c r="S125" i="6"/>
  <c r="Q125" i="6"/>
  <c r="R125" i="6" s="1"/>
  <c r="P125" i="6"/>
  <c r="T125" i="6" s="1"/>
  <c r="G125" i="6"/>
  <c r="W125" i="6" s="1"/>
  <c r="W124" i="6"/>
  <c r="V124" i="6"/>
  <c r="U124" i="6"/>
  <c r="T124" i="6"/>
  <c r="S124" i="6"/>
  <c r="Q124" i="6"/>
  <c r="R124" i="6" s="1"/>
  <c r="P124" i="6"/>
  <c r="G124" i="6"/>
  <c r="H124" i="6" s="1"/>
  <c r="W123" i="6"/>
  <c r="V123" i="6"/>
  <c r="U123" i="6"/>
  <c r="T123" i="6"/>
  <c r="S123" i="6"/>
  <c r="Q123" i="6"/>
  <c r="R123" i="6" s="1"/>
  <c r="P123" i="6"/>
  <c r="G123" i="6"/>
  <c r="H123" i="6" s="1"/>
  <c r="V122" i="6"/>
  <c r="U122" i="6"/>
  <c r="S122" i="6"/>
  <c r="Q122" i="6"/>
  <c r="R122" i="6" s="1"/>
  <c r="P122" i="6"/>
  <c r="T122" i="6" s="1"/>
  <c r="G122" i="6"/>
  <c r="W122" i="6" s="1"/>
  <c r="V113" i="6"/>
  <c r="U113" i="6"/>
  <c r="S113" i="6"/>
  <c r="Q113" i="6"/>
  <c r="R113" i="6" s="1"/>
  <c r="P113" i="6"/>
  <c r="T113" i="6" s="1"/>
  <c r="G113" i="6"/>
  <c r="W113" i="6" s="1"/>
  <c r="X112" i="6"/>
  <c r="W112" i="6"/>
  <c r="V112" i="6"/>
  <c r="U112" i="6"/>
  <c r="S112" i="6"/>
  <c r="Q112" i="6"/>
  <c r="R112" i="6" s="1"/>
  <c r="P112" i="6"/>
  <c r="T112" i="6" s="1"/>
  <c r="H112" i="6"/>
  <c r="M112" i="6" s="1"/>
  <c r="G112" i="6"/>
  <c r="W111" i="6"/>
  <c r="V111" i="6"/>
  <c r="U111" i="6"/>
  <c r="T111" i="6"/>
  <c r="S111" i="6"/>
  <c r="Q111" i="6"/>
  <c r="R111" i="6" s="1"/>
  <c r="P111" i="6"/>
  <c r="G111" i="6"/>
  <c r="H111" i="6" s="1"/>
  <c r="V110" i="6"/>
  <c r="U110" i="6"/>
  <c r="S110" i="6"/>
  <c r="Q110" i="6"/>
  <c r="R110" i="6" s="1"/>
  <c r="P110" i="6"/>
  <c r="T110" i="6" s="1"/>
  <c r="G110" i="6"/>
  <c r="W110" i="6" s="1"/>
  <c r="H6" i="12"/>
  <c r="G6" i="12"/>
  <c r="W6" i="12" s="1"/>
  <c r="F6" i="12"/>
  <c r="V6" i="12" s="1"/>
  <c r="E6" i="12"/>
  <c r="X6" i="12"/>
  <c r="U6" i="12"/>
  <c r="T6" i="12"/>
  <c r="S6" i="12"/>
  <c r="Q6" i="12"/>
  <c r="R6" i="12" s="1"/>
  <c r="P6" i="12"/>
  <c r="H3" i="11"/>
  <c r="G3" i="11"/>
  <c r="F3" i="11"/>
  <c r="V3" i="11" s="1"/>
  <c r="E3" i="11"/>
  <c r="V5" i="12"/>
  <c r="S5" i="12"/>
  <c r="Q5" i="12"/>
  <c r="R5" i="12" s="1"/>
  <c r="P5" i="12"/>
  <c r="T5" i="12" s="1"/>
  <c r="H5" i="12"/>
  <c r="X5" i="12" s="1"/>
  <c r="G5" i="12"/>
  <c r="W5" i="12" s="1"/>
  <c r="F5" i="12"/>
  <c r="E5" i="12"/>
  <c r="U5" i="12" s="1"/>
  <c r="W4" i="12"/>
  <c r="U4" i="12"/>
  <c r="S4" i="12"/>
  <c r="Q4" i="12"/>
  <c r="R4" i="12" s="1"/>
  <c r="P4" i="12"/>
  <c r="T4" i="12" s="1"/>
  <c r="H4" i="12"/>
  <c r="G4" i="12"/>
  <c r="F4" i="12"/>
  <c r="V4" i="12" s="1"/>
  <c r="E4" i="12"/>
  <c r="V3" i="12"/>
  <c r="U3" i="12"/>
  <c r="T3" i="12"/>
  <c r="S3" i="12"/>
  <c r="Q3" i="12"/>
  <c r="R3" i="12" s="1"/>
  <c r="P3" i="12"/>
  <c r="H3" i="12"/>
  <c r="G3" i="12"/>
  <c r="W3" i="12" s="1"/>
  <c r="F3" i="12"/>
  <c r="E3" i="12"/>
  <c r="V2" i="12"/>
  <c r="S2" i="12"/>
  <c r="Q2" i="12"/>
  <c r="R2" i="12" s="1"/>
  <c r="P2" i="12"/>
  <c r="T2" i="12" s="1"/>
  <c r="H2" i="12"/>
  <c r="X2" i="12" s="1"/>
  <c r="G2" i="12"/>
  <c r="W2" i="12" s="1"/>
  <c r="F2" i="12"/>
  <c r="E2" i="12"/>
  <c r="U2" i="12" s="1"/>
  <c r="S3" i="11"/>
  <c r="X3" i="11"/>
  <c r="W3" i="11"/>
  <c r="Q3" i="11"/>
  <c r="P3" i="11"/>
  <c r="T3" i="11" s="1"/>
  <c r="U3" i="11"/>
  <c r="X4" i="11"/>
  <c r="W4" i="11"/>
  <c r="S4" i="11"/>
  <c r="R4" i="11"/>
  <c r="Q4" i="11"/>
  <c r="P4" i="11"/>
  <c r="T4" i="11" s="1"/>
  <c r="F4" i="11"/>
  <c r="V4" i="11" s="1"/>
  <c r="E4" i="11"/>
  <c r="U4" i="11" s="1"/>
  <c r="S2" i="11"/>
  <c r="F2" i="11"/>
  <c r="V2" i="11" s="1"/>
  <c r="E2" i="11"/>
  <c r="U2" i="11" s="1"/>
  <c r="X2" i="11"/>
  <c r="W2" i="11"/>
  <c r="Q2" i="11"/>
  <c r="P2" i="11"/>
  <c r="T2" i="11" s="1"/>
  <c r="V58" i="7"/>
  <c r="U58" i="7"/>
  <c r="S58" i="7"/>
  <c r="Q58" i="7"/>
  <c r="P58" i="7"/>
  <c r="T58" i="7" s="1"/>
  <c r="G58" i="7"/>
  <c r="W58" i="7" s="1"/>
  <c r="X57" i="7"/>
  <c r="W57" i="7"/>
  <c r="V57" i="7"/>
  <c r="U57" i="7"/>
  <c r="S57" i="7"/>
  <c r="Q57" i="7"/>
  <c r="R57" i="7" s="1"/>
  <c r="P57" i="7"/>
  <c r="T57" i="7" s="1"/>
  <c r="H57" i="7"/>
  <c r="M57" i="7" s="1"/>
  <c r="G57" i="7"/>
  <c r="W56" i="7"/>
  <c r="V56" i="7"/>
  <c r="U56" i="7"/>
  <c r="T56" i="7"/>
  <c r="S56" i="7"/>
  <c r="Q56" i="7"/>
  <c r="R56" i="7" s="1"/>
  <c r="P56" i="7"/>
  <c r="G56" i="7"/>
  <c r="H56" i="7" s="1"/>
  <c r="V55" i="7"/>
  <c r="U55" i="7"/>
  <c r="Q55" i="7"/>
  <c r="R55" i="7" s="1"/>
  <c r="P55" i="7"/>
  <c r="T55" i="7" s="1"/>
  <c r="G55" i="7"/>
  <c r="W55" i="7" s="1"/>
  <c r="X52" i="7"/>
  <c r="W52" i="7"/>
  <c r="V52" i="7"/>
  <c r="U52" i="7"/>
  <c r="S52" i="7"/>
  <c r="Q52" i="7"/>
  <c r="R52" i="7" s="1"/>
  <c r="P52" i="7"/>
  <c r="T52" i="7" s="1"/>
  <c r="M52" i="7"/>
  <c r="H52" i="7"/>
  <c r="G52" i="7"/>
  <c r="V51" i="7"/>
  <c r="U51" i="7"/>
  <c r="S51" i="7"/>
  <c r="Q51" i="7"/>
  <c r="R51" i="7" s="1"/>
  <c r="P51" i="7"/>
  <c r="T51" i="7" s="1"/>
  <c r="G51" i="7"/>
  <c r="H51" i="7" s="1"/>
  <c r="X50" i="7"/>
  <c r="W50" i="7"/>
  <c r="V50" i="7"/>
  <c r="U50" i="7"/>
  <c r="S50" i="7"/>
  <c r="Q50" i="7"/>
  <c r="R50" i="7" s="1"/>
  <c r="P50" i="7"/>
  <c r="T50" i="7" s="1"/>
  <c r="H50" i="7"/>
  <c r="M50" i="7" s="1"/>
  <c r="G50" i="7"/>
  <c r="W49" i="7"/>
  <c r="V49" i="7"/>
  <c r="U49" i="7"/>
  <c r="T49" i="7"/>
  <c r="R49" i="7"/>
  <c r="Q49" i="7"/>
  <c r="P49" i="7"/>
  <c r="G49" i="7"/>
  <c r="H49" i="7" s="1"/>
  <c r="V119" i="6"/>
  <c r="U119" i="6"/>
  <c r="S119" i="6"/>
  <c r="Q119" i="6"/>
  <c r="R119" i="6" s="1"/>
  <c r="P119" i="6"/>
  <c r="T119" i="6" s="1"/>
  <c r="G119" i="6"/>
  <c r="H119" i="6" s="1"/>
  <c r="V118" i="6"/>
  <c r="U118" i="6"/>
  <c r="S118" i="6"/>
  <c r="Q118" i="6"/>
  <c r="P118" i="6"/>
  <c r="T118" i="6" s="1"/>
  <c r="G118" i="6"/>
  <c r="H118" i="6" s="1"/>
  <c r="W117" i="6"/>
  <c r="V117" i="6"/>
  <c r="U117" i="6"/>
  <c r="T117" i="6"/>
  <c r="S117" i="6"/>
  <c r="Q117" i="6"/>
  <c r="R117" i="6" s="1"/>
  <c r="P117" i="6"/>
  <c r="G117" i="6"/>
  <c r="H117" i="6" s="1"/>
  <c r="V116" i="6"/>
  <c r="U116" i="6"/>
  <c r="S116" i="6"/>
  <c r="Q116" i="6"/>
  <c r="P116" i="6"/>
  <c r="T116" i="6" s="1"/>
  <c r="G116" i="6"/>
  <c r="W116" i="6" s="1"/>
  <c r="X45" i="7"/>
  <c r="W45" i="7"/>
  <c r="S45" i="7"/>
  <c r="Q45" i="7"/>
  <c r="P45" i="7"/>
  <c r="T45" i="7" s="1"/>
  <c r="F45" i="7"/>
  <c r="V45" i="7" s="1"/>
  <c r="E45" i="7"/>
  <c r="U45" i="7" s="1"/>
  <c r="V107" i="6"/>
  <c r="U107" i="6"/>
  <c r="S107" i="6"/>
  <c r="Q107" i="6"/>
  <c r="P107" i="6"/>
  <c r="T107" i="6" s="1"/>
  <c r="G107" i="6"/>
  <c r="W107" i="6" s="1"/>
  <c r="V106" i="6"/>
  <c r="U106" i="6"/>
  <c r="S106" i="6"/>
  <c r="Q106" i="6"/>
  <c r="P106" i="6"/>
  <c r="T106" i="6" s="1"/>
  <c r="G106" i="6"/>
  <c r="W106" i="6" s="1"/>
  <c r="V105" i="6"/>
  <c r="U105" i="6"/>
  <c r="S105" i="6"/>
  <c r="Q105" i="6"/>
  <c r="P105" i="6"/>
  <c r="T105" i="6" s="1"/>
  <c r="G105" i="6"/>
  <c r="H105" i="6" s="1"/>
  <c r="V104" i="6"/>
  <c r="U104" i="6"/>
  <c r="S104" i="6"/>
  <c r="Q104" i="6"/>
  <c r="P104" i="6"/>
  <c r="T104" i="6" s="1"/>
  <c r="G104" i="6"/>
  <c r="H104" i="6" s="1"/>
  <c r="V101" i="6"/>
  <c r="U101" i="6"/>
  <c r="S101" i="6"/>
  <c r="Q101" i="6"/>
  <c r="P101" i="6"/>
  <c r="T101" i="6" s="1"/>
  <c r="G101" i="6"/>
  <c r="W101" i="6" s="1"/>
  <c r="V100" i="6"/>
  <c r="U100" i="6"/>
  <c r="S100" i="6"/>
  <c r="Q100" i="6"/>
  <c r="P100" i="6"/>
  <c r="T100" i="6" s="1"/>
  <c r="G100" i="6"/>
  <c r="W100" i="6" s="1"/>
  <c r="W99" i="6"/>
  <c r="V99" i="6"/>
  <c r="U99" i="6"/>
  <c r="S99" i="6"/>
  <c r="Q99" i="6"/>
  <c r="P99" i="6"/>
  <c r="T99" i="6" s="1"/>
  <c r="G99" i="6"/>
  <c r="H99" i="6" s="1"/>
  <c r="V98" i="6"/>
  <c r="U98" i="6"/>
  <c r="S98" i="6"/>
  <c r="Q98" i="6"/>
  <c r="P98" i="6"/>
  <c r="T98" i="6" s="1"/>
  <c r="G98" i="6"/>
  <c r="W98" i="6" s="1"/>
  <c r="V95" i="6"/>
  <c r="U95" i="6"/>
  <c r="S95" i="6"/>
  <c r="Q95" i="6"/>
  <c r="P95" i="6"/>
  <c r="T95" i="6" s="1"/>
  <c r="G95" i="6"/>
  <c r="W95" i="6" s="1"/>
  <c r="V94" i="6"/>
  <c r="U94" i="6"/>
  <c r="S94" i="6"/>
  <c r="Q94" i="6"/>
  <c r="P94" i="6"/>
  <c r="T94" i="6" s="1"/>
  <c r="G94" i="6"/>
  <c r="W94" i="6" s="1"/>
  <c r="V93" i="6"/>
  <c r="U93" i="6"/>
  <c r="S93" i="6"/>
  <c r="Q93" i="6"/>
  <c r="P93" i="6"/>
  <c r="T93" i="6" s="1"/>
  <c r="G93" i="6"/>
  <c r="W93" i="6" s="1"/>
  <c r="W92" i="6"/>
  <c r="V92" i="6"/>
  <c r="U92" i="6"/>
  <c r="S92" i="6"/>
  <c r="Q92" i="6"/>
  <c r="P92" i="6"/>
  <c r="T92" i="6" s="1"/>
  <c r="G92" i="6"/>
  <c r="H92" i="6" s="1"/>
  <c r="V89" i="6"/>
  <c r="U89" i="6"/>
  <c r="S89" i="6"/>
  <c r="Q89" i="6"/>
  <c r="P89" i="6"/>
  <c r="T89" i="6" s="1"/>
  <c r="G89" i="6"/>
  <c r="H89" i="6" s="1"/>
  <c r="V88" i="6"/>
  <c r="U88" i="6"/>
  <c r="S88" i="6"/>
  <c r="Q88" i="6"/>
  <c r="P88" i="6"/>
  <c r="T88" i="6" s="1"/>
  <c r="G88" i="6"/>
  <c r="H88" i="6" s="1"/>
  <c r="V87" i="6"/>
  <c r="U87" i="6"/>
  <c r="S87" i="6"/>
  <c r="Q87" i="6"/>
  <c r="P87" i="6"/>
  <c r="T87" i="6" s="1"/>
  <c r="G87" i="6"/>
  <c r="W87" i="6" s="1"/>
  <c r="V86" i="6"/>
  <c r="U86" i="6"/>
  <c r="S86" i="6"/>
  <c r="Q86" i="6"/>
  <c r="P86" i="6"/>
  <c r="T86" i="6" s="1"/>
  <c r="G86" i="6"/>
  <c r="W86" i="6" s="1"/>
  <c r="V83" i="6"/>
  <c r="U83" i="6"/>
  <c r="S83" i="6"/>
  <c r="Q83" i="6"/>
  <c r="P83" i="6"/>
  <c r="T83" i="6" s="1"/>
  <c r="G83" i="6"/>
  <c r="H83" i="6" s="1"/>
  <c r="V82" i="6"/>
  <c r="U82" i="6"/>
  <c r="S82" i="6"/>
  <c r="Q82" i="6"/>
  <c r="P82" i="6"/>
  <c r="T82" i="6" s="1"/>
  <c r="H82" i="6"/>
  <c r="M82" i="6" s="1"/>
  <c r="G82" i="6"/>
  <c r="W82" i="6" s="1"/>
  <c r="V81" i="6"/>
  <c r="U81" i="6"/>
  <c r="S81" i="6"/>
  <c r="Q81" i="6"/>
  <c r="P81" i="6"/>
  <c r="T81" i="6" s="1"/>
  <c r="G81" i="6"/>
  <c r="W81" i="6" s="1"/>
  <c r="V80" i="6"/>
  <c r="U80" i="6"/>
  <c r="S80" i="6"/>
  <c r="Q80" i="6"/>
  <c r="P80" i="6"/>
  <c r="T80" i="6" s="1"/>
  <c r="G80" i="6"/>
  <c r="H80" i="6" s="1"/>
  <c r="X44" i="7"/>
  <c r="W44" i="7"/>
  <c r="S44" i="7"/>
  <c r="Q44" i="7"/>
  <c r="R44" i="7" s="1"/>
  <c r="P44" i="7"/>
  <c r="T44" i="7" s="1"/>
  <c r="F44" i="7"/>
  <c r="V44" i="7" s="1"/>
  <c r="E44" i="7"/>
  <c r="U44" i="7" s="1"/>
  <c r="X29" i="7"/>
  <c r="X28" i="7"/>
  <c r="F35" i="4"/>
  <c r="V35" i="4" s="1"/>
  <c r="E35" i="4"/>
  <c r="U35" i="4" s="1"/>
  <c r="X35" i="4"/>
  <c r="W35" i="4"/>
  <c r="S35" i="4"/>
  <c r="Q35" i="4"/>
  <c r="R35" i="4" s="1"/>
  <c r="P35" i="4"/>
  <c r="T35" i="4" s="1"/>
  <c r="S34" i="9"/>
  <c r="S35" i="9"/>
  <c r="S36" i="9"/>
  <c r="S37" i="9"/>
  <c r="S29" i="9"/>
  <c r="S30" i="9"/>
  <c r="S31" i="9"/>
  <c r="S28" i="9"/>
  <c r="W37" i="9"/>
  <c r="V37" i="9"/>
  <c r="U37" i="9"/>
  <c r="T37" i="9"/>
  <c r="Q37" i="9"/>
  <c r="R37" i="9" s="1"/>
  <c r="P37" i="9"/>
  <c r="G37" i="9"/>
  <c r="H37" i="9" s="1"/>
  <c r="V36" i="9"/>
  <c r="U36" i="9"/>
  <c r="R36" i="9"/>
  <c r="Q36" i="9"/>
  <c r="P36" i="9"/>
  <c r="T36" i="9" s="1"/>
  <c r="G36" i="9"/>
  <c r="H36" i="9" s="1"/>
  <c r="V35" i="9"/>
  <c r="U35" i="9"/>
  <c r="T35" i="9"/>
  <c r="Q35" i="9"/>
  <c r="R35" i="9" s="1"/>
  <c r="P35" i="9"/>
  <c r="H35" i="9"/>
  <c r="G35" i="9"/>
  <c r="W35" i="9" s="1"/>
  <c r="W34" i="9"/>
  <c r="V34" i="9"/>
  <c r="U34" i="9"/>
  <c r="Q34" i="9"/>
  <c r="R34" i="9" s="1"/>
  <c r="P34" i="9"/>
  <c r="T34" i="9" s="1"/>
  <c r="G34" i="9"/>
  <c r="H34" i="9" s="1"/>
  <c r="V31" i="9"/>
  <c r="U31" i="9"/>
  <c r="T31" i="9"/>
  <c r="R31" i="9"/>
  <c r="Q31" i="9"/>
  <c r="P31" i="9"/>
  <c r="H31" i="9"/>
  <c r="X31" i="9" s="1"/>
  <c r="G31" i="9"/>
  <c r="W31" i="9" s="1"/>
  <c r="W30" i="9"/>
  <c r="V30" i="9"/>
  <c r="U30" i="9"/>
  <c r="Q30" i="9"/>
  <c r="R30" i="9" s="1"/>
  <c r="P30" i="9"/>
  <c r="T30" i="9" s="1"/>
  <c r="H30" i="9"/>
  <c r="X30" i="9" s="1"/>
  <c r="G30" i="9"/>
  <c r="V29" i="9"/>
  <c r="U29" i="9"/>
  <c r="T29" i="9"/>
  <c r="Q29" i="9"/>
  <c r="R29" i="9" s="1"/>
  <c r="P29" i="9"/>
  <c r="G29" i="9"/>
  <c r="W29" i="9" s="1"/>
  <c r="W28" i="9"/>
  <c r="V28" i="9"/>
  <c r="U28" i="9"/>
  <c r="T28" i="9"/>
  <c r="Q28" i="9"/>
  <c r="R28" i="9" s="1"/>
  <c r="P28" i="9"/>
  <c r="G28" i="9"/>
  <c r="H28" i="9" s="1"/>
  <c r="X31" i="4"/>
  <c r="W31" i="4"/>
  <c r="V31" i="4"/>
  <c r="U31" i="4"/>
  <c r="S31" i="4"/>
  <c r="Q31" i="4"/>
  <c r="R31" i="4" s="1"/>
  <c r="P31" i="4"/>
  <c r="T31" i="4" s="1"/>
  <c r="I31" i="4"/>
  <c r="F31" i="4"/>
  <c r="E31" i="4"/>
  <c r="X30" i="4"/>
  <c r="W30" i="4"/>
  <c r="S30" i="4"/>
  <c r="Q30" i="4"/>
  <c r="R30" i="4" s="1"/>
  <c r="P30" i="4"/>
  <c r="T30" i="4" s="1"/>
  <c r="F30" i="4"/>
  <c r="V30" i="4" s="1"/>
  <c r="E30" i="4"/>
  <c r="U30" i="4" s="1"/>
  <c r="X28" i="4"/>
  <c r="W28" i="4"/>
  <c r="S28" i="4"/>
  <c r="Q28" i="4"/>
  <c r="R28" i="4" s="1"/>
  <c r="P28" i="4"/>
  <c r="T28" i="4" s="1"/>
  <c r="F28" i="4"/>
  <c r="V28" i="4" s="1"/>
  <c r="E28" i="4"/>
  <c r="U28" i="4" s="1"/>
  <c r="F29" i="4"/>
  <c r="E29" i="4"/>
  <c r="U29" i="4"/>
  <c r="V29" i="4"/>
  <c r="X14" i="10"/>
  <c r="W14" i="10"/>
  <c r="T14" i="10"/>
  <c r="S14" i="10"/>
  <c r="Q14" i="10"/>
  <c r="R14" i="10" s="1"/>
  <c r="P14" i="10"/>
  <c r="F14" i="10"/>
  <c r="V14" i="10" s="1"/>
  <c r="E14" i="10"/>
  <c r="U14" i="10" s="1"/>
  <c r="X13" i="10"/>
  <c r="W13" i="10"/>
  <c r="U13" i="10"/>
  <c r="T13" i="10"/>
  <c r="S13" i="10"/>
  <c r="Q13" i="10"/>
  <c r="R13" i="10" s="1"/>
  <c r="P13" i="10"/>
  <c r="F13" i="10"/>
  <c r="I13" i="10" s="1"/>
  <c r="E13" i="10"/>
  <c r="X12" i="10"/>
  <c r="W12" i="10"/>
  <c r="V12" i="10"/>
  <c r="U12" i="10"/>
  <c r="S12" i="10"/>
  <c r="Q12" i="10"/>
  <c r="R12" i="10" s="1"/>
  <c r="P12" i="10"/>
  <c r="T12" i="10" s="1"/>
  <c r="I12" i="10"/>
  <c r="F12" i="10"/>
  <c r="E12" i="10"/>
  <c r="X11" i="10"/>
  <c r="W11" i="10"/>
  <c r="V11" i="10"/>
  <c r="S11" i="10"/>
  <c r="Q11" i="10"/>
  <c r="R11" i="10" s="1"/>
  <c r="P11" i="10"/>
  <c r="T11" i="10" s="1"/>
  <c r="F11" i="10"/>
  <c r="E11" i="10"/>
  <c r="U11" i="10" s="1"/>
  <c r="Q9" i="10"/>
  <c r="Q7" i="10"/>
  <c r="X9" i="10"/>
  <c r="W9" i="10"/>
  <c r="S9" i="10"/>
  <c r="P9" i="10"/>
  <c r="T9" i="10" s="1"/>
  <c r="F9" i="10"/>
  <c r="V9" i="10" s="1"/>
  <c r="E9" i="10"/>
  <c r="U9" i="10" s="1"/>
  <c r="X8" i="10"/>
  <c r="W8" i="10"/>
  <c r="V8" i="10"/>
  <c r="T8" i="10"/>
  <c r="S8" i="10"/>
  <c r="Q8" i="10"/>
  <c r="P8" i="10"/>
  <c r="F8" i="10"/>
  <c r="I8" i="10" s="1"/>
  <c r="E8" i="10"/>
  <c r="U8" i="10" s="1"/>
  <c r="X7" i="10"/>
  <c r="W7" i="10"/>
  <c r="T7" i="10"/>
  <c r="S7" i="10"/>
  <c r="P7" i="10"/>
  <c r="F7" i="10"/>
  <c r="V7" i="10" s="1"/>
  <c r="E7" i="10"/>
  <c r="I7" i="10" s="1"/>
  <c r="X4" i="10"/>
  <c r="W4" i="10"/>
  <c r="S4" i="10"/>
  <c r="Q4" i="10"/>
  <c r="P4" i="10"/>
  <c r="T4" i="10" s="1"/>
  <c r="F4" i="10"/>
  <c r="V4" i="10" s="1"/>
  <c r="E4" i="10"/>
  <c r="U4" i="10" s="1"/>
  <c r="X3" i="10"/>
  <c r="W3" i="10"/>
  <c r="V3" i="10"/>
  <c r="U3" i="10"/>
  <c r="T3" i="10"/>
  <c r="S3" i="10"/>
  <c r="Q3" i="10"/>
  <c r="R3" i="10" s="1"/>
  <c r="P3" i="10"/>
  <c r="F3" i="10"/>
  <c r="I3" i="10" s="1"/>
  <c r="E3" i="10"/>
  <c r="X5" i="10"/>
  <c r="W5" i="10"/>
  <c r="S5" i="10"/>
  <c r="Q5" i="10"/>
  <c r="P5" i="10"/>
  <c r="T5" i="10" s="1"/>
  <c r="F5" i="10"/>
  <c r="V5" i="10" s="1"/>
  <c r="E5" i="10"/>
  <c r="F2" i="10"/>
  <c r="V2" i="10" s="1"/>
  <c r="E2" i="10"/>
  <c r="X29" i="4"/>
  <c r="W29" i="4"/>
  <c r="S29" i="4"/>
  <c r="Q29" i="4"/>
  <c r="R29" i="4" s="1"/>
  <c r="P29" i="4"/>
  <c r="T29" i="4" s="1"/>
  <c r="X2" i="10"/>
  <c r="W2" i="10"/>
  <c r="S2" i="10"/>
  <c r="Q2" i="10"/>
  <c r="P2" i="10"/>
  <c r="T2" i="10" s="1"/>
  <c r="X35" i="7"/>
  <c r="W35" i="7"/>
  <c r="V35" i="7"/>
  <c r="U35" i="7"/>
  <c r="S35" i="7"/>
  <c r="Q35" i="7"/>
  <c r="R35" i="7" s="1"/>
  <c r="P35" i="7"/>
  <c r="T35" i="7" s="1"/>
  <c r="I35" i="7"/>
  <c r="X34" i="7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W29" i="7"/>
  <c r="V29" i="7"/>
  <c r="U29" i="7"/>
  <c r="S29" i="7"/>
  <c r="Q29" i="7"/>
  <c r="R29" i="7" s="1"/>
  <c r="P29" i="7"/>
  <c r="T29" i="7" s="1"/>
  <c r="I29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8" i="6"/>
  <c r="V58" i="6"/>
  <c r="U59" i="6"/>
  <c r="V59" i="6"/>
  <c r="U62" i="6"/>
  <c r="V62" i="6"/>
  <c r="U63" i="6"/>
  <c r="V63" i="6"/>
  <c r="U64" i="6"/>
  <c r="V64" i="6"/>
  <c r="U65" i="6"/>
  <c r="V65" i="6"/>
  <c r="U68" i="6"/>
  <c r="V68" i="6"/>
  <c r="U69" i="6"/>
  <c r="V69" i="6"/>
  <c r="U70" i="6"/>
  <c r="V70" i="6"/>
  <c r="U71" i="6"/>
  <c r="V71" i="6"/>
  <c r="U74" i="6"/>
  <c r="V74" i="6"/>
  <c r="U75" i="6"/>
  <c r="V75" i="6"/>
  <c r="U76" i="6"/>
  <c r="V76" i="6"/>
  <c r="U77" i="6"/>
  <c r="V77" i="6"/>
  <c r="U32" i="6"/>
  <c r="V32" i="6"/>
  <c r="U33" i="6"/>
  <c r="V33" i="6"/>
  <c r="U34" i="6"/>
  <c r="V34" i="6"/>
  <c r="U35" i="6"/>
  <c r="V35" i="6"/>
  <c r="U38" i="6"/>
  <c r="V38" i="6"/>
  <c r="U39" i="6"/>
  <c r="V39" i="6"/>
  <c r="U40" i="6"/>
  <c r="V40" i="6"/>
  <c r="U41" i="6"/>
  <c r="V41" i="6"/>
  <c r="U44" i="6"/>
  <c r="V44" i="6"/>
  <c r="U45" i="6"/>
  <c r="V45" i="6"/>
  <c r="U46" i="6"/>
  <c r="V46" i="6"/>
  <c r="U47" i="6"/>
  <c r="V47" i="6"/>
  <c r="U50" i="6"/>
  <c r="V50" i="6"/>
  <c r="U51" i="6"/>
  <c r="V51" i="6"/>
  <c r="U52" i="6"/>
  <c r="V52" i="6"/>
  <c r="U53" i="6"/>
  <c r="V53" i="6"/>
  <c r="U56" i="6"/>
  <c r="V56" i="6"/>
  <c r="U57" i="6"/>
  <c r="V57" i="6"/>
  <c r="U3" i="6"/>
  <c r="V3" i="6"/>
  <c r="U4" i="6"/>
  <c r="V4" i="6"/>
  <c r="U5" i="6"/>
  <c r="V5" i="6"/>
  <c r="U8" i="6"/>
  <c r="V8" i="6"/>
  <c r="U9" i="6"/>
  <c r="V9" i="6"/>
  <c r="U10" i="6"/>
  <c r="V10" i="6"/>
  <c r="U11" i="6"/>
  <c r="V11" i="6"/>
  <c r="U14" i="6"/>
  <c r="V14" i="6"/>
  <c r="U15" i="6"/>
  <c r="V15" i="6"/>
  <c r="U16" i="6"/>
  <c r="V16" i="6"/>
  <c r="U17" i="6"/>
  <c r="V17" i="6"/>
  <c r="U20" i="6"/>
  <c r="V20" i="6"/>
  <c r="U21" i="6"/>
  <c r="V21" i="6"/>
  <c r="U22" i="6"/>
  <c r="V22" i="6"/>
  <c r="U23" i="6"/>
  <c r="V23" i="6"/>
  <c r="U26" i="6"/>
  <c r="V26" i="6"/>
  <c r="U27" i="6"/>
  <c r="V27" i="6"/>
  <c r="U28" i="6"/>
  <c r="V28" i="6"/>
  <c r="U29" i="6"/>
  <c r="V29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7" i="6"/>
  <c r="Q77" i="6"/>
  <c r="P77" i="6"/>
  <c r="T77" i="6" s="1"/>
  <c r="G77" i="6"/>
  <c r="H77" i="6" s="1"/>
  <c r="M77" i="6" s="1"/>
  <c r="S76" i="6"/>
  <c r="Q76" i="6"/>
  <c r="P76" i="6"/>
  <c r="T76" i="6" s="1"/>
  <c r="G76" i="6"/>
  <c r="H76" i="6" s="1"/>
  <c r="M76" i="6" s="1"/>
  <c r="S75" i="6"/>
  <c r="Q75" i="6"/>
  <c r="P75" i="6"/>
  <c r="T75" i="6" s="1"/>
  <c r="G75" i="6"/>
  <c r="H75" i="6" s="1"/>
  <c r="M75" i="6" s="1"/>
  <c r="S74" i="6"/>
  <c r="Q74" i="6"/>
  <c r="P74" i="6"/>
  <c r="T74" i="6" s="1"/>
  <c r="G74" i="6"/>
  <c r="H74" i="6" s="1"/>
  <c r="M74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S68" i="6"/>
  <c r="Q68" i="6"/>
  <c r="P68" i="6"/>
  <c r="T68" i="6" s="1"/>
  <c r="G68" i="6"/>
  <c r="H68" i="6" s="1"/>
  <c r="M68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62" i="6"/>
  <c r="Q62" i="6"/>
  <c r="P62" i="6"/>
  <c r="T62" i="6" s="1"/>
  <c r="G62" i="6"/>
  <c r="H62" i="6" s="1"/>
  <c r="M62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44" i="6"/>
  <c r="Q44" i="6"/>
  <c r="P44" i="6"/>
  <c r="T44" i="6" s="1"/>
  <c r="G44" i="6"/>
  <c r="H44" i="6" s="1"/>
  <c r="M44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6" i="6"/>
  <c r="Q56" i="6"/>
  <c r="P56" i="6"/>
  <c r="T56" i="6" s="1"/>
  <c r="G56" i="6"/>
  <c r="H56" i="6" s="1"/>
  <c r="M56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50" i="6"/>
  <c r="Q50" i="6"/>
  <c r="P50" i="6"/>
  <c r="T50" i="6" s="1"/>
  <c r="G50" i="6"/>
  <c r="H50" i="6" s="1"/>
  <c r="M50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8" i="6"/>
  <c r="Q38" i="6"/>
  <c r="P38" i="6"/>
  <c r="T38" i="6" s="1"/>
  <c r="G38" i="6"/>
  <c r="H38" i="6" s="1"/>
  <c r="M38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2" i="6"/>
  <c r="Q32" i="6"/>
  <c r="P32" i="6"/>
  <c r="T32" i="6" s="1"/>
  <c r="G32" i="6"/>
  <c r="H32" i="6" s="1"/>
  <c r="M32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6" i="6"/>
  <c r="Q26" i="6"/>
  <c r="P26" i="6"/>
  <c r="T26" i="6" s="1"/>
  <c r="G26" i="6"/>
  <c r="H26" i="6" s="1"/>
  <c r="M26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20" i="6"/>
  <c r="Q20" i="6"/>
  <c r="P20" i="6"/>
  <c r="T20" i="6" s="1"/>
  <c r="G20" i="6"/>
  <c r="H20" i="6" s="1"/>
  <c r="M20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4" i="6"/>
  <c r="Q14" i="6"/>
  <c r="P14" i="6"/>
  <c r="T14" i="6" s="1"/>
  <c r="G14" i="6"/>
  <c r="H14" i="6" s="1"/>
  <c r="M14" i="6" s="1"/>
  <c r="S9" i="6"/>
  <c r="S10" i="6"/>
  <c r="S11" i="6"/>
  <c r="S8" i="6"/>
  <c r="Q8" i="6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Q9" i="6"/>
  <c r="P9" i="6"/>
  <c r="T9" i="6" s="1"/>
  <c r="G9" i="6"/>
  <c r="H9" i="6" s="1"/>
  <c r="M9" i="6" s="1"/>
  <c r="P8" i="6"/>
  <c r="T8" i="6" s="1"/>
  <c r="G8" i="6"/>
  <c r="H8" i="6" s="1"/>
  <c r="M8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G56" i="9"/>
  <c r="F56" i="9"/>
  <c r="E56" i="9"/>
  <c r="D56" i="9"/>
  <c r="H56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S3" i="7"/>
  <c r="S4" i="7"/>
  <c r="S5" i="7"/>
  <c r="S2" i="7"/>
  <c r="R4" i="7"/>
  <c r="Q3" i="7"/>
  <c r="R3" i="7" s="1"/>
  <c r="Q4" i="7"/>
  <c r="Q5" i="7"/>
  <c r="Q2" i="7"/>
  <c r="O56" i="9"/>
  <c r="S56" i="9" s="1"/>
  <c r="S3" i="6"/>
  <c r="S4" i="6"/>
  <c r="S5" i="6"/>
  <c r="Q3" i="6"/>
  <c r="Q4" i="6"/>
  <c r="Q5" i="6"/>
  <c r="S2" i="6"/>
  <c r="D133" i="6"/>
  <c r="D134" i="6"/>
  <c r="D132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131" i="6"/>
  <c r="L131" i="6" s="1"/>
  <c r="G3" i="6"/>
  <c r="H3" i="6" s="1"/>
  <c r="M3" i="6" s="1"/>
  <c r="G4" i="6"/>
  <c r="H4" i="6" s="1"/>
  <c r="M4" i="6" s="1"/>
  <c r="G5" i="6"/>
  <c r="H5" i="6" s="1"/>
  <c r="M5" i="6" s="1"/>
  <c r="F132" i="6"/>
  <c r="G132" i="6" s="1"/>
  <c r="L132" i="6" s="1"/>
  <c r="F133" i="6"/>
  <c r="G133" i="6" s="1"/>
  <c r="L133" i="6" s="1"/>
  <c r="F134" i="6"/>
  <c r="G134" i="6" s="1"/>
  <c r="L134" i="6" s="1"/>
  <c r="G2" i="6"/>
  <c r="H2" i="6" s="1"/>
  <c r="M2" i="6" s="1"/>
  <c r="P2" i="6"/>
  <c r="P3" i="6"/>
  <c r="T3" i="6" s="1"/>
  <c r="P4" i="6"/>
  <c r="T4" i="6" s="1"/>
  <c r="P5" i="6"/>
  <c r="T5" i="6" s="1"/>
  <c r="O131" i="6"/>
  <c r="O132" i="6"/>
  <c r="O133" i="6"/>
  <c r="O134" i="6"/>
  <c r="M123" i="6" l="1"/>
  <c r="X123" i="6"/>
  <c r="M124" i="6"/>
  <c r="X124" i="6"/>
  <c r="H125" i="6"/>
  <c r="H122" i="6"/>
  <c r="R116" i="6"/>
  <c r="W119" i="6"/>
  <c r="M111" i="6"/>
  <c r="X111" i="6"/>
  <c r="H110" i="6"/>
  <c r="H113" i="6"/>
  <c r="R118" i="6"/>
  <c r="I3" i="11"/>
  <c r="R3" i="11"/>
  <c r="I4" i="11"/>
  <c r="I2" i="11"/>
  <c r="R2" i="11"/>
  <c r="M56" i="7"/>
  <c r="X56" i="7"/>
  <c r="H55" i="7"/>
  <c r="R58" i="7"/>
  <c r="H58" i="7"/>
  <c r="X49" i="7"/>
  <c r="M49" i="7"/>
  <c r="M51" i="7"/>
  <c r="X51" i="7"/>
  <c r="W51" i="7"/>
  <c r="M118" i="6"/>
  <c r="X118" i="6"/>
  <c r="X119" i="6"/>
  <c r="M119" i="6"/>
  <c r="M117" i="6"/>
  <c r="X117" i="6"/>
  <c r="W118" i="6"/>
  <c r="H116" i="6"/>
  <c r="X15" i="6"/>
  <c r="R104" i="6"/>
  <c r="R81" i="6"/>
  <c r="W51" i="6"/>
  <c r="X74" i="6"/>
  <c r="X27" i="6"/>
  <c r="H95" i="6"/>
  <c r="M95" i="6" s="1"/>
  <c r="W88" i="6"/>
  <c r="R95" i="6"/>
  <c r="W4" i="6"/>
  <c r="X3" i="6"/>
  <c r="R107" i="6"/>
  <c r="W3" i="6"/>
  <c r="R98" i="6"/>
  <c r="X21" i="6"/>
  <c r="X10" i="6"/>
  <c r="R105" i="6"/>
  <c r="W10" i="6"/>
  <c r="W57" i="6"/>
  <c r="W71" i="6"/>
  <c r="W45" i="6"/>
  <c r="R92" i="6"/>
  <c r="R101" i="6"/>
  <c r="W33" i="6"/>
  <c r="H106" i="6"/>
  <c r="X106" i="6" s="1"/>
  <c r="R100" i="6"/>
  <c r="M104" i="6"/>
  <c r="X104" i="6"/>
  <c r="W35" i="6"/>
  <c r="X65" i="6"/>
  <c r="X23" i="6"/>
  <c r="X4" i="6"/>
  <c r="R88" i="6"/>
  <c r="W104" i="6"/>
  <c r="R99" i="6"/>
  <c r="R86" i="6"/>
  <c r="X41" i="6"/>
  <c r="R82" i="6"/>
  <c r="R89" i="6"/>
  <c r="W47" i="6"/>
  <c r="W39" i="6"/>
  <c r="W77" i="6"/>
  <c r="W69" i="6"/>
  <c r="W80" i="6"/>
  <c r="R87" i="6"/>
  <c r="X95" i="6"/>
  <c r="H100" i="6"/>
  <c r="R80" i="6"/>
  <c r="X29" i="6"/>
  <c r="R93" i="6"/>
  <c r="X47" i="6"/>
  <c r="X17" i="6"/>
  <c r="X82" i="6"/>
  <c r="W105" i="6"/>
  <c r="W89" i="6"/>
  <c r="W41" i="6"/>
  <c r="X68" i="6"/>
  <c r="R3" i="6"/>
  <c r="X53" i="6"/>
  <c r="R83" i="6"/>
  <c r="R94" i="6"/>
  <c r="W53" i="6"/>
  <c r="X35" i="6"/>
  <c r="W75" i="6"/>
  <c r="R106" i="6"/>
  <c r="R45" i="7"/>
  <c r="I45" i="7"/>
  <c r="X105" i="6"/>
  <c r="M105" i="6"/>
  <c r="H107" i="6"/>
  <c r="M99" i="6"/>
  <c r="X99" i="6"/>
  <c r="H101" i="6"/>
  <c r="H98" i="6"/>
  <c r="M92" i="6"/>
  <c r="X92" i="6"/>
  <c r="H94" i="6"/>
  <c r="H93" i="6"/>
  <c r="M88" i="6"/>
  <c r="X88" i="6"/>
  <c r="M89" i="6"/>
  <c r="X89" i="6"/>
  <c r="H86" i="6"/>
  <c r="H87" i="6"/>
  <c r="X80" i="6"/>
  <c r="M80" i="6"/>
  <c r="M83" i="6"/>
  <c r="X83" i="6"/>
  <c r="H81" i="6"/>
  <c r="W83" i="6"/>
  <c r="X11" i="6"/>
  <c r="X5" i="6"/>
  <c r="X56" i="6"/>
  <c r="X50" i="6"/>
  <c r="X44" i="6"/>
  <c r="X38" i="6"/>
  <c r="X32" i="6"/>
  <c r="W29" i="6"/>
  <c r="W23" i="6"/>
  <c r="W17" i="6"/>
  <c r="W11" i="6"/>
  <c r="W5" i="6"/>
  <c r="W56" i="6"/>
  <c r="W50" i="6"/>
  <c r="W44" i="6"/>
  <c r="W38" i="6"/>
  <c r="W74" i="6"/>
  <c r="W68" i="6"/>
  <c r="R4" i="6"/>
  <c r="W8" i="6"/>
  <c r="X28" i="6"/>
  <c r="X22" i="6"/>
  <c r="X16" i="6"/>
  <c r="X77" i="6"/>
  <c r="X71" i="6"/>
  <c r="X59" i="6"/>
  <c r="W59" i="6"/>
  <c r="W65" i="6"/>
  <c r="R76" i="6"/>
  <c r="X58" i="6"/>
  <c r="W64" i="6"/>
  <c r="W20" i="6"/>
  <c r="W22" i="6"/>
  <c r="X9" i="6"/>
  <c r="X52" i="6"/>
  <c r="X46" i="6"/>
  <c r="X40" i="6"/>
  <c r="X34" i="6"/>
  <c r="X76" i="6"/>
  <c r="X64" i="6"/>
  <c r="W27" i="6"/>
  <c r="W21" i="6"/>
  <c r="W15" i="6"/>
  <c r="W9" i="6"/>
  <c r="W52" i="6"/>
  <c r="W46" i="6"/>
  <c r="W40" i="6"/>
  <c r="W34" i="6"/>
  <c r="W76" i="6"/>
  <c r="W70" i="6"/>
  <c r="R77" i="6"/>
  <c r="W58" i="6"/>
  <c r="W14" i="6"/>
  <c r="R74" i="6"/>
  <c r="W28" i="6"/>
  <c r="W16" i="6"/>
  <c r="R8" i="6"/>
  <c r="X70" i="6"/>
  <c r="X26" i="6"/>
  <c r="X20" i="6"/>
  <c r="X14" i="6"/>
  <c r="X8" i="6"/>
  <c r="X57" i="6"/>
  <c r="X51" i="6"/>
  <c r="X45" i="6"/>
  <c r="X39" i="6"/>
  <c r="X33" i="6"/>
  <c r="X75" i="6"/>
  <c r="X69" i="6"/>
  <c r="X63" i="6"/>
  <c r="W63" i="6"/>
  <c r="W2" i="6"/>
  <c r="X2" i="6"/>
  <c r="X62" i="6"/>
  <c r="W26" i="6"/>
  <c r="W32" i="6"/>
  <c r="W62" i="6"/>
  <c r="R75" i="6"/>
  <c r="I44" i="7"/>
  <c r="I35" i="4"/>
  <c r="X36" i="9"/>
  <c r="X34" i="9"/>
  <c r="X37" i="9"/>
  <c r="W36" i="9"/>
  <c r="X35" i="9"/>
  <c r="X28" i="9"/>
  <c r="H29" i="9"/>
  <c r="I30" i="4"/>
  <c r="I28" i="4"/>
  <c r="I29" i="4"/>
  <c r="V13" i="10"/>
  <c r="I11" i="10"/>
  <c r="I14" i="10"/>
  <c r="R2" i="10"/>
  <c r="I5" i="10"/>
  <c r="I9" i="10"/>
  <c r="U7" i="10"/>
  <c r="R9" i="10"/>
  <c r="U5" i="10"/>
  <c r="R4" i="10"/>
  <c r="I4" i="10"/>
  <c r="R8" i="10"/>
  <c r="R7" i="10"/>
  <c r="R5" i="10"/>
  <c r="I2" i="10"/>
  <c r="U2" i="10"/>
  <c r="R41" i="7"/>
  <c r="R40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8" i="6"/>
  <c r="R10" i="6"/>
  <c r="R64" i="6"/>
  <c r="R29" i="6"/>
  <c r="R46" i="6"/>
  <c r="R27" i="6"/>
  <c r="R33" i="6"/>
  <c r="R44" i="6"/>
  <c r="R62" i="6"/>
  <c r="R16" i="6"/>
  <c r="R22" i="6"/>
  <c r="R28" i="6"/>
  <c r="R45" i="6"/>
  <c r="R63" i="6"/>
  <c r="R17" i="6"/>
  <c r="R34" i="6"/>
  <c r="R23" i="6"/>
  <c r="R39" i="6"/>
  <c r="R40" i="6"/>
  <c r="R11" i="6"/>
  <c r="R14" i="6"/>
  <c r="R20" i="6"/>
  <c r="R35" i="6"/>
  <c r="R9" i="6"/>
  <c r="R26" i="6"/>
  <c r="R32" i="6"/>
  <c r="R41" i="6"/>
  <c r="R47" i="6"/>
  <c r="R5" i="6"/>
  <c r="R15" i="6"/>
  <c r="R21" i="6"/>
  <c r="R65" i="6"/>
  <c r="R69" i="6"/>
  <c r="R70" i="6"/>
  <c r="R68" i="6"/>
  <c r="R71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1" i="6"/>
  <c r="R56" i="6"/>
  <c r="R57" i="6"/>
  <c r="R52" i="6"/>
  <c r="R58" i="6"/>
  <c r="R53" i="6"/>
  <c r="R50" i="6"/>
  <c r="R59" i="6"/>
  <c r="R2" i="6"/>
  <c r="T2" i="6"/>
  <c r="R5" i="9"/>
  <c r="R3" i="9"/>
  <c r="R4" i="9"/>
  <c r="R2" i="9"/>
  <c r="R3" i="4"/>
  <c r="R5" i="4"/>
  <c r="R4" i="4"/>
  <c r="R2" i="4"/>
  <c r="R2" i="7"/>
  <c r="X122" i="6" l="1"/>
  <c r="M122" i="6"/>
  <c r="X125" i="6"/>
  <c r="M125" i="6"/>
  <c r="X113" i="6"/>
  <c r="M113" i="6"/>
  <c r="M110" i="6"/>
  <c r="X110" i="6"/>
  <c r="X58" i="7"/>
  <c r="M58" i="7"/>
  <c r="X55" i="7"/>
  <c r="M55" i="7"/>
  <c r="X116" i="6"/>
  <c r="M116" i="6"/>
  <c r="M106" i="6"/>
  <c r="M100" i="6"/>
  <c r="X100" i="6"/>
  <c r="X107" i="6"/>
  <c r="M107" i="6"/>
  <c r="X98" i="6"/>
  <c r="M98" i="6"/>
  <c r="X101" i="6"/>
  <c r="M101" i="6"/>
  <c r="X93" i="6"/>
  <c r="M93" i="6"/>
  <c r="X94" i="6"/>
  <c r="M94" i="6"/>
  <c r="X87" i="6"/>
  <c r="M87" i="6"/>
  <c r="M86" i="6"/>
  <c r="X86" i="6"/>
  <c r="X81" i="6"/>
  <c r="M81" i="6"/>
  <c r="X29" i="9"/>
  <c r="X14" i="7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<sst xmlns="http://schemas.openxmlformats.org/spreadsheetml/2006/main" count="1461" uniqueCount="223">
  <si>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</si>
  <si>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</si>
  <si>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</si>
  <si>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</si>
  <si>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</si>
  <si>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</si>
  <si>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</si>
  <si>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</si>
  <si>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</si>
  <si>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</si>
  <si>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</si>
  <si>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</si>
  <si>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</si>
  <si>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</si>
  <si>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</si>
  <si>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</si>
  <si>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</si>
  <si>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</si>
  <si>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</si>
  <si>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</si>
  <si>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</si>
  <si>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</si>
  <si>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</si>
  <si>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</si>
  <si>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</si>
  <si>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</si>
  <si>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</si>
  <si>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</si>
  <si>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</si>
  <si>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</si>
  <si>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</si>
  <si>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</si>
  <si>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</si>
  <si>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</si>
  <si>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</si>
  <si>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</si>
  <si>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</si>
  <si>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</si>
  <si>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</si>
  <si>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</si>
  <si>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</si>
  <si>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</si>
  <si>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</si>
  <si>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</si>
  <si>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</si>
  <si>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</si>
  <si>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</si>
  <si>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</si>
  <si>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</si>
  <si>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</si>
  <si>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</si>
  <si>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</si>
  <si>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</si>
  <si>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</si>
  <si>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</si>
  <si>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</si>
  <si>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</si>
  <si>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</si>
  <si>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</si>
  <si>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</si>
  <si>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</si>
  <si>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</si>
  <si>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</si>
  <si>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</si>
  <si>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</si>
  <si>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</si>
  <si>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</si>
  <si>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</si>
  <si>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</si>
  <si>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</si>
  <si>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</si>
  <si>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</si>
  <si>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</si>
  <si>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</si>
  <si>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</si>
  <si>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</si>
  <si>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</si>
  <si>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</si>
  <si>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</si>
  <si>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</si>
  <si>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</si>
  <si>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</si>
  <si>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</si>
  <si>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</si>
  <si>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</si>
  <si>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</si>
  <si>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</si>
  <si>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</si>
  <si>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</si>
  <si>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</si>
  <si>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</si>
  <si>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</si>
  <si>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</si>
  <si>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</si>
  <si>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</si>
  <si>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</si>
  <si>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</si>
  <si>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</si>
  <si>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</si>
  <si>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</si>
  <si>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</si>
  <si>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</si>
  <si>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</si>
  <si>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</si>
  <si>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</si>
  <si>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</si>
  <si>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</si>
  <si>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</si>
  <si>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</si>
  <si>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</si>
  <si>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</si>
  <si>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</si>
  <si>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</si>
  <si>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</si>
  <si>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</si>
  <si>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</si>
  <si>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</si>
  <si>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</si>
  <si>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</si>
  <si>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</si>
  <si>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</si>
  <si>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</si>
  <si>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</si>
  <si>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</si>
  <si>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</si>
  <si>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</si>
  <si>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</si>
  <si>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</si>
  <si>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</si>
  <si>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</si>
  <si>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</si>
  <si>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</si>
  <si>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</si>
  <si>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</si>
  <si>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</si>
  <si>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</si>
  <si>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</si>
  <si>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</si>
  <si>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</si>
  <si>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</si>
  <si>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</si>
  <si>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</si>
  <si>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</si>
  <si>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</si>
  <si>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</si>
  <si>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</si>
  <si>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</si>
  <si>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</si>
  <si>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</si>
  <si>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</si>
  <si>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</si>
  <si>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</si>
  <si>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</si>
  <si>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</si>
  <si>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</si>
  <si>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</si>
  <si>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</si>
  <si>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</si>
  <si>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</si>
  <si>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</si>
  <si>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</si>
  <si>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</si>
  <si>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</si>
  <si>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</si>
  <si>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</si>
  <si>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</si>
  <si>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</si>
  <si>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</si>
  <si>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</si>
  <si>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</si>
  <si>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</si>
  <si>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</si>
  <si>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</si>
  <si>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</si>
  <si>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</si>
  <si>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</si>
  <si>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</si>
  <si>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</si>
  <si>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</si>
  <si>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</si>
  <si>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</si>
  <si>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</si>
  <si>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</si>
  <si>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</si>
  <si>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</si>
  <si>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</si>
  <si>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</si>
  <si>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</si>
  <si>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</si>
  <si>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</si>
  <si>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NOSLIP+DSMAG+SMALL+FILTER2D</t>
  </si>
  <si>
    <t>NOSLIP+SMAG+SMALL+NEWS</t>
  </si>
  <si>
    <t>NOSLIP+DSMAG+SMALL+ALPH4</t>
  </si>
  <si>
    <t>64×48×64</t>
  </si>
  <si>
    <t>64×48×48</t>
  </si>
  <si>
    <t>64×48×96</t>
  </si>
  <si>
    <t>64×48×72</t>
  </si>
  <si>
    <t>192×128×128</t>
  </si>
  <si>
    <t>192×128×256</t>
  </si>
  <si>
    <t>WM+SMAG+NEWS</t>
  </si>
  <si>
    <t>WM+SMAG+SMALL</t>
  </si>
  <si>
    <t>WM+SMAG+SMALL+ONESIDE</t>
  </si>
  <si>
    <t>WM+SMAG+SMALL+ONESIDE+2ND</t>
  </si>
  <si>
    <t>ONESIDE</t>
  </si>
  <si>
    <t>64×24×32</t>
  </si>
  <si>
    <t>96×36×48</t>
  </si>
  <si>
    <t>128×48×64</t>
  </si>
  <si>
    <t>192×72×96</t>
  </si>
  <si>
    <t>WM+DSMAG+SMALL</t>
  </si>
  <si>
    <t>DNS+SMALL</t>
  </si>
  <si>
    <t>12.8×2.0×2.0</t>
  </si>
  <si>
    <t xml:space="preserve"> 384×128×128</t>
  </si>
  <si>
    <t>dz_w=dy</t>
  </si>
  <si>
    <t>uniform</t>
  </si>
  <si>
    <t>6.4×2.0×2.0</t>
  </si>
  <si>
    <t>DNS+REFINE</t>
  </si>
  <si>
    <t>256×80×80</t>
  </si>
  <si>
    <t>128×80×80</t>
  </si>
  <si>
    <t>64×80×80</t>
  </si>
  <si>
    <t>384×120×120</t>
  </si>
  <si>
    <t xml:space="preserve"> 576×192×192</t>
  </si>
  <si>
    <t>512×160×160</t>
  </si>
  <si>
    <t>WM+SMAG+SMALL+MOV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</si>
</sst>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2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66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/>
    </xf>
    <xf numFmtId="11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/>
    <xf numFmtId="10" fontId="3" fillId="0" borderId="0" xfId="1" applyNumberFormat="1" applyFont="1"/>
    <xf numFmtId="164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1" fontId="3" fillId="0" borderId="0" xfId="0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 x14ac:dyDescent="0.3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 x14ac:dyDescent="0.35">
      <c r="A1" t="s">
        <v>8</v>
      </c>
      <c r="B1" t="s">
        <v>2</v>
      </c>
      <c r="C1" t="s">
        <v>0</v>
      </c>
      <c r="D1" t="s">
        <v>5</v>
      </c>
    </row>
    <row r="2" spans="1:5" x14ac:dyDescent="0.35">
      <c r="B2" t="s">
        <v>4</v>
      </c>
      <c r="C2" t="s">
        <v>0</v>
      </c>
      <c r="D2" t="s">
        <v>5</v>
      </c>
    </row>
    <row r="3" spans="1:5" x14ac:dyDescent="0.35">
      <c r="B3" t="s">
        <v>3</v>
      </c>
      <c r="C3" t="s">
        <v>0</v>
      </c>
      <c r="D3" t="s">
        <v>5</v>
      </c>
    </row>
    <row r="4" spans="1:5" x14ac:dyDescent="0.35">
      <c r="B4" t="s">
        <v>6</v>
      </c>
      <c r="C4" t="s">
        <v>0</v>
      </c>
      <c r="D4" t="s">
        <v>5</v>
      </c>
    </row>
    <row r="5" spans="1:5" x14ac:dyDescent="0.35">
      <c r="B5" t="s">
        <v>2</v>
      </c>
      <c r="C5" t="s">
        <v>1</v>
      </c>
      <c r="D5" t="s">
        <v>5</v>
      </c>
    </row>
    <row r="6" spans="1:5" x14ac:dyDescent="0.35">
      <c r="B6" t="s">
        <v>4</v>
      </c>
      <c r="C6" t="s">
        <v>1</v>
      </c>
      <c r="D6" t="s">
        <v>5</v>
      </c>
    </row>
    <row r="7" spans="1:5" x14ac:dyDescent="0.35">
      <c r="B7" t="s">
        <v>3</v>
      </c>
      <c r="C7" t="s">
        <v>1</v>
      </c>
      <c r="D7" t="s">
        <v>5</v>
      </c>
    </row>
    <row r="8" spans="1:5" x14ac:dyDescent="0.35">
      <c r="B8" t="s">
        <v>6</v>
      </c>
      <c r="C8" t="s">
        <v>1</v>
      </c>
      <c r="D8" t="s">
        <v>5</v>
      </c>
    </row>
    <row r="10" spans="1:5" x14ac:dyDescent="0.35">
      <c r="A10" t="s">
        <v>9</v>
      </c>
      <c r="B10" t="s">
        <v>2</v>
      </c>
      <c r="C10" t="s">
        <v>0</v>
      </c>
      <c r="D10" t="s">
        <v>5</v>
      </c>
    </row>
    <row r="11" spans="1:5" x14ac:dyDescent="0.35">
      <c r="B11" t="s">
        <v>4</v>
      </c>
      <c r="C11" t="s">
        <v>0</v>
      </c>
      <c r="D11" t="s">
        <v>5</v>
      </c>
    </row>
    <row r="12" spans="1:5" ht="13.75" customHeight="1" x14ac:dyDescent="0.35">
      <c r="B12" t="s">
        <v>3</v>
      </c>
      <c r="C12" t="s">
        <v>0</v>
      </c>
      <c r="D12" t="s">
        <v>5</v>
      </c>
      <c r="E12" s="1" t="s">
        <v>10</v>
      </c>
    </row>
    <row r="13" spans="1:5" x14ac:dyDescent="0.35">
      <c r="B13" t="s">
        <v>6</v>
      </c>
      <c r="C13" t="s">
        <v>0</v>
      </c>
      <c r="D13" t="s">
        <v>5</v>
      </c>
    </row>
    <row r="14" spans="1:5" x14ac:dyDescent="0.35">
      <c r="B14" t="s">
        <v>2</v>
      </c>
      <c r="C14" t="s">
        <v>1</v>
      </c>
      <c r="D14" t="s">
        <v>5</v>
      </c>
    </row>
    <row r="15" spans="1:5" x14ac:dyDescent="0.35">
      <c r="B15" t="s">
        <v>4</v>
      </c>
      <c r="C15" t="s">
        <v>1</v>
      </c>
      <c r="D15" t="s">
        <v>5</v>
      </c>
    </row>
    <row r="16" spans="1:5" ht="58" x14ac:dyDescent="0.35">
      <c r="B16" t="s">
        <v>3</v>
      </c>
      <c r="C16" t="s">
        <v>1</v>
      </c>
      <c r="D16" t="s">
        <v>5</v>
      </c>
      <c r="E16" s="1" t="s">
        <v>10</v>
      </c>
    </row>
    <row r="17" spans="1:5" x14ac:dyDescent="0.35">
      <c r="B17" t="s">
        <v>6</v>
      </c>
      <c r="C17" t="s">
        <v>1</v>
      </c>
      <c r="D17" t="s">
        <v>5</v>
      </c>
    </row>
    <row r="20" spans="1:5" x14ac:dyDescent="0.35">
      <c r="A20" t="s">
        <v>7</v>
      </c>
    </row>
    <row r="21" spans="1:5" x14ac:dyDescent="0.35">
      <c r="A21" t="s">
        <v>13</v>
      </c>
      <c r="B21" t="s">
        <v>12</v>
      </c>
      <c r="C21" t="s">
        <v>14</v>
      </c>
    </row>
    <row r="22" spans="1:5" x14ac:dyDescent="0.35">
      <c r="A22" t="s">
        <v>11</v>
      </c>
      <c r="B22" t="s">
        <v>12</v>
      </c>
      <c r="C22" t="s">
        <v>14</v>
      </c>
    </row>
    <row r="23" spans="1:5" x14ac:dyDescent="0.35">
      <c r="A23" t="s">
        <v>11</v>
      </c>
      <c r="B23" t="s">
        <v>15</v>
      </c>
      <c r="C23" t="s">
        <v>14</v>
      </c>
      <c r="E23" s="2"/>
    </row>
    <row r="24" spans="1:5" x14ac:dyDescent="0.35">
      <c r="A24" s="2" t="s">
        <v>13</v>
      </c>
      <c r="B24" s="2" t="s">
        <v>17</v>
      </c>
      <c r="C24" s="2" t="s">
        <v>16</v>
      </c>
      <c r="D24" s="2"/>
    </row>
    <row r="25" spans="1:5" x14ac:dyDescent="0.35">
      <c r="A25" s="2" t="s">
        <v>13</v>
      </c>
      <c r="B25" s="2" t="s">
        <v>18</v>
      </c>
      <c r="C25" s="2" t="s">
        <v>14</v>
      </c>
    </row>
    <row r="29" spans="1:5" x14ac:dyDescent="0.35">
      <c r="A29" t="s">
        <v>66</v>
      </c>
      <c r="B29" t="s">
        <v>77</v>
      </c>
    </row>
    <row r="30" spans="1:5" x14ac:dyDescent="0.35">
      <c r="B30" t="s">
        <v>69</v>
      </c>
    </row>
    <row r="31" spans="1:5" x14ac:dyDescent="0.35">
      <c r="B31" t="s">
        <v>68</v>
      </c>
    </row>
    <row r="32" spans="1:5" x14ac:dyDescent="0.35">
      <c r="B32" t="s">
        <v>67</v>
      </c>
    </row>
    <row r="33" spans="2:2" x14ac:dyDescent="0.35">
      <c r="B33" t="s">
        <v>70</v>
      </c>
    </row>
    <row r="34" spans="2:2" x14ac:dyDescent="0.35">
      <c r="B34" t="s">
        <v>72</v>
      </c>
    </row>
    <row r="35" spans="2:2" x14ac:dyDescent="0.35">
      <c r="B35" t="s">
        <v>71</v>
      </c>
    </row>
    <row r="36" spans="2:2" x14ac:dyDescent="0.35">
      <c r="B36" t="s">
        <v>73</v>
      </c>
    </row>
    <row r="38" spans="2:2" x14ac:dyDescent="0.35">
      <c r="B38" t="s">
        <v>76</v>
      </c>
    </row>
    <row r="39" spans="2:2" x14ac:dyDescent="0.35">
      <c r="B39" t="s">
        <v>74</v>
      </c>
    </row>
    <row r="41" spans="2:2" x14ac:dyDescent="0.35">
      <c r="B41" t="s">
        <v>75</v>
      </c>
    </row>
    <row r="42" spans="2:2" x14ac:dyDescent="0.35">
      <c r="B42" t="s">
        <v>78</v>
      </c>
    </row>
    <row r="43" spans="2:2" x14ac:dyDescent="0.35">
      <c r="B43" t="s">
        <v>98</v>
      </c>
    </row>
    <row r="44" spans="2:2" x14ac:dyDescent="0.35">
      <c r="B44" t="s">
        <v>79</v>
      </c>
    </row>
    <row r="46" spans="2:2" x14ac:dyDescent="0.35">
      <c r="B46" t="s">
        <v>99</v>
      </c>
    </row>
    <row r="47" spans="2:2" x14ac:dyDescent="0.35">
      <c r="B47" t="s">
        <v>101</v>
      </c>
    </row>
    <row r="48" spans="2:2" x14ac:dyDescent="0.35">
      <c r="B48" s="2" t="s">
        <v>102</v>
      </c>
    </row>
    <row r="49" spans="2:2" x14ac:dyDescent="0.35">
      <c r="B49" t="s">
        <v>103</v>
      </c>
    </row>
    <row r="50" spans="2:2" x14ac:dyDescent="0.35">
      <c r="B50" t="s">
        <v>111</v>
      </c>
    </row>
    <row r="51" spans="2:2" x14ac:dyDescent="0.35">
      <c r="B51" s="2" t="s">
        <v>97</v>
      </c>
    </row>
    <row r="52" spans="2:2" x14ac:dyDescent="0.35">
      <c r="B52" t="s">
        <v>114</v>
      </c>
    </row>
    <row r="53" spans="2:2" x14ac:dyDescent="0.35">
      <c r="B53" t="s">
        <v>117</v>
      </c>
    </row>
    <row r="54" spans="2:2" x14ac:dyDescent="0.35">
      <c r="B54" t="s">
        <v>118</v>
      </c>
    </row>
    <row r="55" spans="2:2" x14ac:dyDescent="0.35">
      <c r="B55" t="s">
        <v>120</v>
      </c>
    </row>
    <row r="56" spans="2:2" x14ac:dyDescent="0.35">
      <c r="B56" t="s">
        <v>121</v>
      </c>
    </row>
    <row r="57" spans="2:2" x14ac:dyDescent="0.35">
      <c r="B57" t="s">
        <v>122</v>
      </c>
    </row>
    <row r="58" spans="2:2" x14ac:dyDescent="0.35">
      <c r="B58" t="s">
        <v>123</v>
      </c>
    </row>
    <row r="59" spans="2:2" x14ac:dyDescent="0.35">
      <c r="B59" t="s">
        <v>124</v>
      </c>
    </row>
    <row r="62" spans="2:2" x14ac:dyDescent="0.35">
      <c r="B62" t="s">
        <v>100</v>
      </c>
    </row>
    <row r="64" spans="2:2" x14ac:dyDescent="0.35">
      <c r="B64" t="s">
        <v>80</v>
      </c>
    </row>
    <row r="65" spans="1:3" x14ac:dyDescent="0.35">
      <c r="B65" t="s">
        <v>81</v>
      </c>
    </row>
    <row r="66" spans="1:3" x14ac:dyDescent="0.35">
      <c r="B66" t="s">
        <v>82</v>
      </c>
    </row>
    <row r="67" spans="1:3" x14ac:dyDescent="0.35">
      <c r="B67" t="s">
        <v>93</v>
      </c>
    </row>
    <row r="68" spans="1:3" x14ac:dyDescent="0.35">
      <c r="B68" t="s">
        <v>96</v>
      </c>
    </row>
    <row r="69" spans="1:3" x14ac:dyDescent="0.35">
      <c r="B69" t="s">
        <v>94</v>
      </c>
    </row>
    <row r="70" spans="1:3" x14ac:dyDescent="0.35">
      <c r="B70" t="s">
        <v>95</v>
      </c>
    </row>
    <row r="80" spans="1:3" x14ac:dyDescent="0.35">
      <c r="A80" t="s">
        <v>147</v>
      </c>
      <c r="B80" t="s">
        <v>140</v>
      </c>
      <c r="C80" t="s">
        <v>148</v>
      </c>
    </row>
    <row r="81" spans="1:3" x14ac:dyDescent="0.35">
      <c r="B81" t="s">
        <v>141</v>
      </c>
      <c r="C81" t="s">
        <v>148</v>
      </c>
    </row>
    <row r="82" spans="1:3" x14ac:dyDescent="0.35">
      <c r="B82" t="s">
        <v>142</v>
      </c>
      <c r="C82" t="s">
        <v>148</v>
      </c>
    </row>
    <row r="84" spans="1:3" x14ac:dyDescent="0.35">
      <c r="A84" t="s">
        <v>149</v>
      </c>
      <c r="B84" t="s">
        <v>140</v>
      </c>
      <c r="C84" t="s">
        <v>148</v>
      </c>
    </row>
    <row r="85" spans="1:3" x14ac:dyDescent="0.35">
      <c r="B85" t="s">
        <v>141</v>
      </c>
      <c r="C85" t="s">
        <v>148</v>
      </c>
    </row>
    <row r="86" spans="1:3" x14ac:dyDescent="0.35">
      <c r="B86" t="s">
        <v>142</v>
      </c>
      <c r="C86" t="s">
        <v>148</v>
      </c>
    </row>
    <row r="90" spans="1:3" x14ac:dyDescent="0.35">
      <c r="A90" t="s">
        <v>146</v>
      </c>
      <c r="B90" t="s">
        <v>143</v>
      </c>
    </row>
    <row r="91" spans="1:3" x14ac:dyDescent="0.35">
      <c r="B91" t="s">
        <v>144</v>
      </c>
    </row>
    <row r="92" spans="1:3" x14ac:dyDescent="0.35">
      <c r="B92" t="s">
        <v>145</v>
      </c>
    </row>
    <row r="98" spans="1:4" x14ac:dyDescent="0.35">
      <c r="A98" t="s">
        <v>86</v>
      </c>
      <c r="B98" t="s">
        <v>84</v>
      </c>
      <c r="C98" t="s">
        <v>83</v>
      </c>
      <c r="D98" t="s">
        <v>85</v>
      </c>
    </row>
    <row r="99" spans="1:4" x14ac:dyDescent="0.35">
      <c r="A99" t="s">
        <v>87</v>
      </c>
      <c r="B99" t="s">
        <v>91</v>
      </c>
      <c r="C99" t="s">
        <v>91</v>
      </c>
      <c r="D99" t="s">
        <v>91</v>
      </c>
    </row>
    <row r="100" spans="1:4" x14ac:dyDescent="0.35">
      <c r="A100" s="14" t="s">
        <v>88</v>
      </c>
      <c r="B100" t="s">
        <v>91</v>
      </c>
      <c r="C100" t="s">
        <v>91</v>
      </c>
      <c r="D100" t="s">
        <v>91</v>
      </c>
    </row>
    <row r="101" spans="1:4" x14ac:dyDescent="0.35">
      <c r="A101" s="14" t="s">
        <v>89</v>
      </c>
      <c r="B101" t="s">
        <v>91</v>
      </c>
      <c r="C101" t="s">
        <v>91</v>
      </c>
      <c r="D101" t="s">
        <v>91</v>
      </c>
    </row>
    <row r="102" spans="1:4" x14ac:dyDescent="0.35">
      <c r="A102" t="s">
        <v>90</v>
      </c>
      <c r="B102" t="s">
        <v>92</v>
      </c>
    </row>
    <row r="105" spans="1:4" x14ac:dyDescent="0.35">
      <c r="C105" t="s">
        <v>112</v>
      </c>
    </row>
    <row r="106" spans="1:4" x14ac:dyDescent="0.35">
      <c r="A106" t="s">
        <v>110</v>
      </c>
      <c r="B106" t="s">
        <v>106</v>
      </c>
      <c r="C106" t="s">
        <v>113</v>
      </c>
    </row>
    <row r="107" spans="1:4" x14ac:dyDescent="0.35">
      <c r="B107" t="s">
        <v>104</v>
      </c>
      <c r="C107" t="s">
        <v>113</v>
      </c>
    </row>
    <row r="108" spans="1:4" x14ac:dyDescent="0.35">
      <c r="B108" t="s">
        <v>105</v>
      </c>
      <c r="C108" t="s">
        <v>113</v>
      </c>
    </row>
    <row r="109" spans="1:4" x14ac:dyDescent="0.35">
      <c r="B109" t="s">
        <v>107</v>
      </c>
      <c r="C109" t="s">
        <v>113</v>
      </c>
    </row>
    <row r="111" spans="1:4" x14ac:dyDescent="0.35">
      <c r="A111" t="s">
        <v>108</v>
      </c>
      <c r="B111" t="s">
        <v>106</v>
      </c>
      <c r="C111" t="s">
        <v>113</v>
      </c>
    </row>
    <row r="113" spans="1:5" x14ac:dyDescent="0.35">
      <c r="A113" t="s">
        <v>109</v>
      </c>
      <c r="B113" t="s">
        <v>106</v>
      </c>
    </row>
    <row r="115" spans="1:5" x14ac:dyDescent="0.35">
      <c r="A115" t="s">
        <v>31</v>
      </c>
      <c r="B115">
        <v>1.1775</v>
      </c>
      <c r="C115">
        <f>(1/B115)^2</f>
        <v>0.72123728255822872</v>
      </c>
    </row>
    <row r="116" spans="1:5" x14ac:dyDescent="0.35">
      <c r="A116" t="s">
        <v>32</v>
      </c>
      <c r="B116">
        <v>0.78500000000000003</v>
      </c>
      <c r="C116">
        <f>(1/B116)^2</f>
        <v>1.6227838857560142</v>
      </c>
    </row>
    <row r="117" spans="1:5" x14ac:dyDescent="0.35">
      <c r="A117" t="s">
        <v>150</v>
      </c>
      <c r="B117">
        <v>0.22453129999999999</v>
      </c>
      <c r="C117">
        <f>(1/B117)^2</f>
        <v>19.835640030216698</v>
      </c>
    </row>
    <row r="118" spans="1:5" x14ac:dyDescent="0.35">
      <c r="C118">
        <f>SUM(C115:C117)/2857</f>
        <v>7.7632695829649772E-3</v>
      </c>
    </row>
    <row r="123" spans="1:5" x14ac:dyDescent="0.35">
      <c r="A123" t="s">
        <v>175</v>
      </c>
      <c r="B123" t="s">
        <v>178</v>
      </c>
      <c r="C123" t="s">
        <v>177</v>
      </c>
      <c r="D123" t="s">
        <v>180</v>
      </c>
      <c r="E123" t="s">
        <v>181</v>
      </c>
    </row>
    <row r="125" spans="1:5" x14ac:dyDescent="0.35">
      <c r="A125" t="s">
        <v>176</v>
      </c>
      <c r="B125" t="s">
        <v>179</v>
      </c>
      <c r="C125" t="s">
        <v>184</v>
      </c>
      <c r="D125" t="s">
        <v>180</v>
      </c>
      <c r="E125" t="s">
        <v>185</v>
      </c>
    </row>
    <row r="126" spans="1:5" x14ac:dyDescent="0.35">
      <c r="B126" t="s">
        <v>183</v>
      </c>
    </row>
    <row r="128" spans="1:5" x14ac:dyDescent="0.35">
      <c r="A128" t="s">
        <v>13</v>
      </c>
      <c r="B128" t="s">
        <v>182</v>
      </c>
      <c r="C128" t="s">
        <v>177</v>
      </c>
      <c r="D128" t="s">
        <v>180</v>
      </c>
      <c r="E128" t="s">
        <v>186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8" sqref="A8"/>
    </sheetView>
  </sheetViews>
  <sheetFormatPr defaultRowHeight="14.5" x14ac:dyDescent="0.35"/>
  <cols>
    <col min="1" max="1" width="95.81640625" customWidth="1"/>
    <col min="2" max="2" width="8.7265625" customWidth="1"/>
  </cols>
  <sheetData>
    <row r="1" spans="1:1" x14ac:dyDescent="0.35">
      <c r="A1" t="s">
        <v>33</v>
      </c>
    </row>
    <row r="2" spans="1:1" ht="58" x14ac:dyDescent="0.35">
      <c r="A2" s="1" t="s">
        <v>34</v>
      </c>
    </row>
    <row r="3" spans="1:1" x14ac:dyDescent="0.35">
      <c r="A3" t="s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59"/>
  <sheetViews>
    <sheetView zoomScale="55" zoomScaleNormal="55" workbookViewId="0">
      <selection activeCell="J42" sqref="J42"/>
    </sheetView>
  </sheetViews>
  <sheetFormatPr defaultRowHeight="14.5" x14ac:dyDescent="0.35"/>
  <cols>
    <col min="1" max="1" width="25.7265625" customWidth="1"/>
    <col min="2" max="2" width="17.63281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5" max="15" width="11.36328125" customWidth="1"/>
    <col min="16" max="16" width="12.5429687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5714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180.601843765257</v>
      </c>
      <c r="O2" s="3">
        <v>179.99818440102101</v>
      </c>
      <c r="P2">
        <f>8*(N2/B2)^2</f>
        <v>7.9919705400696046E-3</v>
      </c>
      <c r="Q2" s="8">
        <f>8*(O2/B2)^2</f>
        <v>7.9386337085019347E-3</v>
      </c>
      <c r="R2" s="9">
        <f>(Q2-P2)/P2</f>
        <v>-6.6738023245022388E-3</v>
      </c>
      <c r="S2" s="7">
        <f>100*2*O2/B2</f>
        <v>6.3002514666090654</v>
      </c>
      <c r="T2" s="3">
        <f>B2/4*P2</f>
        <v>11.416529916489431</v>
      </c>
      <c r="U2" s="7">
        <f>E2*N2</f>
        <v>18.060184376525701</v>
      </c>
      <c r="V2" s="7">
        <f>F2*O2</f>
        <v>17.9998184401021</v>
      </c>
      <c r="W2" s="7">
        <f>G2*N2</f>
        <v>18.060184376525701</v>
      </c>
      <c r="X2" s="3">
        <f>H2*N2</f>
        <v>4.5150460941314252</v>
      </c>
    </row>
    <row r="3" spans="1:24" x14ac:dyDescent="0.35">
      <c r="A3" t="s">
        <v>115</v>
      </c>
      <c r="B3" s="4">
        <v>5714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180.601843765257</v>
      </c>
      <c r="O3" s="3">
        <v>182.74010750150001</v>
      </c>
      <c r="P3">
        <f>8*(N3/B3)^2</f>
        <v>7.9919705400696046E-3</v>
      </c>
      <c r="Q3" s="8">
        <f t="shared" ref="Q3:Q6" si="1">8*(O3/B3)^2</f>
        <v>8.1823352010309113E-3</v>
      </c>
      <c r="R3" s="9">
        <f t="shared" ref="R3:R6" si="2">(Q3-P3)/P3</f>
        <v>2.3819489825052425E-2</v>
      </c>
      <c r="S3" s="7">
        <f t="shared" ref="S3:S6" si="3">100*2*O3/B3</f>
        <v>6.396223573731187</v>
      </c>
      <c r="T3" s="3">
        <f t="shared" ref="T3:T6" si="4">B3/4*P3</f>
        <v>11.416529916489431</v>
      </c>
      <c r="U3" s="7">
        <f t="shared" ref="U3:U6" si="5">E3*N3</f>
        <v>12.10032353227222</v>
      </c>
      <c r="V3" s="7">
        <f t="shared" ref="V3:V6" si="6">F3*O3</f>
        <v>12.243587202600501</v>
      </c>
      <c r="W3" s="7">
        <f t="shared" ref="W3:W6" si="7">G3*N3</f>
        <v>12.10032353227222</v>
      </c>
      <c r="X3" s="3">
        <f t="shared" ref="X3:X6" si="8">H3*N3</f>
        <v>3.0250808830680551</v>
      </c>
    </row>
    <row r="4" spans="1:24" x14ac:dyDescent="0.35">
      <c r="A4" t="s">
        <v>115</v>
      </c>
      <c r="B4" s="4">
        <v>5714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180.601843765257</v>
      </c>
      <c r="O4" s="3">
        <v>183.383339658707</v>
      </c>
      <c r="P4">
        <f>8*(N4/B4)^2</f>
        <v>7.9919705400696046E-3</v>
      </c>
      <c r="Q4" s="8">
        <f t="shared" si="1"/>
        <v>8.2400390530784837E-3</v>
      </c>
      <c r="R4" s="9">
        <f t="shared" si="2"/>
        <v>3.1039718147749643E-2</v>
      </c>
      <c r="S4" s="7">
        <f t="shared" si="3"/>
        <v>6.4187378249459925</v>
      </c>
      <c r="T4" s="3">
        <f t="shared" si="4"/>
        <v>11.416529916489431</v>
      </c>
      <c r="U4" s="7">
        <f t="shared" si="5"/>
        <v>9.0300921882628504</v>
      </c>
      <c r="V4" s="7">
        <f t="shared" si="6"/>
        <v>9.1691669829353497</v>
      </c>
      <c r="W4" s="7">
        <f t="shared" si="7"/>
        <v>9.0300921882628504</v>
      </c>
      <c r="X4" s="3">
        <f t="shared" si="8"/>
        <v>2.2575230470657126</v>
      </c>
    </row>
    <row r="5" spans="1:24" x14ac:dyDescent="0.35">
      <c r="A5" t="s">
        <v>115</v>
      </c>
      <c r="B5" s="4">
        <v>5714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180.601843765257</v>
      </c>
      <c r="O5" s="3">
        <v>183.668368577509</v>
      </c>
      <c r="P5">
        <f>8*(N5/B5)^2</f>
        <v>7.9919705400696046E-3</v>
      </c>
      <c r="Q5" s="8">
        <f t="shared" si="1"/>
        <v>8.2656736025973811E-3</v>
      </c>
      <c r="R5" s="6">
        <f t="shared" si="2"/>
        <v>3.4247256187382384E-2</v>
      </c>
      <c r="S5" s="7">
        <f t="shared" si="3"/>
        <v>6.4287143359296115</v>
      </c>
      <c r="T5" s="3">
        <f t="shared" si="4"/>
        <v>11.416529916489431</v>
      </c>
      <c r="U5" s="7">
        <f t="shared" si="5"/>
        <v>5.9598608442534813</v>
      </c>
      <c r="V5" s="7">
        <f t="shared" si="6"/>
        <v>6.0610561630577973</v>
      </c>
      <c r="W5" s="7">
        <f t="shared" si="7"/>
        <v>5.9598608442534813</v>
      </c>
      <c r="X5" s="3">
        <f t="shared" si="8"/>
        <v>1.4899652110633703</v>
      </c>
    </row>
    <row r="6" spans="1:24" x14ac:dyDescent="0.35">
      <c r="A6" t="s">
        <v>115</v>
      </c>
      <c r="B6" s="4">
        <v>5714</v>
      </c>
      <c r="C6" s="4" t="s">
        <v>55</v>
      </c>
      <c r="D6" s="4" t="s">
        <v>56</v>
      </c>
      <c r="E6">
        <f>18.84/384</f>
        <v>4.9062500000000002E-2</v>
      </c>
      <c r="F6">
        <f>6.28/256</f>
        <v>2.4531250000000001E-2</v>
      </c>
      <c r="G6" s="12">
        <v>2.2990199999999999E-2</v>
      </c>
      <c r="H6" s="12">
        <v>1.5090470000000001E-4</v>
      </c>
      <c r="I6" s="4">
        <f>E6/F6</f>
        <v>2</v>
      </c>
      <c r="J6" s="4" t="s">
        <v>57</v>
      </c>
      <c r="K6" s="4" t="s">
        <v>24</v>
      </c>
      <c r="L6">
        <v>0.1</v>
      </c>
      <c r="M6" s="7">
        <f>L6/H6</f>
        <v>662.66988370806212</v>
      </c>
      <c r="N6" s="11">
        <v>180.601843765257</v>
      </c>
      <c r="O6" s="3">
        <v>183.51840919111899</v>
      </c>
      <c r="P6">
        <f>8*(N6/B6)^2</f>
        <v>7.9919705400696046E-3</v>
      </c>
      <c r="Q6" s="8">
        <f t="shared" si="1"/>
        <v>8.2521817929983986E-3</v>
      </c>
      <c r="R6" s="9">
        <f t="shared" si="2"/>
        <v>3.2559085600248942E-2</v>
      </c>
      <c r="S6" s="7">
        <f t="shared" si="3"/>
        <v>6.4234654949639127</v>
      </c>
      <c r="T6" s="3">
        <f t="shared" si="4"/>
        <v>11.416529916489431</v>
      </c>
      <c r="U6" s="7">
        <f t="shared" si="5"/>
        <v>8.8607779597329213</v>
      </c>
      <c r="V6" s="7">
        <f t="shared" si="6"/>
        <v>4.501935975469638</v>
      </c>
      <c r="W6" s="7">
        <f t="shared" si="7"/>
        <v>4.1520725085320116</v>
      </c>
      <c r="X6" s="3">
        <f t="shared" si="8"/>
        <v>2.7253667052842979E-2</v>
      </c>
    </row>
    <row r="9" spans="1:24" x14ac:dyDescent="0.35">
      <c r="A9" t="s">
        <v>116</v>
      </c>
      <c r="B9" s="4">
        <v>5714</v>
      </c>
      <c r="C9" s="4" t="s">
        <v>35</v>
      </c>
      <c r="D9" s="4" t="s">
        <v>37</v>
      </c>
      <c r="E9" s="4">
        <v>0.1</v>
      </c>
      <c r="F9" s="4">
        <v>0.1</v>
      </c>
      <c r="G9">
        <f>F9</f>
        <v>0.1</v>
      </c>
      <c r="H9" s="4">
        <f>0.25*G9</f>
        <v>2.5000000000000001E-2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4</v>
      </c>
      <c r="N9" s="11">
        <v>180.601843765257</v>
      </c>
      <c r="O9" s="3">
        <v>178.80960212652499</v>
      </c>
      <c r="P9">
        <f>8*(N9/B9)^2</f>
        <v>7.9919705400696046E-3</v>
      </c>
      <c r="Q9" s="8">
        <f>8*(O9/B9)^2</f>
        <v>7.8341374782607952E-3</v>
      </c>
      <c r="R9" s="9">
        <f>(Q9-P9)/P9</f>
        <v>-1.9748954405859807E-2</v>
      </c>
      <c r="S9" s="7">
        <f>100*2*O9/B9</f>
        <v>6.2586490068787182</v>
      </c>
      <c r="T9" s="3">
        <f>B9/4*P9</f>
        <v>11.416529916489431</v>
      </c>
      <c r="U9" s="7">
        <f>E9*N9</f>
        <v>18.060184376525701</v>
      </c>
      <c r="V9" s="7">
        <f>F9*N9</f>
        <v>18.060184376525701</v>
      </c>
      <c r="W9" s="7">
        <f>G9*N9</f>
        <v>18.060184376525701</v>
      </c>
      <c r="X9" s="3">
        <f>H9*N9</f>
        <v>4.5150460941314252</v>
      </c>
    </row>
    <row r="10" spans="1:24" x14ac:dyDescent="0.35">
      <c r="A10" t="s">
        <v>116</v>
      </c>
      <c r="B10" s="4">
        <v>5714</v>
      </c>
      <c r="C10" s="4" t="s">
        <v>35</v>
      </c>
      <c r="D10" s="4" t="s">
        <v>39</v>
      </c>
      <c r="E10" s="4">
        <v>6.7000000000000004E-2</v>
      </c>
      <c r="F10" s="4">
        <v>6.7000000000000004E-2</v>
      </c>
      <c r="G10">
        <f>F10</f>
        <v>6.7000000000000004E-2</v>
      </c>
      <c r="H10" s="4">
        <f>0.25*G10</f>
        <v>1.6750000000000001E-2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ref="M10:M12" si="9">L10/H10</f>
        <v>5.9701492537313436</v>
      </c>
      <c r="N10" s="11">
        <v>180.601843765257</v>
      </c>
      <c r="O10" s="3">
        <v>181.94836980537099</v>
      </c>
      <c r="P10">
        <f>8*(N10/B10)^2</f>
        <v>7.9919705400696046E-3</v>
      </c>
      <c r="Q10" s="8">
        <f t="shared" ref="Q10:Q12" si="10">8*(O10/B10)^2</f>
        <v>8.1115874107959614E-3</v>
      </c>
      <c r="R10" s="9">
        <f t="shared" ref="R10:R12" si="11">(Q10-P10)/P10</f>
        <v>1.4967131088212824E-2</v>
      </c>
      <c r="S10" s="7">
        <f t="shared" ref="S10:S12" si="12">100*2*O10/B10</f>
        <v>6.3685113687564225</v>
      </c>
      <c r="T10" s="3">
        <f t="shared" ref="T10:T12" si="13">B10/4*P10</f>
        <v>11.416529916489431</v>
      </c>
      <c r="U10" s="7">
        <f t="shared" ref="U10:U12" si="14">E10*N10</f>
        <v>12.10032353227222</v>
      </c>
      <c r="V10" s="7">
        <f>F10*N10</f>
        <v>12.10032353227222</v>
      </c>
      <c r="W10" s="7">
        <f t="shared" ref="W10:W12" si="15">G10*N10</f>
        <v>12.10032353227222</v>
      </c>
      <c r="X10" s="3">
        <f t="shared" ref="X10:X12" si="16">H10*N10</f>
        <v>3.0250808830680551</v>
      </c>
    </row>
    <row r="11" spans="1:24" x14ac:dyDescent="0.35">
      <c r="A11" t="s">
        <v>116</v>
      </c>
      <c r="B11" s="4">
        <v>5714</v>
      </c>
      <c r="C11" s="4" t="s">
        <v>35</v>
      </c>
      <c r="D11" s="4" t="s">
        <v>40</v>
      </c>
      <c r="E11" s="4">
        <v>0.05</v>
      </c>
      <c r="F11" s="4">
        <v>0.05</v>
      </c>
      <c r="G11">
        <f>F11</f>
        <v>0.05</v>
      </c>
      <c r="H11" s="4">
        <f>0.25*G11</f>
        <v>1.2500000000000001E-2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8</v>
      </c>
      <c r="N11" s="11">
        <v>180.601843765257</v>
      </c>
      <c r="O11" s="3">
        <v>183.24478220022101</v>
      </c>
      <c r="P11">
        <f>8*(N11/B11)^2</f>
        <v>7.9919705400696046E-3</v>
      </c>
      <c r="Q11" s="8">
        <f t="shared" si="10"/>
        <v>8.2275920385184477E-3</v>
      </c>
      <c r="R11" s="9">
        <f t="shared" si="11"/>
        <v>2.9482278152490656E-2</v>
      </c>
      <c r="S11" s="7">
        <f t="shared" si="12"/>
        <v>6.4138880714113062</v>
      </c>
      <c r="T11" s="3">
        <f t="shared" si="13"/>
        <v>11.416529916489431</v>
      </c>
      <c r="U11" s="7">
        <f t="shared" si="14"/>
        <v>9.0300921882628504</v>
      </c>
      <c r="V11" s="7">
        <f>F11*N11</f>
        <v>9.0300921882628504</v>
      </c>
      <c r="W11" s="7">
        <f t="shared" si="15"/>
        <v>9.0300921882628504</v>
      </c>
      <c r="X11" s="3">
        <f t="shared" si="16"/>
        <v>2.2575230470657126</v>
      </c>
    </row>
    <row r="12" spans="1:24" x14ac:dyDescent="0.35">
      <c r="A12" t="s">
        <v>116</v>
      </c>
      <c r="B12" s="4">
        <v>5714</v>
      </c>
      <c r="C12" s="4" t="s">
        <v>35</v>
      </c>
      <c r="D12" s="4" t="s">
        <v>41</v>
      </c>
      <c r="E12" s="4">
        <v>3.3000000000000002E-2</v>
      </c>
      <c r="F12" s="4">
        <v>3.3000000000000002E-2</v>
      </c>
      <c r="G12">
        <f>F12</f>
        <v>3.3000000000000002E-2</v>
      </c>
      <c r="H12" s="4">
        <f>0.25*G12</f>
        <v>8.2500000000000004E-3</v>
      </c>
      <c r="I12" s="4">
        <v>1</v>
      </c>
      <c r="J12" s="4" t="s">
        <v>36</v>
      </c>
      <c r="K12" s="4" t="s">
        <v>24</v>
      </c>
      <c r="L12">
        <v>0.1</v>
      </c>
      <c r="M12" s="7">
        <f t="shared" si="9"/>
        <v>12.121212121212121</v>
      </c>
      <c r="N12" s="11">
        <v>180.601843765257</v>
      </c>
      <c r="O12" s="3">
        <v>184.211294112139</v>
      </c>
      <c r="P12">
        <f>8*(N12/B12)^2</f>
        <v>7.9919705400696046E-3</v>
      </c>
      <c r="Q12" s="8">
        <f t="shared" si="10"/>
        <v>8.3146126557039363E-3</v>
      </c>
      <c r="R12" s="9">
        <f t="shared" si="11"/>
        <v>4.0370783903255193E-2</v>
      </c>
      <c r="S12" s="7">
        <f t="shared" si="12"/>
        <v>6.4477176798088554</v>
      </c>
      <c r="T12" s="3">
        <f t="shared" si="13"/>
        <v>11.416529916489431</v>
      </c>
      <c r="U12" s="7">
        <f t="shared" si="14"/>
        <v>5.9598608442534813</v>
      </c>
      <c r="V12" s="7">
        <f>F12*N12</f>
        <v>5.9598608442534813</v>
      </c>
      <c r="W12" s="7">
        <f t="shared" si="15"/>
        <v>5.9598608442534813</v>
      </c>
      <c r="X12" s="3">
        <f t="shared" si="16"/>
        <v>1.4899652110633703</v>
      </c>
    </row>
    <row r="15" spans="1:24" x14ac:dyDescent="0.35">
      <c r="A15" t="s">
        <v>137</v>
      </c>
      <c r="B15" s="4">
        <v>5714</v>
      </c>
      <c r="C15" s="4" t="s">
        <v>35</v>
      </c>
      <c r="D15" s="4" t="s">
        <v>37</v>
      </c>
      <c r="E15" s="4">
        <v>0.1</v>
      </c>
      <c r="F15" s="4">
        <v>0.1</v>
      </c>
      <c r="G15">
        <f>F15</f>
        <v>0.1</v>
      </c>
      <c r="H15" s="4">
        <f>0.25*G15</f>
        <v>2.5000000000000001E-2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4</v>
      </c>
      <c r="N15" s="11">
        <v>180.601843765257</v>
      </c>
      <c r="O15" s="3">
        <v>179.05626668398401</v>
      </c>
      <c r="P15">
        <f>8*(N15/B15)^2</f>
        <v>7.9919705400696046E-3</v>
      </c>
      <c r="Q15" s="8">
        <f>8*(O15/B15)^2</f>
        <v>7.8557664835164076E-3</v>
      </c>
      <c r="R15" s="9">
        <f>(Q15-P15)/P15</f>
        <v>-1.7042612440862526E-2</v>
      </c>
      <c r="S15" s="7">
        <f>100*2*O15/B15</f>
        <v>6.2672826980743439</v>
      </c>
      <c r="T15" s="3">
        <f>B15/4*P15</f>
        <v>11.416529916489431</v>
      </c>
      <c r="U15" s="7">
        <f>E15*N15</f>
        <v>18.060184376525701</v>
      </c>
      <c r="V15" s="7">
        <f>F15*N15</f>
        <v>18.060184376525701</v>
      </c>
      <c r="W15" s="7">
        <f>G15*N15</f>
        <v>18.060184376525701</v>
      </c>
      <c r="X15" s="3">
        <f>H15*N15</f>
        <v>4.5150460941314252</v>
      </c>
    </row>
    <row r="16" spans="1:24" x14ac:dyDescent="0.35">
      <c r="A16" t="s">
        <v>137</v>
      </c>
      <c r="B16" s="4">
        <v>5714</v>
      </c>
      <c r="C16" s="4" t="s">
        <v>35</v>
      </c>
      <c r="D16" s="4" t="s">
        <v>39</v>
      </c>
      <c r="E16" s="4">
        <v>6.7000000000000004E-2</v>
      </c>
      <c r="F16" s="4">
        <v>6.7000000000000004E-2</v>
      </c>
      <c r="G16">
        <f>F16</f>
        <v>6.7000000000000004E-2</v>
      </c>
      <c r="H16" s="4">
        <f>0.25*G16</f>
        <v>1.6750000000000001E-2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ref="M16:M18" si="17">L16/H16</f>
        <v>5.9701492537313436</v>
      </c>
      <c r="N16" s="11">
        <v>180.601843765257</v>
      </c>
      <c r="O16" s="3">
        <v>182.10670162320901</v>
      </c>
      <c r="P16">
        <f>8*(N16/B16)^2</f>
        <v>7.9919705400696046E-3</v>
      </c>
      <c r="Q16" s="8">
        <f t="shared" ref="Q16:Q18" si="18">8*(O16/B16)^2</f>
        <v>8.1257109909255113E-3</v>
      </c>
      <c r="R16" s="9">
        <f t="shared" ref="R16:R18" si="19">(Q16-P16)/P16</f>
        <v>1.6734352333428633E-2</v>
      </c>
      <c r="S16" s="7">
        <f t="shared" ref="S16:S18" si="20">100*2*O16/B16</f>
        <v>6.3740532594752892</v>
      </c>
      <c r="T16" s="3">
        <f t="shared" ref="T16:T18" si="21">B16/4*P16</f>
        <v>11.416529916489431</v>
      </c>
      <c r="U16" s="7">
        <f t="shared" ref="U16:U18" si="22">E16*N16</f>
        <v>12.10032353227222</v>
      </c>
      <c r="V16" s="7">
        <f>F16*N16</f>
        <v>12.10032353227222</v>
      </c>
      <c r="W16" s="7">
        <f t="shared" ref="W16:W18" si="23">G16*N16</f>
        <v>12.10032353227222</v>
      </c>
      <c r="X16" s="3">
        <f t="shared" ref="X16:X18" si="24">H16*N16</f>
        <v>3.0250808830680551</v>
      </c>
    </row>
    <row r="17" spans="1:24" x14ac:dyDescent="0.35">
      <c r="A17" t="s">
        <v>137</v>
      </c>
      <c r="B17" s="4">
        <v>5714</v>
      </c>
      <c r="C17" s="4" t="s">
        <v>35</v>
      </c>
      <c r="D17" s="4" t="s">
        <v>40</v>
      </c>
      <c r="E17" s="4">
        <v>0.05</v>
      </c>
      <c r="F17" s="4">
        <v>0.05</v>
      </c>
      <c r="G17">
        <f>F17</f>
        <v>0.05</v>
      </c>
      <c r="H17" s="4">
        <f>0.25*G17</f>
        <v>1.2500000000000001E-2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7"/>
        <v>8</v>
      </c>
      <c r="N17" s="11">
        <v>180.601843765257</v>
      </c>
      <c r="O17" s="3">
        <v>183.13948018760399</v>
      </c>
      <c r="P17">
        <f>8*(N17/B17)^2</f>
        <v>7.9919705400696046E-3</v>
      </c>
      <c r="Q17" s="8">
        <f t="shared" si="18"/>
        <v>8.2181387481589877E-3</v>
      </c>
      <c r="R17" s="9">
        <f t="shared" si="19"/>
        <v>2.8299429653229589E-2</v>
      </c>
      <c r="S17" s="7">
        <f t="shared" si="20"/>
        <v>6.4102023166819739</v>
      </c>
      <c r="T17" s="3">
        <f t="shared" si="21"/>
        <v>11.416529916489431</v>
      </c>
      <c r="U17" s="7">
        <f t="shared" si="22"/>
        <v>9.0300921882628504</v>
      </c>
      <c r="V17" s="7">
        <f>F17*N17</f>
        <v>9.0300921882628504</v>
      </c>
      <c r="W17" s="7">
        <f t="shared" si="23"/>
        <v>9.0300921882628504</v>
      </c>
      <c r="X17" s="3">
        <f t="shared" si="24"/>
        <v>2.2575230470657126</v>
      </c>
    </row>
    <row r="18" spans="1:24" x14ac:dyDescent="0.35">
      <c r="A18" t="s">
        <v>137</v>
      </c>
      <c r="B18" s="4">
        <v>5714</v>
      </c>
      <c r="C18" s="4" t="s">
        <v>35</v>
      </c>
      <c r="D18" s="4" t="s">
        <v>41</v>
      </c>
      <c r="E18" s="4">
        <v>3.3000000000000002E-2</v>
      </c>
      <c r="F18" s="4">
        <v>3.3000000000000002E-2</v>
      </c>
      <c r="G18">
        <f>F18</f>
        <v>3.3000000000000002E-2</v>
      </c>
      <c r="H18" s="4">
        <f>0.25*G18</f>
        <v>8.2500000000000004E-3</v>
      </c>
      <c r="I18" s="4">
        <v>1</v>
      </c>
      <c r="J18" s="4" t="s">
        <v>36</v>
      </c>
      <c r="K18" s="4" t="s">
        <v>24</v>
      </c>
      <c r="L18">
        <v>0.1</v>
      </c>
      <c r="M18" s="7">
        <f t="shared" si="17"/>
        <v>12.121212121212121</v>
      </c>
      <c r="N18" s="11">
        <v>180.601843765257</v>
      </c>
      <c r="O18" s="3">
        <v>183.956931737708</v>
      </c>
      <c r="P18">
        <f>8*(N18/B18)^2</f>
        <v>7.9919705400696046E-3</v>
      </c>
      <c r="Q18" s="8">
        <f t="shared" si="18"/>
        <v>8.291666565843599E-3</v>
      </c>
      <c r="R18" s="9">
        <f t="shared" si="19"/>
        <v>3.7499640954805652E-2</v>
      </c>
      <c r="S18" s="7">
        <f t="shared" si="20"/>
        <v>6.4388145515473578</v>
      </c>
      <c r="T18" s="3">
        <f t="shared" si="21"/>
        <v>11.416529916489431</v>
      </c>
      <c r="U18" s="7">
        <f t="shared" si="22"/>
        <v>5.9598608442534813</v>
      </c>
      <c r="V18" s="7">
        <f>F18*N18</f>
        <v>5.9598608442534813</v>
      </c>
      <c r="W18" s="7">
        <f t="shared" si="23"/>
        <v>5.9598608442534813</v>
      </c>
      <c r="X18" s="3">
        <f t="shared" si="24"/>
        <v>1.4899652110633703</v>
      </c>
    </row>
    <row r="19" spans="1:24" x14ac:dyDescent="0.35">
      <c r="V19" s="7"/>
    </row>
    <row r="20" spans="1:24" x14ac:dyDescent="0.3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7"/>
      <c r="W20" s="4"/>
      <c r="X20" s="4"/>
    </row>
    <row r="21" spans="1:24" x14ac:dyDescent="0.35">
      <c r="A21" t="s">
        <v>128</v>
      </c>
      <c r="B21" s="4">
        <v>5714</v>
      </c>
      <c r="C21" s="4" t="s">
        <v>35</v>
      </c>
      <c r="D21" s="4" t="s">
        <v>37</v>
      </c>
      <c r="E21" s="4">
        <v>0.1</v>
      </c>
      <c r="F21" s="4">
        <v>0.1</v>
      </c>
      <c r="G21">
        <f>F21</f>
        <v>0.1</v>
      </c>
      <c r="H21" s="4">
        <f>0.25*G21</f>
        <v>2.5000000000000001E-2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4</v>
      </c>
      <c r="N21" s="11">
        <v>180.601843765257</v>
      </c>
      <c r="O21" s="3">
        <v>178.829972998947</v>
      </c>
      <c r="P21">
        <f>8*(N21/B21)^2</f>
        <v>7.9919705400696046E-3</v>
      </c>
      <c r="Q21" s="8">
        <f>8*(O21/B21)^2</f>
        <v>7.8359225871559163E-3</v>
      </c>
      <c r="R21" s="9">
        <f>(Q21-P21)/P21</f>
        <v>-1.95255916086409E-2</v>
      </c>
      <c r="S21" s="7">
        <f>100*2*O21/B21</f>
        <v>6.2593620230642983</v>
      </c>
      <c r="T21" s="3">
        <f>B21/4*P21</f>
        <v>11.416529916489431</v>
      </c>
      <c r="U21" s="7">
        <f>E21*N21</f>
        <v>18.060184376525701</v>
      </c>
      <c r="V21" s="7">
        <f>F21*N21</f>
        <v>18.060184376525701</v>
      </c>
      <c r="W21" s="7">
        <f>G21*N21</f>
        <v>18.060184376525701</v>
      </c>
      <c r="X21" s="3">
        <f>H21*N21</f>
        <v>4.5150460941314252</v>
      </c>
    </row>
    <row r="22" spans="1:24" x14ac:dyDescent="0.35">
      <c r="A22" t="s">
        <v>128</v>
      </c>
      <c r="B22" s="4">
        <v>5714</v>
      </c>
      <c r="C22" s="4" t="s">
        <v>35</v>
      </c>
      <c r="D22" s="4" t="s">
        <v>39</v>
      </c>
      <c r="E22" s="4">
        <v>6.7000000000000004E-2</v>
      </c>
      <c r="F22" s="4">
        <v>6.7000000000000004E-2</v>
      </c>
      <c r="G22">
        <f>F22</f>
        <v>6.7000000000000004E-2</v>
      </c>
      <c r="H22" s="4">
        <f>0.25*G22</f>
        <v>1.6750000000000001E-2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 t="shared" ref="M22:M24" si="25">L22/H22</f>
        <v>5.9701492537313436</v>
      </c>
      <c r="N22" s="11">
        <v>180.601843765257</v>
      </c>
      <c r="O22" s="3">
        <v>181.74207679560499</v>
      </c>
      <c r="P22">
        <f>8*(N22/B22)^2</f>
        <v>7.9919705400696046E-3</v>
      </c>
      <c r="Q22" s="8">
        <f t="shared" ref="Q22:Q24" si="26">8*(O22/B22)^2</f>
        <v>8.0932040072727151E-3</v>
      </c>
      <c r="R22" s="9">
        <f t="shared" ref="R22:R24" si="27">(Q22-P22)/P22</f>
        <v>1.2666896943069659E-2</v>
      </c>
      <c r="S22" s="7">
        <f t="shared" ref="S22:S24" si="28">100*2*O22/B22</f>
        <v>6.3612907523837938</v>
      </c>
      <c r="T22" s="3">
        <f t="shared" ref="T22:T24" si="29">B22/4*P22</f>
        <v>11.416529916489431</v>
      </c>
      <c r="U22" s="7">
        <f t="shared" ref="U22:U24" si="30">E22*N22</f>
        <v>12.10032353227222</v>
      </c>
      <c r="V22" s="7">
        <f>F22*N22</f>
        <v>12.10032353227222</v>
      </c>
      <c r="W22" s="7">
        <f t="shared" ref="W22:W24" si="31">G22*N22</f>
        <v>12.10032353227222</v>
      </c>
      <c r="X22" s="3">
        <f t="shared" ref="X22:X24" si="32">H22*N22</f>
        <v>3.0250808830680551</v>
      </c>
    </row>
    <row r="23" spans="1:24" x14ac:dyDescent="0.35">
      <c r="A23" t="s">
        <v>128</v>
      </c>
      <c r="B23" s="4">
        <v>5714</v>
      </c>
      <c r="C23" s="4" t="s">
        <v>35</v>
      </c>
      <c r="D23" s="4" t="s">
        <v>40</v>
      </c>
      <c r="E23" s="4">
        <v>0.05</v>
      </c>
      <c r="F23" s="4">
        <v>0.05</v>
      </c>
      <c r="G23">
        <f>F23</f>
        <v>0.05</v>
      </c>
      <c r="H23" s="4">
        <f>0.25*G23</f>
        <v>1.2500000000000001E-2</v>
      </c>
      <c r="I23" s="4">
        <v>1</v>
      </c>
      <c r="J23" s="4" t="s">
        <v>36</v>
      </c>
      <c r="K23" s="4" t="s">
        <v>24</v>
      </c>
      <c r="L23">
        <v>0.1</v>
      </c>
      <c r="M23" s="7">
        <f t="shared" si="25"/>
        <v>8</v>
      </c>
      <c r="N23" s="11">
        <v>180.601843765257</v>
      </c>
      <c r="O23" s="3">
        <v>182.79404219271501</v>
      </c>
      <c r="P23">
        <f>8*(N23/B23)^2</f>
        <v>7.9919705400696046E-3</v>
      </c>
      <c r="Q23" s="8">
        <f t="shared" si="26"/>
        <v>8.1871658520995538E-3</v>
      </c>
      <c r="R23" s="9">
        <f t="shared" si="27"/>
        <v>2.4423927872518056E-2</v>
      </c>
      <c r="S23" s="7">
        <f t="shared" si="28"/>
        <v>6.3981113823141413</v>
      </c>
      <c r="T23" s="3">
        <f t="shared" si="29"/>
        <v>11.416529916489431</v>
      </c>
      <c r="U23" s="7">
        <f t="shared" si="30"/>
        <v>9.0300921882628504</v>
      </c>
      <c r="V23" s="7">
        <f>F23*N23</f>
        <v>9.0300921882628504</v>
      </c>
      <c r="W23" s="7">
        <f t="shared" si="31"/>
        <v>9.0300921882628504</v>
      </c>
      <c r="X23" s="3">
        <f t="shared" si="32"/>
        <v>2.2575230470657126</v>
      </c>
    </row>
    <row r="24" spans="1:24" x14ac:dyDescent="0.35">
      <c r="A24" t="s">
        <v>128</v>
      </c>
      <c r="B24" s="4">
        <v>5714</v>
      </c>
      <c r="C24" s="4" t="s">
        <v>35</v>
      </c>
      <c r="D24" s="4" t="s">
        <v>41</v>
      </c>
      <c r="E24" s="4">
        <v>3.3000000000000002E-2</v>
      </c>
      <c r="F24" s="4">
        <v>3.3000000000000002E-2</v>
      </c>
      <c r="G24">
        <f>F24</f>
        <v>3.3000000000000002E-2</v>
      </c>
      <c r="H24" s="4">
        <f>0.25*G24</f>
        <v>8.2500000000000004E-3</v>
      </c>
      <c r="I24" s="4">
        <v>1</v>
      </c>
      <c r="J24" s="4" t="s">
        <v>36</v>
      </c>
      <c r="K24" s="4" t="s">
        <v>24</v>
      </c>
      <c r="L24">
        <v>0.1</v>
      </c>
      <c r="M24" s="7">
        <f t="shared" si="25"/>
        <v>12.121212121212121</v>
      </c>
      <c r="N24" s="11">
        <v>180.601843765257</v>
      </c>
      <c r="O24" s="3">
        <v>183.52815997692801</v>
      </c>
      <c r="P24">
        <f>8*(N24/B24)^2</f>
        <v>7.9919705400696046E-3</v>
      </c>
      <c r="Q24" s="8">
        <f t="shared" si="26"/>
        <v>8.2530587338473724E-3</v>
      </c>
      <c r="R24" s="9">
        <f t="shared" si="27"/>
        <v>3.2668813338180031E-2</v>
      </c>
      <c r="S24" s="7">
        <f t="shared" si="28"/>
        <v>6.4238067895319562</v>
      </c>
      <c r="T24" s="3">
        <f t="shared" si="29"/>
        <v>11.416529916489431</v>
      </c>
      <c r="U24" s="7">
        <f t="shared" si="30"/>
        <v>5.9598608442534813</v>
      </c>
      <c r="V24" s="7">
        <f>F24*N24</f>
        <v>5.9598608442534813</v>
      </c>
      <c r="W24" s="7">
        <f t="shared" si="31"/>
        <v>5.9598608442534813</v>
      </c>
      <c r="X24" s="3">
        <f t="shared" si="32"/>
        <v>1.4899652110633703</v>
      </c>
    </row>
    <row r="28" spans="1:24" x14ac:dyDescent="0.35">
      <c r="A28" t="s">
        <v>139</v>
      </c>
      <c r="B28" s="4">
        <v>5714</v>
      </c>
      <c r="C28" s="4" t="s">
        <v>35</v>
      </c>
      <c r="D28" s="4" t="s">
        <v>37</v>
      </c>
      <c r="E28" s="4">
        <v>0.1</v>
      </c>
      <c r="F28" s="4">
        <v>0.1</v>
      </c>
      <c r="G28">
        <f>F28</f>
        <v>0.1</v>
      </c>
      <c r="H28" s="4">
        <f>0.25*G28</f>
        <v>2.5000000000000001E-2</v>
      </c>
      <c r="I28" s="4">
        <v>1</v>
      </c>
      <c r="J28" s="4" t="s">
        <v>36</v>
      </c>
      <c r="K28" s="4" t="s">
        <v>24</v>
      </c>
      <c r="L28" t="s">
        <v>152</v>
      </c>
      <c r="M28" t="s">
        <v>152</v>
      </c>
      <c r="N28" s="11">
        <v>180.601843765257</v>
      </c>
      <c r="O28" s="3">
        <v>185.85994029578501</v>
      </c>
      <c r="P28">
        <f>8*(N28/B28)^2</f>
        <v>7.9919705400696046E-3</v>
      </c>
      <c r="Q28" s="8">
        <f>8*(O28/B28)^2</f>
        <v>8.4641061541095731E-3</v>
      </c>
      <c r="R28" s="9">
        <f>(Q28-P28)/P28</f>
        <v>5.9076245548304596E-2</v>
      </c>
      <c r="S28" s="7">
        <f>600*2*O28/B28</f>
        <v>39.032539089069303</v>
      </c>
      <c r="T28" s="3">
        <f>B28/4*P28</f>
        <v>11.416529916489431</v>
      </c>
      <c r="U28" s="7">
        <f>E28*N28</f>
        <v>18.060184376525701</v>
      </c>
      <c r="V28" s="7">
        <f>F28*N28</f>
        <v>18.060184376525701</v>
      </c>
      <c r="W28" s="7">
        <f>G28*N28</f>
        <v>18.060184376525701</v>
      </c>
      <c r="X28" s="3">
        <f>H28*N28</f>
        <v>4.5150460941314252</v>
      </c>
    </row>
    <row r="29" spans="1:24" x14ac:dyDescent="0.35">
      <c r="A29" t="s">
        <v>139</v>
      </c>
      <c r="B29" s="4">
        <v>5714</v>
      </c>
      <c r="C29" s="4" t="s">
        <v>35</v>
      </c>
      <c r="D29" s="4" t="s">
        <v>39</v>
      </c>
      <c r="E29" s="4">
        <v>6.7000000000000004E-2</v>
      </c>
      <c r="F29" s="4">
        <v>6.7000000000000004E-2</v>
      </c>
      <c r="G29">
        <f>F29</f>
        <v>6.7000000000000004E-2</v>
      </c>
      <c r="H29" s="4">
        <f>0.25*G29</f>
        <v>1.6750000000000001E-2</v>
      </c>
      <c r="I29" s="4">
        <v>1</v>
      </c>
      <c r="J29" s="4" t="s">
        <v>36</v>
      </c>
      <c r="K29" s="4" t="s">
        <v>24</v>
      </c>
      <c r="L29" t="s">
        <v>152</v>
      </c>
      <c r="M29" t="s">
        <v>152</v>
      </c>
      <c r="N29" s="11">
        <v>180.601843765257</v>
      </c>
      <c r="O29" s="3">
        <v>189.663707632377</v>
      </c>
      <c r="P29">
        <f>8*(N29/B29)^2</f>
        <v>7.9919705400696046E-3</v>
      </c>
      <c r="Q29" s="8">
        <f t="shared" ref="Q29:Q31" si="33">8*(O29/B29)^2</f>
        <v>8.8141002762430181E-3</v>
      </c>
      <c r="R29" s="9">
        <f t="shared" ref="R29:R31" si="34">(Q29-P29)/P29</f>
        <v>0.10286946530289053</v>
      </c>
      <c r="S29" s="7">
        <f t="shared" ref="S29:S37" si="35">600*2*O29/B29</f>
        <v>39.831370171307732</v>
      </c>
      <c r="T29" s="3">
        <f t="shared" ref="T29:T31" si="36">B29/4*P29</f>
        <v>11.416529916489431</v>
      </c>
      <c r="U29" s="7">
        <f t="shared" ref="U29:U31" si="37">E29*N29</f>
        <v>12.10032353227222</v>
      </c>
      <c r="V29" s="7">
        <f>F29*N29</f>
        <v>12.10032353227222</v>
      </c>
      <c r="W29" s="7">
        <f t="shared" ref="W29:W31" si="38">G29*N29</f>
        <v>12.10032353227222</v>
      </c>
      <c r="X29" s="3">
        <f t="shared" ref="X29:X31" si="39">H29*N29</f>
        <v>3.0250808830680551</v>
      </c>
    </row>
    <row r="30" spans="1:24" x14ac:dyDescent="0.35">
      <c r="A30" t="s">
        <v>139</v>
      </c>
      <c r="B30" s="4">
        <v>5714</v>
      </c>
      <c r="C30" s="4" t="s">
        <v>35</v>
      </c>
      <c r="D30" s="4" t="s">
        <v>40</v>
      </c>
      <c r="E30" s="4">
        <v>0.05</v>
      </c>
      <c r="F30" s="4">
        <v>0.05</v>
      </c>
      <c r="G30">
        <f>F30</f>
        <v>0.05</v>
      </c>
      <c r="H30" s="4">
        <f>0.25*G30</f>
        <v>1.2500000000000001E-2</v>
      </c>
      <c r="I30" s="4">
        <v>1</v>
      </c>
      <c r="J30" s="4" t="s">
        <v>36</v>
      </c>
      <c r="K30" s="4" t="s">
        <v>24</v>
      </c>
      <c r="L30" t="s">
        <v>152</v>
      </c>
      <c r="M30" t="s">
        <v>152</v>
      </c>
      <c r="N30" s="11">
        <v>180.601843765257</v>
      </c>
      <c r="O30" s="3">
        <v>188.61684277549799</v>
      </c>
      <c r="P30">
        <f>8*(N30/B30)^2</f>
        <v>7.9919705400696046E-3</v>
      </c>
      <c r="Q30" s="8">
        <f t="shared" si="33"/>
        <v>8.7170684628098561E-3</v>
      </c>
      <c r="R30" s="9">
        <f t="shared" si="34"/>
        <v>9.0728302751468398E-2</v>
      </c>
      <c r="S30" s="7">
        <f t="shared" si="35"/>
        <v>39.611517558732515</v>
      </c>
      <c r="T30" s="3">
        <f t="shared" si="36"/>
        <v>11.416529916489431</v>
      </c>
      <c r="U30" s="7">
        <f t="shared" si="37"/>
        <v>9.0300921882628504</v>
      </c>
      <c r="V30" s="7">
        <f>F30*N30</f>
        <v>9.0300921882628504</v>
      </c>
      <c r="W30" s="7">
        <f t="shared" si="38"/>
        <v>9.0300921882628504</v>
      </c>
      <c r="X30" s="3">
        <f t="shared" si="39"/>
        <v>2.2575230470657126</v>
      </c>
    </row>
    <row r="31" spans="1:24" x14ac:dyDescent="0.35">
      <c r="A31" t="s">
        <v>139</v>
      </c>
      <c r="B31" s="4">
        <v>5714</v>
      </c>
      <c r="C31" s="4" t="s">
        <v>35</v>
      </c>
      <c r="D31" s="4" t="s">
        <v>41</v>
      </c>
      <c r="E31" s="4">
        <v>3.3000000000000002E-2</v>
      </c>
      <c r="F31" s="4">
        <v>3.3000000000000002E-2</v>
      </c>
      <c r="G31">
        <f>F31</f>
        <v>3.3000000000000002E-2</v>
      </c>
      <c r="H31" s="4">
        <f>0.25*G31</f>
        <v>8.2500000000000004E-3</v>
      </c>
      <c r="I31" s="4">
        <v>1</v>
      </c>
      <c r="J31" s="4" t="s">
        <v>36</v>
      </c>
      <c r="K31" s="4" t="s">
        <v>24</v>
      </c>
      <c r="L31" t="s">
        <v>152</v>
      </c>
      <c r="M31" t="s">
        <v>152</v>
      </c>
      <c r="N31" s="11">
        <v>180.601843765257</v>
      </c>
      <c r="O31" s="3">
        <v>185.42337692876299</v>
      </c>
      <c r="P31">
        <f>8*(N31/B31)^2</f>
        <v>7.9919705400696046E-3</v>
      </c>
      <c r="Q31" s="8">
        <f t="shared" si="33"/>
        <v>8.4243904523424555E-3</v>
      </c>
      <c r="R31" s="9">
        <f t="shared" si="34"/>
        <v>5.4106795076985452E-2</v>
      </c>
      <c r="S31" s="7">
        <f t="shared" si="35"/>
        <v>38.940856197850117</v>
      </c>
      <c r="T31" s="3">
        <f t="shared" si="36"/>
        <v>11.416529916489431</v>
      </c>
      <c r="U31" s="7">
        <f t="shared" si="37"/>
        <v>5.9598608442534813</v>
      </c>
      <c r="V31" s="7">
        <f>F31*N31</f>
        <v>5.9598608442534813</v>
      </c>
      <c r="W31" s="7">
        <f t="shared" si="38"/>
        <v>5.9598608442534813</v>
      </c>
      <c r="X31" s="3">
        <f t="shared" si="39"/>
        <v>1.4899652110633703</v>
      </c>
    </row>
    <row r="32" spans="1:24" x14ac:dyDescent="0.35">
      <c r="S32" s="7"/>
    </row>
    <row r="33" spans="1:24" x14ac:dyDescent="0.35">
      <c r="S33" s="7"/>
    </row>
    <row r="34" spans="1:24" x14ac:dyDescent="0.35">
      <c r="A34" t="s">
        <v>138</v>
      </c>
      <c r="B34" s="4">
        <v>5714</v>
      </c>
      <c r="C34" s="4" t="s">
        <v>35</v>
      </c>
      <c r="D34" s="4" t="s">
        <v>37</v>
      </c>
      <c r="E34" s="4">
        <v>0.1</v>
      </c>
      <c r="F34" s="4">
        <v>0.1</v>
      </c>
      <c r="G34">
        <f>F34</f>
        <v>0.1</v>
      </c>
      <c r="H34" s="4">
        <f>0.25*G34</f>
        <v>2.5000000000000001E-2</v>
      </c>
      <c r="I34" s="4">
        <v>1</v>
      </c>
      <c r="J34" s="4" t="s">
        <v>36</v>
      </c>
      <c r="K34" s="4" t="s">
        <v>24</v>
      </c>
      <c r="L34" t="s">
        <v>152</v>
      </c>
      <c r="M34" t="s">
        <v>152</v>
      </c>
      <c r="N34" s="11">
        <v>180.601843765257</v>
      </c>
      <c r="O34" s="3">
        <v>169.18076041965301</v>
      </c>
      <c r="P34">
        <f>8*(N34/B34)^2</f>
        <v>7.9919705400696046E-3</v>
      </c>
      <c r="Q34" s="8">
        <f>8*(O34/B34)^2</f>
        <v>7.0131230703363743E-3</v>
      </c>
      <c r="R34" s="9">
        <f>(Q34-P34)/P34</f>
        <v>-0.122478863607611</v>
      </c>
      <c r="S34" s="7">
        <f t="shared" si="35"/>
        <v>35.529736174935877</v>
      </c>
      <c r="T34" s="3">
        <f>B34/4*P34</f>
        <v>11.416529916489431</v>
      </c>
      <c r="U34" s="7">
        <f>E34*N34</f>
        <v>18.060184376525701</v>
      </c>
      <c r="V34" s="7">
        <f>F34*N34</f>
        <v>18.060184376525701</v>
      </c>
      <c r="W34" s="7">
        <f>G34*N34</f>
        <v>18.060184376525701</v>
      </c>
      <c r="X34" s="3">
        <f>H34*N34</f>
        <v>4.5150460941314252</v>
      </c>
    </row>
    <row r="35" spans="1:24" x14ac:dyDescent="0.35">
      <c r="A35" t="s">
        <v>138</v>
      </c>
      <c r="B35" s="4">
        <v>5714</v>
      </c>
      <c r="C35" s="4" t="s">
        <v>35</v>
      </c>
      <c r="D35" s="4" t="s">
        <v>39</v>
      </c>
      <c r="E35" s="4">
        <v>6.7000000000000004E-2</v>
      </c>
      <c r="F35" s="4">
        <v>6.7000000000000004E-2</v>
      </c>
      <c r="G35">
        <f>F35</f>
        <v>6.7000000000000004E-2</v>
      </c>
      <c r="H35" s="4">
        <f>0.25*G35</f>
        <v>1.6750000000000001E-2</v>
      </c>
      <c r="I35" s="4">
        <v>1</v>
      </c>
      <c r="J35" s="4" t="s">
        <v>36</v>
      </c>
      <c r="K35" s="4" t="s">
        <v>24</v>
      </c>
      <c r="L35" t="s">
        <v>152</v>
      </c>
      <c r="M35" t="s">
        <v>152</v>
      </c>
      <c r="N35" s="11">
        <v>180.601843765257</v>
      </c>
      <c r="O35" s="3">
        <v>176.73904168287399</v>
      </c>
      <c r="P35">
        <f>8*(N35/B35)^2</f>
        <v>7.9919705400696046E-3</v>
      </c>
      <c r="Q35" s="8">
        <f t="shared" ref="Q35:Q37" si="40">8*(O35/B35)^2</f>
        <v>7.6537541257484538E-3</v>
      </c>
      <c r="R35" s="9">
        <f t="shared" ref="R35:R37" si="41">(Q35-P35)/P35</f>
        <v>-4.2319527158593009E-2</v>
      </c>
      <c r="S35" s="7">
        <f t="shared" si="35"/>
        <v>37.117054606133841</v>
      </c>
      <c r="T35" s="3">
        <f t="shared" ref="T35:T37" si="42">B35/4*P35</f>
        <v>11.416529916489431</v>
      </c>
      <c r="U35" s="7">
        <f t="shared" ref="U35:U37" si="43">E35*N35</f>
        <v>12.10032353227222</v>
      </c>
      <c r="V35" s="7">
        <f>F35*N35</f>
        <v>12.10032353227222</v>
      </c>
      <c r="W35" s="7">
        <f t="shared" ref="W35:W37" si="44">G35*N35</f>
        <v>12.10032353227222</v>
      </c>
      <c r="X35" s="3">
        <f t="shared" ref="X35:X37" si="45">H35*N35</f>
        <v>3.0250808830680551</v>
      </c>
    </row>
    <row r="36" spans="1:24" x14ac:dyDescent="0.35">
      <c r="A36" t="s">
        <v>138</v>
      </c>
      <c r="B36" s="4">
        <v>5714</v>
      </c>
      <c r="C36" s="4" t="s">
        <v>35</v>
      </c>
      <c r="D36" s="4" t="s">
        <v>40</v>
      </c>
      <c r="E36" s="4">
        <v>0.05</v>
      </c>
      <c r="F36" s="4">
        <v>0.05</v>
      </c>
      <c r="G36">
        <f>F36</f>
        <v>0.05</v>
      </c>
      <c r="H36" s="4">
        <f>0.25*G36</f>
        <v>1.2500000000000001E-2</v>
      </c>
      <c r="I36" s="4">
        <v>1</v>
      </c>
      <c r="J36" s="4" t="s">
        <v>36</v>
      </c>
      <c r="K36" s="4" t="s">
        <v>24</v>
      </c>
      <c r="L36" t="s">
        <v>152</v>
      </c>
      <c r="M36" t="s">
        <v>152</v>
      </c>
      <c r="N36" s="11">
        <v>180.601843765257</v>
      </c>
      <c r="O36" s="3">
        <v>178.742502800186</v>
      </c>
      <c r="P36">
        <f>8*(N36/B36)^2</f>
        <v>7.9919705400696046E-3</v>
      </c>
      <c r="Q36" s="8">
        <f t="shared" si="40"/>
        <v>7.8282589716087668E-3</v>
      </c>
      <c r="R36" s="9">
        <f t="shared" si="41"/>
        <v>-2.0484505997617457E-2</v>
      </c>
      <c r="S36" s="7">
        <f t="shared" si="35"/>
        <v>37.537802478162966</v>
      </c>
      <c r="T36" s="3">
        <f t="shared" si="42"/>
        <v>11.416529916489431</v>
      </c>
      <c r="U36" s="7">
        <f t="shared" si="43"/>
        <v>9.0300921882628504</v>
      </c>
      <c r="V36" s="7">
        <f>F36*N36</f>
        <v>9.0300921882628504</v>
      </c>
      <c r="W36" s="7">
        <f t="shared" si="44"/>
        <v>9.0300921882628504</v>
      </c>
      <c r="X36" s="3">
        <f t="shared" si="45"/>
        <v>2.2575230470657126</v>
      </c>
    </row>
    <row r="37" spans="1:24" x14ac:dyDescent="0.35">
      <c r="A37" t="s">
        <v>138</v>
      </c>
      <c r="B37" s="4">
        <v>5714</v>
      </c>
      <c r="C37" s="4" t="s">
        <v>35</v>
      </c>
      <c r="D37" s="4" t="s">
        <v>41</v>
      </c>
      <c r="E37" s="4">
        <v>3.3000000000000002E-2</v>
      </c>
      <c r="F37" s="4">
        <v>3.3000000000000002E-2</v>
      </c>
      <c r="G37">
        <f>F37</f>
        <v>3.3000000000000002E-2</v>
      </c>
      <c r="H37" s="4">
        <f>0.25*G37</f>
        <v>8.2500000000000004E-3</v>
      </c>
      <c r="I37" s="4">
        <v>1</v>
      </c>
      <c r="J37" s="4" t="s">
        <v>36</v>
      </c>
      <c r="K37" s="4" t="s">
        <v>24</v>
      </c>
      <c r="L37" t="s">
        <v>152</v>
      </c>
      <c r="M37" t="s">
        <v>152</v>
      </c>
      <c r="N37" s="11">
        <v>180.601843765257</v>
      </c>
      <c r="O37" s="3">
        <v>179.976850819395</v>
      </c>
      <c r="P37">
        <f>8*(N37/B37)^2</f>
        <v>7.9919705400696046E-3</v>
      </c>
      <c r="Q37" s="8">
        <f t="shared" si="40"/>
        <v>7.936752028923369E-3</v>
      </c>
      <c r="R37" s="9">
        <f t="shared" si="41"/>
        <v>-6.9092485851123733E-3</v>
      </c>
      <c r="S37" s="7">
        <f t="shared" si="35"/>
        <v>37.797028523499122</v>
      </c>
      <c r="T37" s="3">
        <f t="shared" si="42"/>
        <v>11.416529916489431</v>
      </c>
      <c r="U37" s="7">
        <f t="shared" si="43"/>
        <v>5.9598608442534813</v>
      </c>
      <c r="V37" s="7">
        <f>F37*N37</f>
        <v>5.9598608442534813</v>
      </c>
      <c r="W37" s="7">
        <f t="shared" si="44"/>
        <v>5.9598608442534813</v>
      </c>
      <c r="X37" s="3">
        <f t="shared" si="45"/>
        <v>1.4899652110633703</v>
      </c>
    </row>
    <row r="38" spans="1:24" x14ac:dyDescent="0.35">
      <c r="B38" s="4"/>
      <c r="C38" s="4"/>
      <c r="D38" s="4"/>
      <c r="E38" s="4"/>
      <c r="F38" s="4"/>
      <c r="H38" s="4"/>
      <c r="I38" s="4"/>
      <c r="J38" s="4"/>
      <c r="K38" s="4"/>
      <c r="M38" s="7"/>
      <c r="N38" s="11"/>
      <c r="O38" s="3"/>
      <c r="Q38" s="8"/>
      <c r="R38" s="9"/>
      <c r="S38" s="7"/>
      <c r="T38" s="3"/>
      <c r="U38" s="7"/>
      <c r="V38" s="7"/>
      <c r="W38" s="7"/>
      <c r="X38" s="7"/>
    </row>
    <row r="39" spans="1:24" x14ac:dyDescent="0.35">
      <c r="B39" s="4"/>
      <c r="C39" s="4"/>
      <c r="D39" s="4"/>
      <c r="E39" s="4"/>
      <c r="F39" s="4"/>
      <c r="H39" s="4"/>
      <c r="I39" s="4"/>
      <c r="J39" s="4"/>
      <c r="K39" s="4"/>
      <c r="M39" s="7"/>
      <c r="N39" s="11"/>
      <c r="O39" s="3"/>
      <c r="Q39" s="8"/>
      <c r="R39" s="9"/>
      <c r="S39" s="7"/>
      <c r="T39" s="3"/>
      <c r="U39" s="7"/>
      <c r="V39" s="7"/>
      <c r="W39" s="7"/>
      <c r="X39" s="7"/>
    </row>
    <row r="40" spans="1:24" x14ac:dyDescent="0.35">
      <c r="B40" s="4"/>
      <c r="C40" s="4"/>
      <c r="D40" s="4"/>
      <c r="E40" s="4"/>
      <c r="F40" s="4"/>
      <c r="H40" s="4"/>
      <c r="I40" s="4"/>
      <c r="J40" s="4"/>
      <c r="K40" s="4"/>
      <c r="M40" s="7"/>
      <c r="N40" s="11"/>
      <c r="O40" s="3"/>
      <c r="Q40" s="8"/>
      <c r="R40" s="9"/>
      <c r="S40" s="7"/>
      <c r="T40" s="3"/>
      <c r="U40" s="7"/>
      <c r="V40" s="7"/>
      <c r="W40" s="7"/>
      <c r="X40" s="7"/>
    </row>
    <row r="54" spans="1:19" x14ac:dyDescent="0.35">
      <c r="A54" s="4" t="s">
        <v>58</v>
      </c>
    </row>
    <row r="55" spans="1:19" x14ac:dyDescent="0.35">
      <c r="A55" s="4" t="s">
        <v>20</v>
      </c>
      <c r="B55" s="4" t="s">
        <v>23</v>
      </c>
      <c r="C55" s="4" t="s">
        <v>22</v>
      </c>
      <c r="D55" s="4" t="s">
        <v>50</v>
      </c>
      <c r="E55" s="4" t="s">
        <v>51</v>
      </c>
      <c r="F55" s="4" t="s">
        <v>53</v>
      </c>
      <c r="G55" s="4" t="s">
        <v>52</v>
      </c>
      <c r="H55" s="4" t="s">
        <v>38</v>
      </c>
      <c r="I55" s="4" t="s">
        <v>46</v>
      </c>
      <c r="J55" s="4" t="s">
        <v>25</v>
      </c>
      <c r="K55" s="4" t="s">
        <v>19</v>
      </c>
      <c r="L55" s="4" t="s">
        <v>49</v>
      </c>
      <c r="M55" s="4" t="s">
        <v>26</v>
      </c>
      <c r="N55" s="4" t="s">
        <v>21</v>
      </c>
      <c r="O55" s="4" t="s">
        <v>28</v>
      </c>
      <c r="P55" s="4" t="s">
        <v>27</v>
      </c>
      <c r="Q55" s="4" t="s">
        <v>29</v>
      </c>
      <c r="R55" s="4" t="s">
        <v>30</v>
      </c>
      <c r="S55" s="4" t="s">
        <v>54</v>
      </c>
    </row>
    <row r="56" spans="1:19" x14ac:dyDescent="0.35">
      <c r="A56" s="4">
        <v>5714</v>
      </c>
      <c r="B56" s="4" t="s">
        <v>55</v>
      </c>
      <c r="C56" s="4" t="s">
        <v>56</v>
      </c>
      <c r="D56" s="7">
        <f>18.84*M56/384</f>
        <v>8.8607779597329213</v>
      </c>
      <c r="E56" s="7">
        <f>6.28*M56/256</f>
        <v>4.4303889798664606</v>
      </c>
      <c r="F56" s="7">
        <f>0.0229902*M56</f>
        <v>4.1520725085320116</v>
      </c>
      <c r="G56" s="3">
        <f>0.0001509047*M56</f>
        <v>2.7253667052842979E-2</v>
      </c>
      <c r="H56" s="3">
        <f>D56/E56</f>
        <v>2</v>
      </c>
      <c r="I56" s="4" t="s">
        <v>57</v>
      </c>
      <c r="J56" s="10" t="s">
        <v>24</v>
      </c>
      <c r="K56">
        <v>0</v>
      </c>
      <c r="L56">
        <v>0</v>
      </c>
      <c r="M56" s="3">
        <v>180.601843765257</v>
      </c>
      <c r="O56">
        <f>8*(M56/A56)^2</f>
        <v>7.9919705400696046E-3</v>
      </c>
      <c r="S56" s="3">
        <f>2857*O56/2</f>
        <v>11.416529916489431</v>
      </c>
    </row>
    <row r="58" spans="1:19" x14ac:dyDescent="0.35">
      <c r="A58" t="s">
        <v>60</v>
      </c>
    </row>
    <row r="59" spans="1:19" x14ac:dyDescent="0.35">
      <c r="A59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T31" sqref="T31"/>
    </sheetView>
  </sheetViews>
  <sheetFormatPr defaultRowHeight="14.5" x14ac:dyDescent="0.35"/>
  <cols>
    <col min="1" max="1" width="36.90625" customWidth="1"/>
    <col min="2" max="2" width="5.81640625" bestFit="1" customWidth="1"/>
    <col min="3" max="3" width="21.453125" customWidth="1"/>
    <col min="4" max="4" width="9.26953125" bestFit="1" customWidth="1"/>
    <col min="5" max="5" width="9" customWidth="1"/>
    <col min="6" max="6" width="6.36328125" bestFit="1" customWidth="1"/>
    <col min="7" max="7" width="9.1796875" customWidth="1"/>
    <col min="8" max="8" width="12.90625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s="21" t="s">
        <v>157</v>
      </c>
      <c r="B2" s="22">
        <v>13750</v>
      </c>
      <c r="C2" s="22" t="s">
        <v>154</v>
      </c>
      <c r="D2" s="22" t="s">
        <v>194</v>
      </c>
      <c r="E2" s="23">
        <f>6.4/64</f>
        <v>0.1</v>
      </c>
      <c r="F2" s="24">
        <f>2.4/48</f>
        <v>4.9999999999999996E-2</v>
      </c>
      <c r="G2" s="23">
        <v>0.1051999</v>
      </c>
      <c r="H2" s="25">
        <v>3.1166459999999998E-3</v>
      </c>
      <c r="I2" s="26">
        <f>E2/F2</f>
        <v>2.0000000000000004</v>
      </c>
      <c r="J2" s="22" t="s">
        <v>153</v>
      </c>
      <c r="K2" s="22" t="s">
        <v>24</v>
      </c>
      <c r="L2" s="22" t="s">
        <v>152</v>
      </c>
      <c r="M2" s="26" t="s">
        <v>152</v>
      </c>
      <c r="N2" s="27">
        <v>392.24</v>
      </c>
      <c r="O2" s="27">
        <v>379.55567183701601</v>
      </c>
      <c r="P2" s="28">
        <f>8*(N2/B2)^2</f>
        <v>6.5101103645619834E-3</v>
      </c>
      <c r="Q2" s="28">
        <f>8*(O2/B2)^2</f>
        <v>6.0958681081081057E-3</v>
      </c>
      <c r="R2" s="29">
        <f>(Q2-P2)/P2</f>
        <v>-6.3630604284194633E-2</v>
      </c>
      <c r="S2" s="30">
        <f>200*2*O2/B2</f>
        <v>11.041619544349556</v>
      </c>
      <c r="T2" s="31">
        <f>B2/4*P2</f>
        <v>22.37850437818182</v>
      </c>
      <c r="U2" s="30">
        <f>E2*N2</f>
        <v>39.224000000000004</v>
      </c>
      <c r="V2" s="30">
        <f>F2*N2</f>
        <v>19.611999999999998</v>
      </c>
      <c r="W2" s="30">
        <f>G2*N2</f>
        <v>41.263608775999998</v>
      </c>
      <c r="X2" s="30">
        <f>H2*N2</f>
        <v>1.2224732270400001</v>
      </c>
    </row>
    <row r="3" spans="1:24" x14ac:dyDescent="0.35">
      <c r="A3" s="21" t="s">
        <v>157</v>
      </c>
      <c r="B3" s="22">
        <v>13750</v>
      </c>
      <c r="C3" s="22" t="s">
        <v>154</v>
      </c>
      <c r="D3" s="22" t="s">
        <v>193</v>
      </c>
      <c r="E3" s="23">
        <f>6.4/64</f>
        <v>0.1</v>
      </c>
      <c r="F3" s="24">
        <f>2.4/48</f>
        <v>4.9999999999999996E-2</v>
      </c>
      <c r="G3" s="23">
        <v>7.9024239999999996E-2</v>
      </c>
      <c r="H3" s="25">
        <v>2.2765490000000001E-3</v>
      </c>
      <c r="I3" s="26">
        <f>E3/F3</f>
        <v>2.0000000000000004</v>
      </c>
      <c r="J3" s="22" t="s">
        <v>153</v>
      </c>
      <c r="K3" s="22" t="s">
        <v>24</v>
      </c>
      <c r="L3" s="22" t="s">
        <v>152</v>
      </c>
      <c r="M3" s="26" t="s">
        <v>152</v>
      </c>
      <c r="N3" s="27">
        <v>392.24</v>
      </c>
      <c r="O3" s="27">
        <v>394.54572701161601</v>
      </c>
      <c r="P3" s="28">
        <f>8*(N3/B3)^2</f>
        <v>6.5101103645619834E-3</v>
      </c>
      <c r="Q3" s="28">
        <f>8*(O3/B3)^2</f>
        <v>6.5868728363636213E-3</v>
      </c>
      <c r="R3" s="29">
        <f>(Q3-P3)/P3</f>
        <v>1.1791270424461176E-2</v>
      </c>
      <c r="S3" s="30">
        <f>200*2*O3/B3</f>
        <v>11.477693876701558</v>
      </c>
      <c r="T3" s="31">
        <f>B3/4*P3</f>
        <v>22.37850437818182</v>
      </c>
      <c r="U3" s="30">
        <f>E3*N3</f>
        <v>39.224000000000004</v>
      </c>
      <c r="V3" s="30">
        <f>F3*N3</f>
        <v>19.611999999999998</v>
      </c>
      <c r="W3" s="30">
        <f>G3*N3</f>
        <v>30.996467897599999</v>
      </c>
      <c r="X3" s="30">
        <f>H3*N3</f>
        <v>0.89295357976000012</v>
      </c>
    </row>
    <row r="4" spans="1:24" x14ac:dyDescent="0.35">
      <c r="A4" s="21" t="s">
        <v>157</v>
      </c>
      <c r="B4" s="22">
        <v>13750</v>
      </c>
      <c r="C4" s="22" t="s">
        <v>154</v>
      </c>
      <c r="D4" s="22" t="s">
        <v>196</v>
      </c>
      <c r="E4" s="23">
        <f>6.4/64</f>
        <v>0.1</v>
      </c>
      <c r="F4" s="24">
        <f>2.4/48</f>
        <v>4.9999999999999996E-2</v>
      </c>
      <c r="G4" s="23">
        <v>7.0273719999999998E-2</v>
      </c>
      <c r="H4" s="25">
        <v>2.0059510000000002E-3</v>
      </c>
      <c r="I4" s="26">
        <f>E4/F4</f>
        <v>2.0000000000000004</v>
      </c>
      <c r="J4" s="22" t="s">
        <v>153</v>
      </c>
      <c r="K4" s="22" t="s">
        <v>24</v>
      </c>
      <c r="L4" s="22" t="s">
        <v>152</v>
      </c>
      <c r="M4" s="26" t="s">
        <v>152</v>
      </c>
      <c r="N4" s="27">
        <v>392.24</v>
      </c>
      <c r="O4" s="27">
        <v>398.03062729805799</v>
      </c>
      <c r="P4" s="28">
        <f>8*(N4/B4)^2</f>
        <v>6.5101103645619834E-3</v>
      </c>
      <c r="Q4" s="28">
        <f>8*(O4/B4)^2</f>
        <v>6.7037463385826619E-3</v>
      </c>
      <c r="R4" s="29">
        <f>(Q4-P4)/P4</f>
        <v>2.974388499997524E-2</v>
      </c>
      <c r="S4" s="30">
        <f>200*2*O4/B4</f>
        <v>11.579072794125324</v>
      </c>
      <c r="T4" s="31">
        <f>B4/4*P4</f>
        <v>22.37850437818182</v>
      </c>
      <c r="U4" s="30">
        <f>E4*N4</f>
        <v>39.224000000000004</v>
      </c>
      <c r="V4" s="30">
        <f>F4*N4</f>
        <v>19.611999999999998</v>
      </c>
      <c r="W4" s="30">
        <f>G4*N4</f>
        <v>27.5641639328</v>
      </c>
      <c r="X4" s="30">
        <f>H4*N4</f>
        <v>0.78681422024000014</v>
      </c>
    </row>
    <row r="5" spans="1:24" x14ac:dyDescent="0.35">
      <c r="A5" s="21" t="s">
        <v>157</v>
      </c>
      <c r="B5" s="22">
        <v>13750</v>
      </c>
      <c r="C5" s="22" t="s">
        <v>154</v>
      </c>
      <c r="D5" s="22" t="s">
        <v>195</v>
      </c>
      <c r="E5" s="23">
        <f>6.4/64</f>
        <v>0.1</v>
      </c>
      <c r="F5" s="24">
        <f>2.4/48</f>
        <v>4.9999999999999996E-2</v>
      </c>
      <c r="G5" s="23">
        <v>5.2742379999999998E-2</v>
      </c>
      <c r="H5" s="25">
        <v>1.478437E-3</v>
      </c>
      <c r="I5" s="26">
        <f>E5/F5</f>
        <v>2.0000000000000004</v>
      </c>
      <c r="J5" s="22" t="s">
        <v>153</v>
      </c>
      <c r="K5" s="22" t="s">
        <v>24</v>
      </c>
      <c r="L5" s="22" t="s">
        <v>152</v>
      </c>
      <c r="M5" s="26" t="s">
        <v>152</v>
      </c>
      <c r="N5" s="27">
        <v>392.24</v>
      </c>
      <c r="O5" s="27">
        <v>405.81349118623302</v>
      </c>
      <c r="P5" s="28">
        <f>8*(N5/B5)^2</f>
        <v>6.5101103645619834E-3</v>
      </c>
      <c r="Q5" s="28">
        <f>8*(O5/B5)^2</f>
        <v>6.9684718917292993E-3</v>
      </c>
      <c r="R5" s="29">
        <f>(Q5-P5)/P5</f>
        <v>7.040764311192374E-2</v>
      </c>
      <c r="S5" s="30">
        <f>200*2*O5/B5</f>
        <v>11.805483379963142</v>
      </c>
      <c r="T5" s="31">
        <f>B5/4*P5</f>
        <v>22.37850437818182</v>
      </c>
      <c r="U5" s="30">
        <f>E5*N5</f>
        <v>39.224000000000004</v>
      </c>
      <c r="V5" s="30">
        <f>F5*N5</f>
        <v>19.611999999999998</v>
      </c>
      <c r="W5" s="30">
        <f>G5*N5</f>
        <v>20.687671131199998</v>
      </c>
      <c r="X5" s="30">
        <f>H5*N5</f>
        <v>0.57990212888000003</v>
      </c>
    </row>
    <row r="6" spans="1:24" x14ac:dyDescent="0.3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</row>
    <row r="7" spans="1:24" x14ac:dyDescent="0.35">
      <c r="A7" s="21" t="s">
        <v>160</v>
      </c>
      <c r="B7" s="22">
        <v>13750</v>
      </c>
      <c r="C7" s="22" t="s">
        <v>154</v>
      </c>
      <c r="D7" s="22" t="s">
        <v>193</v>
      </c>
      <c r="E7" s="23">
        <f>6.4/64</f>
        <v>0.1</v>
      </c>
      <c r="F7" s="24">
        <f>2.4/48</f>
        <v>4.9999999999999996E-2</v>
      </c>
      <c r="G7" s="23">
        <v>7.9024239999999996E-2</v>
      </c>
      <c r="H7" s="25">
        <v>2.2765490000000001E-3</v>
      </c>
      <c r="I7" s="26">
        <f>E7/F7</f>
        <v>2.0000000000000004</v>
      </c>
      <c r="J7" s="22" t="s">
        <v>153</v>
      </c>
      <c r="K7" s="22" t="s">
        <v>24</v>
      </c>
      <c r="L7" s="22" t="s">
        <v>152</v>
      </c>
      <c r="M7" s="26" t="s">
        <v>152</v>
      </c>
      <c r="N7" s="27">
        <v>392.24</v>
      </c>
      <c r="O7" s="27">
        <v>414.45095628320399</v>
      </c>
      <c r="P7" s="28">
        <f>8*(N7/B7)^2</f>
        <v>6.5101103645619834E-3</v>
      </c>
      <c r="Q7" s="28">
        <f>8*(O7/B7)^2</f>
        <v>7.2682671672727175E-3</v>
      </c>
      <c r="R7" s="29">
        <f>(Q7-P7)/P7</f>
        <v>0.11645836402986154</v>
      </c>
      <c r="S7" s="30">
        <f>200*2*O9/B7</f>
        <v>9.9983509527418164</v>
      </c>
      <c r="T7" s="31">
        <f>B7/4*P7</f>
        <v>22.37850437818182</v>
      </c>
      <c r="U7" s="30">
        <f>E7*N7</f>
        <v>39.224000000000004</v>
      </c>
      <c r="V7" s="30">
        <f>F7*N7</f>
        <v>19.611999999999998</v>
      </c>
      <c r="W7" s="30">
        <f>G7*N7</f>
        <v>30.996467897599999</v>
      </c>
      <c r="X7" s="30">
        <f>H7*N7</f>
        <v>0.89295357976000012</v>
      </c>
    </row>
    <row r="8" spans="1:24" x14ac:dyDescent="0.35">
      <c r="A8" s="21" t="s">
        <v>166</v>
      </c>
      <c r="B8" s="22">
        <v>13750</v>
      </c>
      <c r="C8" s="22" t="s">
        <v>154</v>
      </c>
      <c r="D8" s="22" t="s">
        <v>193</v>
      </c>
      <c r="E8" s="23">
        <f>6.4/64</f>
        <v>0.1</v>
      </c>
      <c r="F8" s="24">
        <f>2.4/48</f>
        <v>4.9999999999999996E-2</v>
      </c>
      <c r="G8" s="23">
        <v>7.9024239999999996E-2</v>
      </c>
      <c r="H8" s="25">
        <v>2.2765490000000001E-3</v>
      </c>
      <c r="I8" s="26">
        <f>E8/F8</f>
        <v>2.0000000000000004</v>
      </c>
      <c r="J8" s="22" t="s">
        <v>153</v>
      </c>
      <c r="K8" s="22" t="s">
        <v>24</v>
      </c>
      <c r="L8" s="22" t="s">
        <v>152</v>
      </c>
      <c r="M8" s="26" t="s">
        <v>152</v>
      </c>
      <c r="N8" s="27">
        <v>392.24</v>
      </c>
      <c r="O8" s="27">
        <v>399.11975417652701</v>
      </c>
      <c r="P8" s="28">
        <f>8*(N8/B8)^2</f>
        <v>6.5101103645619834E-3</v>
      </c>
      <c r="Q8" s="28">
        <f>8*(O8/B8)^2</f>
        <v>6.7404833078556084E-3</v>
      </c>
      <c r="R8" s="29">
        <f>(Q8-P8)/P8</f>
        <v>3.5386948975192234E-2</v>
      </c>
      <c r="S8" s="30">
        <f>200*2*O8/B8</f>
        <v>11.610756485135331</v>
      </c>
      <c r="T8" s="31">
        <f>B8/4*P8</f>
        <v>22.37850437818182</v>
      </c>
      <c r="U8" s="30">
        <f>E8*N8</f>
        <v>39.224000000000004</v>
      </c>
      <c r="V8" s="30">
        <f>F8*N8</f>
        <v>19.611999999999998</v>
      </c>
      <c r="W8" s="30">
        <f>G8*N8</f>
        <v>30.996467897599999</v>
      </c>
      <c r="X8" s="30">
        <f>H8*N8</f>
        <v>0.89295357976000012</v>
      </c>
    </row>
    <row r="9" spans="1:24" x14ac:dyDescent="0.35">
      <c r="A9" s="21" t="s">
        <v>169</v>
      </c>
      <c r="B9" s="22">
        <v>13750</v>
      </c>
      <c r="C9" s="22" t="s">
        <v>154</v>
      </c>
      <c r="D9" s="22" t="s">
        <v>193</v>
      </c>
      <c r="E9" s="23">
        <f>6.4/64</f>
        <v>0.1</v>
      </c>
      <c r="F9" s="24">
        <f>2.4/48</f>
        <v>4.9999999999999996E-2</v>
      </c>
      <c r="G9" s="23">
        <v>7.9024239999999996E-2</v>
      </c>
      <c r="H9" s="25">
        <v>2.2765490000000001E-3</v>
      </c>
      <c r="I9" s="26">
        <f>E9/F9</f>
        <v>2.0000000000000004</v>
      </c>
      <c r="J9" s="22" t="s">
        <v>153</v>
      </c>
      <c r="K9" s="22" t="s">
        <v>24</v>
      </c>
      <c r="L9" s="22" t="s">
        <v>152</v>
      </c>
      <c r="M9" s="26" t="s">
        <v>152</v>
      </c>
      <c r="N9" s="27">
        <v>392.24</v>
      </c>
      <c r="O9" s="27">
        <v>343.69331400049998</v>
      </c>
      <c r="P9" s="28">
        <f>8*(N9/B9)^2</f>
        <v>6.5101103645619834E-3</v>
      </c>
      <c r="Q9" s="28">
        <f>8*(O9/B9)^2</f>
        <v>4.998351088709661E-3</v>
      </c>
      <c r="R9" s="29">
        <f>(Q9-P9)/P9</f>
        <v>-0.23221715012415728</v>
      </c>
      <c r="S9" s="30">
        <f>200*2*O7/B9</f>
        <v>12.056755091875026</v>
      </c>
      <c r="T9" s="31">
        <f>B9/4*P9</f>
        <v>22.37850437818182</v>
      </c>
      <c r="U9" s="30">
        <f>E9*N9</f>
        <v>39.224000000000004</v>
      </c>
      <c r="V9" s="30">
        <f>F9*N9</f>
        <v>19.611999999999998</v>
      </c>
      <c r="W9" s="30">
        <f>G9*N9</f>
        <v>30.996467897599999</v>
      </c>
      <c r="X9" s="30">
        <f>H9*N9</f>
        <v>0.89295357976000012</v>
      </c>
    </row>
    <row r="10" spans="1:24" x14ac:dyDescent="0.3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</row>
    <row r="11" spans="1:24" x14ac:dyDescent="0.35">
      <c r="A11" s="21" t="s">
        <v>188</v>
      </c>
      <c r="B11" s="22">
        <v>13750</v>
      </c>
      <c r="C11" s="22" t="s">
        <v>154</v>
      </c>
      <c r="D11" s="22" t="s">
        <v>194</v>
      </c>
      <c r="E11" s="23">
        <f>6.4/64</f>
        <v>0.1</v>
      </c>
      <c r="F11" s="24">
        <f>2.4/48</f>
        <v>4.9999999999999996E-2</v>
      </c>
      <c r="G11" s="23">
        <v>0.1051999</v>
      </c>
      <c r="H11" s="25">
        <v>3.1166459999999998E-3</v>
      </c>
      <c r="I11" s="26">
        <f>E11/F11</f>
        <v>2.0000000000000004</v>
      </c>
      <c r="J11" s="22" t="s">
        <v>153</v>
      </c>
      <c r="K11" s="22" t="s">
        <v>24</v>
      </c>
      <c r="L11" s="22" t="s">
        <v>152</v>
      </c>
      <c r="M11" s="26" t="s">
        <v>152</v>
      </c>
      <c r="N11" s="27">
        <v>392.24</v>
      </c>
      <c r="O11" s="27">
        <v>359.80788319843202</v>
      </c>
      <c r="P11" s="28">
        <f>8*(N11/B11)^2</f>
        <v>6.5101103645619834E-3</v>
      </c>
      <c r="Q11" s="28">
        <f>8*(O11/B11)^2</f>
        <v>5.4780493355048839E-3</v>
      </c>
      <c r="R11" s="29">
        <f>(Q11-P11)/P11</f>
        <v>-0.15853203267876384</v>
      </c>
      <c r="S11" s="30">
        <f>200*2*O11/B11</f>
        <v>10.467138420318022</v>
      </c>
      <c r="T11" s="31">
        <f>B11/4*P11</f>
        <v>22.37850437818182</v>
      </c>
      <c r="U11" s="30">
        <f>E11*N11</f>
        <v>39.224000000000004</v>
      </c>
      <c r="V11" s="30">
        <f>F11*N11</f>
        <v>19.611999999999998</v>
      </c>
      <c r="W11" s="30">
        <f>G11*N11</f>
        <v>41.263608775999998</v>
      </c>
      <c r="X11" s="30">
        <f>H11*N11</f>
        <v>1.2224732270400001</v>
      </c>
    </row>
    <row r="12" spans="1:24" x14ac:dyDescent="0.35">
      <c r="A12" s="21" t="s">
        <v>188</v>
      </c>
      <c r="B12" s="22">
        <v>13750</v>
      </c>
      <c r="C12" s="22" t="s">
        <v>154</v>
      </c>
      <c r="D12" s="22" t="s">
        <v>193</v>
      </c>
      <c r="E12" s="23">
        <f>6.4/64</f>
        <v>0.1</v>
      </c>
      <c r="F12" s="24">
        <f>2.4/48</f>
        <v>4.9999999999999996E-2</v>
      </c>
      <c r="G12" s="23">
        <v>7.9024239999999996E-2</v>
      </c>
      <c r="H12" s="25">
        <v>2.2765490000000001E-3</v>
      </c>
      <c r="I12" s="26">
        <f>E12/F12</f>
        <v>2.0000000000000004</v>
      </c>
      <c r="J12" s="22" t="s">
        <v>153</v>
      </c>
      <c r="K12" s="22" t="s">
        <v>24</v>
      </c>
      <c r="L12" s="22" t="s">
        <v>152</v>
      </c>
      <c r="M12" s="26" t="s">
        <v>152</v>
      </c>
      <c r="N12" s="27">
        <v>392.24</v>
      </c>
      <c r="O12" s="27">
        <v>372.90640676907401</v>
      </c>
      <c r="P12" s="28">
        <f>8*(N12/B12)^2</f>
        <v>6.5101103645619834E-3</v>
      </c>
      <c r="Q12" s="28">
        <f>8*(O12/B12)^2</f>
        <v>5.8841573853904228E-3</v>
      </c>
      <c r="R12" s="29">
        <f>(Q12-P12)/P12</f>
        <v>-9.6150901308671793E-2</v>
      </c>
      <c r="S12" s="30">
        <f>200*2*O12/B12</f>
        <v>10.848186378736699</v>
      </c>
      <c r="T12" s="31">
        <f>B12/4*P12</f>
        <v>22.37850437818182</v>
      </c>
      <c r="U12" s="30">
        <f>E12*N12</f>
        <v>39.224000000000004</v>
      </c>
      <c r="V12" s="30">
        <f>F12*N12</f>
        <v>19.611999999999998</v>
      </c>
      <c r="W12" s="30">
        <f>G12*N12</f>
        <v>30.996467897599999</v>
      </c>
      <c r="X12" s="30">
        <f>H12*N12</f>
        <v>0.89295357976000012</v>
      </c>
    </row>
    <row r="13" spans="1:24" x14ac:dyDescent="0.35">
      <c r="A13" s="21" t="s">
        <v>188</v>
      </c>
      <c r="B13" s="22">
        <v>13750</v>
      </c>
      <c r="C13" s="22" t="s">
        <v>154</v>
      </c>
      <c r="D13" s="22" t="s">
        <v>196</v>
      </c>
      <c r="E13" s="23">
        <f>6.4/64</f>
        <v>0.1</v>
      </c>
      <c r="F13" s="24">
        <f>2.4/48</f>
        <v>4.9999999999999996E-2</v>
      </c>
      <c r="G13" s="23">
        <v>7.0273719999999998E-2</v>
      </c>
      <c r="H13" s="25">
        <v>2.0059510000000002E-3</v>
      </c>
      <c r="I13" s="26">
        <f>E13/F13</f>
        <v>2.0000000000000004</v>
      </c>
      <c r="J13" s="22" t="s">
        <v>153</v>
      </c>
      <c r="K13" s="22" t="s">
        <v>24</v>
      </c>
      <c r="L13" s="22" t="s">
        <v>152</v>
      </c>
      <c r="M13" s="26" t="s">
        <v>152</v>
      </c>
      <c r="N13" s="27">
        <v>392.24</v>
      </c>
      <c r="O13" s="27">
        <v>376.795174099159</v>
      </c>
      <c r="P13" s="28">
        <f>8*(N13/B13)^2</f>
        <v>6.5101103645619834E-3</v>
      </c>
      <c r="Q13" s="28">
        <f>8*(O13/B13)^2</f>
        <v>6.0075204009008886E-3</v>
      </c>
      <c r="R13" s="29">
        <f>(Q13-P13)/P13</f>
        <v>-7.7201450592444806E-2</v>
      </c>
      <c r="S13" s="30">
        <f>200*2*O13/B13</f>
        <v>10.961314155611898</v>
      </c>
      <c r="T13" s="31">
        <f>B13/4*P13</f>
        <v>22.37850437818182</v>
      </c>
      <c r="U13" s="30">
        <f>E13*N13</f>
        <v>39.224000000000004</v>
      </c>
      <c r="V13" s="30">
        <f>F13*N13</f>
        <v>19.611999999999998</v>
      </c>
      <c r="W13" s="30">
        <f>G13*N13</f>
        <v>27.5641639328</v>
      </c>
      <c r="X13" s="30">
        <f>H13*N13</f>
        <v>0.78681422024000014</v>
      </c>
    </row>
    <row r="14" spans="1:24" x14ac:dyDescent="0.35">
      <c r="A14" s="21" t="s">
        <v>188</v>
      </c>
      <c r="B14" s="22">
        <v>13750</v>
      </c>
      <c r="C14" s="22" t="s">
        <v>154</v>
      </c>
      <c r="D14" s="22" t="s">
        <v>195</v>
      </c>
      <c r="E14" s="23">
        <f>6.4/64</f>
        <v>0.1</v>
      </c>
      <c r="F14" s="24">
        <f>2.4/48</f>
        <v>4.9999999999999996E-2</v>
      </c>
      <c r="G14" s="23">
        <v>5.2742379999999998E-2</v>
      </c>
      <c r="H14" s="25">
        <v>1.478437E-3</v>
      </c>
      <c r="I14" s="26">
        <f>E14/F14</f>
        <v>2.0000000000000004</v>
      </c>
      <c r="J14" s="22" t="s">
        <v>153</v>
      </c>
      <c r="K14" s="22" t="s">
        <v>24</v>
      </c>
      <c r="L14" s="22" t="s">
        <v>152</v>
      </c>
      <c r="M14" s="26" t="s">
        <v>152</v>
      </c>
      <c r="N14" s="27">
        <v>392.24</v>
      </c>
      <c r="O14" s="27">
        <v>383.31876702145502</v>
      </c>
      <c r="P14" s="28">
        <f>8*(N14/B14)^2</f>
        <v>6.5101103645619834E-3</v>
      </c>
      <c r="Q14" s="28">
        <f>8*(O14/B14)^2</f>
        <v>6.217341975308632E-3</v>
      </c>
      <c r="R14" s="29">
        <f>(Q14-P14)/P14</f>
        <v>-4.4971340401085448E-2</v>
      </c>
      <c r="S14" s="30">
        <f>200*2*O14/B14</f>
        <v>11.151091404260509</v>
      </c>
      <c r="T14" s="31">
        <f>B14/4*P14</f>
        <v>22.37850437818182</v>
      </c>
      <c r="U14" s="30">
        <f>E14*N14</f>
        <v>39.224000000000004</v>
      </c>
      <c r="V14" s="30">
        <f>F14*N14</f>
        <v>19.611999999999998</v>
      </c>
      <c r="W14" s="30">
        <f>G14*N14</f>
        <v>20.687671131199998</v>
      </c>
      <c r="X14" s="30">
        <f>H14*N14</f>
        <v>0.57990212888000003</v>
      </c>
    </row>
    <row r="15" spans="1:24" x14ac:dyDescent="0.35">
      <c r="B15" s="4"/>
      <c r="C15" s="4"/>
      <c r="D15" s="4"/>
      <c r="E15" s="4"/>
      <c r="F15" s="4"/>
      <c r="H15" s="4"/>
      <c r="I15" s="4"/>
      <c r="J15" s="4"/>
      <c r="K15" s="4"/>
      <c r="M15" s="7"/>
      <c r="N15" s="11"/>
      <c r="O15" s="3"/>
      <c r="P15" s="8"/>
      <c r="Q15" s="8"/>
      <c r="R15" s="9"/>
      <c r="S15" s="7"/>
      <c r="T15" s="3"/>
      <c r="U15" s="7"/>
      <c r="V15" s="7"/>
      <c r="W15" s="7"/>
      <c r="X15" s="7"/>
    </row>
    <row r="16" spans="1:24" x14ac:dyDescent="0.35">
      <c r="B16" s="4"/>
      <c r="C16" s="4"/>
      <c r="D16" s="4"/>
      <c r="E16" s="4"/>
      <c r="F16" s="4"/>
      <c r="H16" s="4"/>
      <c r="I16" s="4"/>
      <c r="J16" s="4"/>
      <c r="K16" s="4"/>
      <c r="M16" s="7"/>
      <c r="N16" s="11"/>
      <c r="O16" s="3"/>
      <c r="P16" s="8"/>
      <c r="Q16" s="8"/>
      <c r="R16" s="9"/>
      <c r="S16" s="7"/>
      <c r="T16" s="3"/>
      <c r="U16" s="7"/>
      <c r="V16" s="7"/>
      <c r="W16" s="7"/>
      <c r="X16" s="7"/>
    </row>
    <row r="18" spans="2:24" x14ac:dyDescent="0.35">
      <c r="W18" s="7"/>
      <c r="X18" s="7"/>
    </row>
    <row r="19" spans="2:24" x14ac:dyDescent="0.35">
      <c r="W19" s="7"/>
      <c r="X19" s="7"/>
    </row>
    <row r="20" spans="2:24" x14ac:dyDescent="0.35">
      <c r="B20" s="4"/>
      <c r="C20" s="4"/>
      <c r="D20" s="4"/>
      <c r="E20" s="17"/>
      <c r="F20" s="4"/>
      <c r="G20" s="17"/>
      <c r="H20" s="12"/>
      <c r="I20" s="18"/>
      <c r="J20" s="4"/>
      <c r="K20" s="4"/>
      <c r="L20" s="4"/>
      <c r="M20" s="18"/>
      <c r="N20" s="11"/>
      <c r="O20" s="3"/>
      <c r="P20" s="8"/>
      <c r="Q20" s="8"/>
      <c r="R20" s="9"/>
      <c r="S20" s="7"/>
      <c r="T20" s="3"/>
      <c r="U20" s="7"/>
      <c r="V20" s="7"/>
      <c r="W20" s="7"/>
      <c r="X20" s="7"/>
    </row>
    <row r="21" spans="2:24" x14ac:dyDescent="0.35">
      <c r="B21" s="4"/>
      <c r="C21" s="4"/>
      <c r="D21" s="4"/>
      <c r="E21" s="17"/>
      <c r="F21" s="4"/>
      <c r="G21" s="17"/>
      <c r="H21" s="12"/>
      <c r="I21" s="18"/>
      <c r="J21" s="4"/>
      <c r="K21" s="4"/>
      <c r="L21" s="4"/>
      <c r="M21" s="18"/>
      <c r="N21" s="11"/>
      <c r="O21" s="3"/>
      <c r="P21" s="8"/>
      <c r="Q21" s="8"/>
      <c r="R21" s="9"/>
      <c r="S21" s="7"/>
      <c r="T21" s="3"/>
      <c r="U21" s="7"/>
      <c r="V21" s="7"/>
      <c r="W21" s="7"/>
      <c r="X21" s="7"/>
    </row>
    <row r="22" spans="2:24" x14ac:dyDescent="0.35">
      <c r="B22" s="4"/>
      <c r="C22" s="4"/>
      <c r="D22" s="4"/>
      <c r="E22" s="17"/>
      <c r="F22" s="4"/>
      <c r="G22" s="17"/>
      <c r="H22" s="12"/>
      <c r="I22" s="18"/>
      <c r="J22" s="4"/>
      <c r="K22" s="4"/>
      <c r="L22" s="4"/>
      <c r="M22" s="18"/>
      <c r="N22" s="11"/>
      <c r="O22" s="3"/>
      <c r="P22" s="8"/>
      <c r="Q22" s="8"/>
      <c r="R22" s="9"/>
      <c r="S22" s="7"/>
      <c r="T22" s="3"/>
      <c r="U22" s="7"/>
      <c r="V22" s="7"/>
      <c r="W22" s="7"/>
      <c r="X22" s="7"/>
    </row>
    <row r="23" spans="2:24" x14ac:dyDescent="0.35">
      <c r="B23" s="4"/>
      <c r="C23" s="4"/>
      <c r="D23" s="4"/>
      <c r="E23" s="17"/>
      <c r="F23" s="4"/>
      <c r="G23" s="17"/>
      <c r="H23" s="12"/>
      <c r="I23" s="18"/>
      <c r="J23" s="4"/>
      <c r="K23" s="4"/>
      <c r="L23" s="4"/>
      <c r="M23" s="18"/>
      <c r="N23" s="11"/>
      <c r="O23" s="3"/>
      <c r="P23" s="8"/>
      <c r="Q23" s="8"/>
      <c r="R23" s="9"/>
      <c r="S23" s="7"/>
      <c r="T23" s="3"/>
      <c r="U23" s="7"/>
      <c r="V23" s="7"/>
      <c r="W23" s="7"/>
      <c r="X23" s="7"/>
    </row>
    <row r="24" spans="2:24" x14ac:dyDescent="0.35">
      <c r="B24" s="4"/>
      <c r="C24" s="4"/>
      <c r="D24" s="4"/>
      <c r="E24" s="17"/>
      <c r="F24" s="4"/>
      <c r="G24" s="17"/>
      <c r="H24" s="12"/>
      <c r="I24" s="18"/>
      <c r="J24" s="4"/>
      <c r="K24" s="4"/>
      <c r="L24" s="4"/>
      <c r="M24" s="18"/>
      <c r="N24" s="11"/>
      <c r="O24" s="3"/>
      <c r="P24" s="8"/>
      <c r="Q24" s="8"/>
      <c r="R24" s="9"/>
      <c r="S24" s="7"/>
      <c r="T24" s="3"/>
      <c r="U24" s="7"/>
      <c r="V24" s="7"/>
      <c r="W24" s="7"/>
      <c r="X24" s="7"/>
    </row>
    <row r="26" spans="2:24" x14ac:dyDescent="0.35">
      <c r="B26" s="4"/>
      <c r="C26" s="4"/>
      <c r="D26" s="4"/>
      <c r="E26" s="17"/>
      <c r="F26" s="4"/>
      <c r="G26" s="17"/>
      <c r="H26" s="12"/>
      <c r="I26" s="18"/>
      <c r="J26" s="4"/>
      <c r="K26" s="4"/>
      <c r="L26" s="4"/>
      <c r="M26" s="18"/>
      <c r="N26" s="11"/>
      <c r="O26" s="3"/>
      <c r="P26" s="8"/>
      <c r="Q26" s="8"/>
      <c r="R26" s="9"/>
      <c r="S26" s="7"/>
      <c r="T26" s="3"/>
      <c r="U26" s="7"/>
      <c r="V26" s="7"/>
      <c r="W26" s="7"/>
      <c r="X26" s="7"/>
    </row>
    <row r="27" spans="2:24" x14ac:dyDescent="0.35">
      <c r="B27" s="4"/>
      <c r="C27" s="4"/>
      <c r="D27" s="4"/>
      <c r="E27" s="17"/>
      <c r="F27" s="4"/>
      <c r="G27" s="17"/>
      <c r="H27" s="12"/>
      <c r="I27" s="18"/>
      <c r="J27" s="4"/>
      <c r="K27" s="4"/>
      <c r="L27" s="4"/>
      <c r="M27" s="18"/>
      <c r="N27" s="11"/>
      <c r="O27" s="3"/>
      <c r="P27" s="8"/>
      <c r="Q27" s="8"/>
      <c r="R27" s="9"/>
      <c r="S27" s="7"/>
      <c r="T27" s="3"/>
      <c r="U27" s="7"/>
      <c r="V27" s="7"/>
      <c r="W27" s="7"/>
      <c r="X27" s="7"/>
    </row>
    <row r="28" spans="2:24" x14ac:dyDescent="0.35">
      <c r="B28" s="4"/>
      <c r="C28" s="4"/>
      <c r="D28" s="4"/>
      <c r="E28" s="17"/>
      <c r="F28" s="4"/>
      <c r="G28" s="17"/>
      <c r="H28" s="12"/>
      <c r="I28" s="18"/>
      <c r="J28" s="4"/>
      <c r="K28" s="4"/>
      <c r="L28" s="4"/>
      <c r="M28" s="18"/>
      <c r="N28" s="11"/>
      <c r="O28" s="3"/>
      <c r="P28" s="8"/>
      <c r="Q28" s="8"/>
      <c r="R28" s="9"/>
      <c r="S28" s="7"/>
      <c r="T28" s="3"/>
      <c r="U28" s="7"/>
      <c r="V28" s="7"/>
      <c r="W28" s="7"/>
      <c r="X28" s="7"/>
    </row>
    <row r="29" spans="2:24" x14ac:dyDescent="0.35">
      <c r="B29" s="4"/>
      <c r="C29" s="4"/>
      <c r="D29" s="4"/>
      <c r="E29" s="17"/>
      <c r="F29" s="4"/>
      <c r="G29" s="17"/>
      <c r="H29" s="12"/>
      <c r="I29" s="18"/>
      <c r="J29" s="4"/>
      <c r="K29" s="4"/>
      <c r="L29" s="4"/>
      <c r="M29" s="18"/>
      <c r="N29" s="11"/>
      <c r="O29" s="3"/>
      <c r="P29" s="8"/>
      <c r="Q29" s="8"/>
      <c r="R29" s="9"/>
      <c r="S29" s="7"/>
      <c r="T29" s="3"/>
      <c r="U29" s="7"/>
      <c r="V29" s="7"/>
      <c r="W29" s="7"/>
      <c r="X29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58"/>
  <sheetViews>
    <sheetView zoomScale="55" zoomScaleNormal="55" workbookViewId="0">
      <selection activeCell="D39" sqref="D39"/>
    </sheetView>
  </sheetViews>
  <sheetFormatPr defaultRowHeight="14.5" x14ac:dyDescent="0.35"/>
  <cols>
    <col min="1" max="1" width="3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20540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551.75</v>
      </c>
      <c r="O2" s="3">
        <v>545.78357335980195</v>
      </c>
      <c r="P2" s="8">
        <f>8*(N2/B2)^2</f>
        <v>5.772630931736967E-3</v>
      </c>
      <c r="Q2" s="8">
        <f>8*(O2/B2)^2</f>
        <v>5.648459631799151E-3</v>
      </c>
      <c r="R2" s="9">
        <f>(Q2-P2)/P2</f>
        <v>-2.1510347951597404E-2</v>
      </c>
      <c r="S2" s="7">
        <f>200*2*O2/B2</f>
        <v>10.628696657445024</v>
      </c>
      <c r="T2" s="3">
        <f>B2/4*P2</f>
        <v>29.642459834469324</v>
      </c>
      <c r="U2" s="7">
        <f>E2*N2</f>
        <v>55.175000000000004</v>
      </c>
      <c r="V2" s="7">
        <f>F2*N2</f>
        <v>55.175000000000004</v>
      </c>
      <c r="W2" s="7">
        <f>G2*N2</f>
        <v>55.175000000000004</v>
      </c>
      <c r="X2" s="7">
        <f>H2*N2</f>
        <v>13.793750000000001</v>
      </c>
    </row>
    <row r="3" spans="1:24" x14ac:dyDescent="0.35">
      <c r="A3" t="s">
        <v>115</v>
      </c>
      <c r="B3" s="4">
        <v>20540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551.75</v>
      </c>
      <c r="O3" s="3">
        <v>546.01003637948202</v>
      </c>
      <c r="P3" s="8">
        <f>8*(N3/B3)^2</f>
        <v>5.772630931736967E-3</v>
      </c>
      <c r="Q3" s="8">
        <f t="shared" ref="Q3:Q5" si="1">8*(O3/B3)^2</f>
        <v>5.6531480565552529E-3</v>
      </c>
      <c r="R3" s="9">
        <f t="shared" ref="R3:R5" si="2">(Q3-P3)/P3</f>
        <v>-2.0698166329119909E-2</v>
      </c>
      <c r="S3" s="7">
        <f t="shared" ref="S3:S5" si="3">200*2*O3/B3</f>
        <v>10.633106842833145</v>
      </c>
      <c r="T3" s="3">
        <f t="shared" ref="T3:T5" si="4">B3/4*P3</f>
        <v>29.642459834469324</v>
      </c>
      <c r="U3" s="7">
        <f t="shared" ref="U3:U5" si="5">E3*N3</f>
        <v>36.96725</v>
      </c>
      <c r="V3" s="7">
        <f t="shared" ref="V3:V5" si="6">F3*N3</f>
        <v>36.96725</v>
      </c>
      <c r="W3" s="7">
        <f t="shared" ref="W3:W5" si="7">G3*N3</f>
        <v>36.96725</v>
      </c>
      <c r="X3" s="7">
        <f t="shared" ref="X3:X5" si="8">H3*N3</f>
        <v>9.2418125</v>
      </c>
    </row>
    <row r="4" spans="1:24" x14ac:dyDescent="0.35">
      <c r="A4" t="s">
        <v>115</v>
      </c>
      <c r="B4" s="4">
        <v>20540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551.75</v>
      </c>
      <c r="O4" s="3">
        <v>550.69190375916003</v>
      </c>
      <c r="P4" s="8">
        <f>8*(N4/B4)^2</f>
        <v>5.772630931736967E-3</v>
      </c>
      <c r="Q4" s="8">
        <f t="shared" si="1"/>
        <v>5.7505117023593354E-3</v>
      </c>
      <c r="R4" s="9">
        <f t="shared" si="2"/>
        <v>-3.831741477880346E-3</v>
      </c>
      <c r="S4" s="7">
        <f t="shared" si="3"/>
        <v>10.724282449058618</v>
      </c>
      <c r="T4" s="3">
        <f t="shared" si="4"/>
        <v>29.642459834469324</v>
      </c>
      <c r="U4" s="7">
        <f t="shared" si="5"/>
        <v>27.587500000000002</v>
      </c>
      <c r="V4" s="7">
        <f t="shared" si="6"/>
        <v>27.587500000000002</v>
      </c>
      <c r="W4" s="7">
        <f t="shared" si="7"/>
        <v>27.587500000000002</v>
      </c>
      <c r="X4" s="7">
        <f t="shared" si="8"/>
        <v>6.8968750000000005</v>
      </c>
    </row>
    <row r="5" spans="1:24" x14ac:dyDescent="0.35">
      <c r="A5" t="s">
        <v>115</v>
      </c>
      <c r="B5" s="4">
        <v>20540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551.75</v>
      </c>
      <c r="O5" s="3">
        <v>556.05087169541605</v>
      </c>
      <c r="P5" s="8">
        <f>8*(N5/B5)^2</f>
        <v>5.772630931736967E-3</v>
      </c>
      <c r="Q5" s="8">
        <f t="shared" si="1"/>
        <v>5.8629765923423373E-3</v>
      </c>
      <c r="R5" s="9">
        <f t="shared" si="2"/>
        <v>1.5650690590431615E-2</v>
      </c>
      <c r="S5" s="7">
        <f t="shared" si="3"/>
        <v>10.828644044701385</v>
      </c>
      <c r="T5" s="3">
        <f t="shared" si="4"/>
        <v>29.642459834469324</v>
      </c>
      <c r="U5" s="7">
        <f t="shared" si="5"/>
        <v>18.207750000000001</v>
      </c>
      <c r="V5" s="7">
        <f t="shared" si="6"/>
        <v>18.207750000000001</v>
      </c>
      <c r="W5" s="7">
        <f t="shared" si="7"/>
        <v>18.207750000000001</v>
      </c>
      <c r="X5" s="7">
        <f t="shared" si="8"/>
        <v>4.5519375000000002</v>
      </c>
    </row>
    <row r="6" spans="1:24" x14ac:dyDescent="0.35">
      <c r="B6" s="4"/>
      <c r="C6" s="4"/>
      <c r="D6" s="4"/>
      <c r="E6" s="4"/>
      <c r="F6" s="4"/>
      <c r="H6" s="4"/>
      <c r="I6" s="4"/>
      <c r="J6" s="4"/>
      <c r="K6" s="4"/>
      <c r="M6" s="7"/>
      <c r="N6" s="11"/>
      <c r="P6" s="8"/>
      <c r="Q6" s="3"/>
    </row>
    <row r="7" spans="1:24" x14ac:dyDescent="0.35">
      <c r="B7" s="4"/>
      <c r="C7" s="4"/>
      <c r="D7" s="4"/>
      <c r="E7" s="4"/>
      <c r="F7" s="4"/>
      <c r="H7" s="4"/>
      <c r="I7" s="4"/>
      <c r="J7" s="4"/>
      <c r="K7" s="4"/>
      <c r="M7" s="7"/>
      <c r="N7" s="11"/>
      <c r="P7" s="8"/>
      <c r="Q7" s="3"/>
    </row>
    <row r="8" spans="1:24" x14ac:dyDescent="0.35">
      <c r="A8" t="s">
        <v>116</v>
      </c>
      <c r="B8" s="4">
        <v>20540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551.75</v>
      </c>
      <c r="O8" s="3">
        <v>550.291530784163</v>
      </c>
      <c r="P8" s="8">
        <f>8*(N8/B8)^2</f>
        <v>5.772630931736967E-3</v>
      </c>
      <c r="Q8" s="8">
        <f>8*(O8/B8)^2</f>
        <v>5.7421530810810627E-3</v>
      </c>
      <c r="R8" s="9">
        <f>(Q8-P8)/P8</f>
        <v>-5.2797157858026512E-3</v>
      </c>
      <c r="S8" s="7">
        <v>10.7</v>
      </c>
      <c r="T8" s="3">
        <f>B8/4*P8</f>
        <v>29.642459834469324</v>
      </c>
      <c r="U8" s="7">
        <f>E8*N8</f>
        <v>55.175000000000004</v>
      </c>
      <c r="V8" s="7">
        <f>F8*N8</f>
        <v>55.175000000000004</v>
      </c>
      <c r="W8" s="7">
        <f>G8*N8</f>
        <v>55.175000000000004</v>
      </c>
      <c r="X8" s="7">
        <f>H8*N8</f>
        <v>13.793750000000001</v>
      </c>
    </row>
    <row r="9" spans="1:24" x14ac:dyDescent="0.35">
      <c r="A9" t="s">
        <v>116</v>
      </c>
      <c r="B9" s="4">
        <v>20540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551.75</v>
      </c>
      <c r="O9" s="3">
        <v>559.59367535920899</v>
      </c>
      <c r="P9" s="8">
        <f>8*(N9/B9)^2</f>
        <v>5.772630931736967E-3</v>
      </c>
      <c r="Q9" s="8">
        <f t="shared" ref="Q9:Q11" si="10">8*(O9/B9)^2</f>
        <v>5.9379249362068887E-3</v>
      </c>
      <c r="R9" s="9">
        <f t="shared" ref="R9:R11" si="11">(Q9-P9)/P9</f>
        <v>2.8634084947499878E-2</v>
      </c>
      <c r="S9" s="7">
        <f t="shared" ref="S9:S11" si="12">200*2*O9/B9</f>
        <v>10.897637300081968</v>
      </c>
      <c r="T9" s="3">
        <f t="shared" ref="T9:T11" si="13">B9/4*P9</f>
        <v>29.642459834469324</v>
      </c>
      <c r="U9" s="7">
        <f t="shared" ref="U9:U11" si="14">E9*N9</f>
        <v>36.96725</v>
      </c>
      <c r="V9" s="7">
        <f t="shared" ref="V9:V11" si="15">F9*N9</f>
        <v>36.96725</v>
      </c>
      <c r="W9" s="7">
        <f t="shared" ref="W9:W11" si="16">G9*N9</f>
        <v>36.96725</v>
      </c>
      <c r="X9" s="7">
        <f t="shared" ref="X9:X11" si="17">H9*N9</f>
        <v>9.2418125</v>
      </c>
    </row>
    <row r="10" spans="1:24" x14ac:dyDescent="0.35">
      <c r="A10" t="s">
        <v>116</v>
      </c>
      <c r="B10" s="4">
        <v>20540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551.75</v>
      </c>
      <c r="O10" s="3">
        <v>561.01991442026804</v>
      </c>
      <c r="P10" s="8">
        <f>8*(N10/B10)^2</f>
        <v>5.772630931736967E-3</v>
      </c>
      <c r="Q10" s="8">
        <f t="shared" si="10"/>
        <v>5.9682315433846021E-3</v>
      </c>
      <c r="R10" s="9">
        <f t="shared" si="11"/>
        <v>3.3884136013659798E-2</v>
      </c>
      <c r="S10" s="7">
        <f t="shared" si="12"/>
        <v>10.925412160083116</v>
      </c>
      <c r="T10" s="3">
        <f t="shared" si="13"/>
        <v>29.642459834469324</v>
      </c>
      <c r="U10" s="7">
        <f t="shared" si="14"/>
        <v>27.587500000000002</v>
      </c>
      <c r="V10" s="7">
        <f t="shared" si="15"/>
        <v>27.587500000000002</v>
      </c>
      <c r="W10" s="7">
        <f t="shared" si="16"/>
        <v>27.587500000000002</v>
      </c>
      <c r="X10" s="7">
        <f t="shared" si="17"/>
        <v>6.8968750000000005</v>
      </c>
    </row>
    <row r="11" spans="1:24" x14ac:dyDescent="0.35">
      <c r="A11" t="s">
        <v>116</v>
      </c>
      <c r="B11" s="4">
        <v>20540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551.75</v>
      </c>
      <c r="O11" s="3">
        <v>560.10108841487704</v>
      </c>
      <c r="P11" s="8">
        <f>8*(N11/B11)^2</f>
        <v>5.772630931736967E-3</v>
      </c>
      <c r="Q11" s="8">
        <f t="shared" si="10"/>
        <v>5.9486982768754797E-3</v>
      </c>
      <c r="R11" s="9">
        <f t="shared" si="11"/>
        <v>3.0500364083649204E-2</v>
      </c>
      <c r="S11" s="7">
        <f t="shared" si="12"/>
        <v>10.907518761730808</v>
      </c>
      <c r="T11" s="3">
        <f t="shared" si="13"/>
        <v>29.642459834469324</v>
      </c>
      <c r="U11" s="7">
        <f t="shared" si="14"/>
        <v>18.207750000000001</v>
      </c>
      <c r="V11" s="7">
        <f t="shared" si="15"/>
        <v>18.207750000000001</v>
      </c>
      <c r="W11" s="7">
        <f t="shared" si="16"/>
        <v>18.207750000000001</v>
      </c>
      <c r="X11" s="7">
        <f t="shared" si="17"/>
        <v>4.5519375000000002</v>
      </c>
    </row>
    <row r="12" spans="1:24" x14ac:dyDescent="0.35">
      <c r="B12" s="4"/>
      <c r="C12" s="4"/>
      <c r="D12" s="4"/>
      <c r="E12" s="4"/>
      <c r="F12" s="4"/>
      <c r="H12" s="4"/>
      <c r="I12" s="4"/>
      <c r="J12" s="4"/>
      <c r="K12" s="4"/>
      <c r="M12" s="7"/>
      <c r="N12" s="11"/>
      <c r="O12" s="13"/>
      <c r="P12" s="8"/>
      <c r="Q12" s="8"/>
      <c r="R12" s="9"/>
      <c r="S12" s="7"/>
      <c r="T12" s="3"/>
    </row>
    <row r="13" spans="1:24" x14ac:dyDescent="0.35">
      <c r="B13" s="4"/>
      <c r="C13" s="4"/>
      <c r="D13" s="4"/>
      <c r="E13" s="4"/>
      <c r="F13" s="4"/>
      <c r="H13" s="4"/>
      <c r="I13" s="4"/>
      <c r="J13" s="4"/>
      <c r="K13" s="4"/>
      <c r="M13" s="7"/>
      <c r="N13" s="11"/>
      <c r="O13" s="13"/>
      <c r="P13" s="8"/>
      <c r="Q13" s="8"/>
      <c r="R13" s="9"/>
      <c r="S13" s="7"/>
      <c r="T13" s="3"/>
    </row>
    <row r="14" spans="1:24" x14ac:dyDescent="0.35">
      <c r="A14" t="s">
        <v>128</v>
      </c>
      <c r="B14" s="4">
        <v>20540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551.75</v>
      </c>
      <c r="O14" s="3">
        <v>550.75799007757496</v>
      </c>
      <c r="P14" s="8">
        <f>8*(N14/B14)^2</f>
        <v>5.772630931736967E-3</v>
      </c>
      <c r="Q14" s="8">
        <f>8*(O14/B14)^2</f>
        <v>5.7518919766933532E-3</v>
      </c>
      <c r="R14" s="9">
        <f>(Q14-P14)/P14</f>
        <v>-3.5926348468935513E-3</v>
      </c>
      <c r="S14" s="7">
        <f>200*2*O14/B14</f>
        <v>10.725569427021908</v>
      </c>
      <c r="T14" s="3">
        <f>B14/4*P14</f>
        <v>29.642459834469324</v>
      </c>
      <c r="U14" s="7">
        <f>E14*N14</f>
        <v>55.175000000000004</v>
      </c>
      <c r="V14" s="7">
        <f>F14*N14</f>
        <v>55.175000000000004</v>
      </c>
      <c r="W14" s="7">
        <f>G14*N14</f>
        <v>55.175000000000004</v>
      </c>
      <c r="X14" s="7">
        <f>H14*N14</f>
        <v>13.793750000000001</v>
      </c>
    </row>
    <row r="15" spans="1:24" x14ac:dyDescent="0.35">
      <c r="A15" t="s">
        <v>128</v>
      </c>
      <c r="B15" s="4">
        <v>20540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551.75</v>
      </c>
      <c r="O15" s="3">
        <v>557.40113811872004</v>
      </c>
      <c r="P15" s="8">
        <f>8*(N15/B15)^2</f>
        <v>5.772630931736967E-3</v>
      </c>
      <c r="Q15" s="8">
        <f t="shared" ref="Q15:Q17" si="19">8*(O15/B15)^2</f>
        <v>5.8914854673768231E-3</v>
      </c>
      <c r="R15" s="9">
        <f t="shared" ref="R15:R17" si="20">(Q15-P15)/P15</f>
        <v>2.0589318292706636E-2</v>
      </c>
      <c r="S15" s="7">
        <f t="shared" ref="S15:S17" si="21">200*2*O15/B15</f>
        <v>10.854939398611879</v>
      </c>
      <c r="T15" s="3">
        <f t="shared" ref="T15:T17" si="22">B15/4*P15</f>
        <v>29.642459834469324</v>
      </c>
      <c r="U15" s="7">
        <f t="shared" ref="U15:U17" si="23">E15*N15</f>
        <v>36.96725</v>
      </c>
      <c r="V15" s="7">
        <f t="shared" ref="V15:V17" si="24">F15*N15</f>
        <v>36.96725</v>
      </c>
      <c r="W15" s="7">
        <f t="shared" ref="W15:W20" si="25">G15*N15</f>
        <v>36.96725</v>
      </c>
      <c r="X15" s="7">
        <f t="shared" ref="X15:X20" si="26">H15*N15</f>
        <v>9.2418125</v>
      </c>
    </row>
    <row r="16" spans="1:24" x14ac:dyDescent="0.35">
      <c r="A16" t="s">
        <v>128</v>
      </c>
      <c r="B16" s="4">
        <v>20540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551.75</v>
      </c>
      <c r="O16" s="3">
        <v>558.01680952705703</v>
      </c>
      <c r="P16" s="8">
        <f>8*(N16/B16)^2</f>
        <v>5.772630931736967E-3</v>
      </c>
      <c r="Q16" s="8">
        <f t="shared" si="19"/>
        <v>5.9045074083438663E-3</v>
      </c>
      <c r="R16" s="9">
        <f t="shared" si="20"/>
        <v>2.2845125241224815E-2</v>
      </c>
      <c r="S16" s="7">
        <f t="shared" si="21"/>
        <v>10.866929104713867</v>
      </c>
      <c r="T16" s="3">
        <f t="shared" si="22"/>
        <v>29.642459834469324</v>
      </c>
      <c r="U16" s="7">
        <f t="shared" si="23"/>
        <v>27.587500000000002</v>
      </c>
      <c r="V16" s="7">
        <f t="shared" si="24"/>
        <v>27.587500000000002</v>
      </c>
      <c r="W16" s="7">
        <f t="shared" si="25"/>
        <v>27.587500000000002</v>
      </c>
      <c r="X16" s="7">
        <f t="shared" si="26"/>
        <v>6.8968750000000005</v>
      </c>
    </row>
    <row r="17" spans="1:24" x14ac:dyDescent="0.35">
      <c r="A17" t="s">
        <v>128</v>
      </c>
      <c r="B17" s="4">
        <v>20540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551.75</v>
      </c>
      <c r="O17" s="3">
        <v>558.02921381416104</v>
      </c>
      <c r="P17" s="8">
        <f>8*(N17/B17)^2</f>
        <v>5.772630931736967E-3</v>
      </c>
      <c r="Q17" s="8">
        <f t="shared" si="19"/>
        <v>5.9047699166335735E-3</v>
      </c>
      <c r="R17" s="9">
        <f t="shared" si="20"/>
        <v>2.2890599877107731E-2</v>
      </c>
      <c r="S17" s="7">
        <f t="shared" si="21"/>
        <v>10.867170668240721</v>
      </c>
      <c r="T17" s="3">
        <f t="shared" si="22"/>
        <v>29.642459834469324</v>
      </c>
      <c r="U17" s="7">
        <f t="shared" si="23"/>
        <v>18.207750000000001</v>
      </c>
      <c r="V17" s="7">
        <f t="shared" si="24"/>
        <v>18.207750000000001</v>
      </c>
      <c r="W17" s="7">
        <f t="shared" si="25"/>
        <v>18.207750000000001</v>
      </c>
      <c r="X17" s="7">
        <f t="shared" si="26"/>
        <v>4.5519375000000002</v>
      </c>
    </row>
    <row r="18" spans="1:24" x14ac:dyDescent="0.35">
      <c r="W18" s="7"/>
      <c r="X18" s="7"/>
    </row>
    <row r="19" spans="1:24" x14ac:dyDescent="0.35">
      <c r="W19" s="7"/>
      <c r="X19" s="7"/>
    </row>
    <row r="20" spans="1:24" x14ac:dyDescent="0.35">
      <c r="A20" t="s">
        <v>138</v>
      </c>
      <c r="B20" s="4">
        <v>20540</v>
      </c>
      <c r="C20" s="4" t="s">
        <v>35</v>
      </c>
      <c r="D20" s="4" t="s">
        <v>155</v>
      </c>
      <c r="E20" s="17">
        <v>6.6666666666666596E-2</v>
      </c>
      <c r="F20" s="4">
        <v>3.7499999999999999E-2</v>
      </c>
      <c r="G20" s="17">
        <v>3.9572349999999999E-2</v>
      </c>
      <c r="H20" s="12">
        <v>1.094476E-3</v>
      </c>
      <c r="I20" s="18">
        <f t="shared" ref="I20:I31" si="27">E20/F20</f>
        <v>1.7777777777777759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551.75</v>
      </c>
      <c r="O20" s="3">
        <v>578.06178766221899</v>
      </c>
      <c r="P20" s="8">
        <f t="shared" ref="P20:P31" si="28">8*(N20/B20)^2</f>
        <v>5.772630931736967E-3</v>
      </c>
      <c r="Q20" s="8">
        <f t="shared" ref="Q20:Q31" si="29">8*(O20/B20)^2</f>
        <v>6.3363277269372579E-3</v>
      </c>
      <c r="R20" s="9">
        <f t="shared" ref="R20:R31" si="30">(Q20-P20)/P20</f>
        <v>9.7649893413621749E-2</v>
      </c>
      <c r="S20" s="7">
        <f>200*2*O20/B20</f>
        <v>11.257288951552463</v>
      </c>
      <c r="T20" s="3">
        <f t="shared" ref="T20:T31" si="31">B20/4*P20</f>
        <v>29.642459834469324</v>
      </c>
      <c r="U20" s="7">
        <f t="shared" ref="U20:U31" si="32">E20*N20</f>
        <v>36.783333333333296</v>
      </c>
      <c r="V20" s="7">
        <f t="shared" ref="V20:V31" si="33">F20*N20</f>
        <v>20.690625000000001</v>
      </c>
      <c r="W20" s="7">
        <f t="shared" si="25"/>
        <v>21.834044112499999</v>
      </c>
      <c r="X20" s="7">
        <f t="shared" si="26"/>
        <v>0.60387713300000001</v>
      </c>
    </row>
    <row r="21" spans="1:24" x14ac:dyDescent="0.35">
      <c r="A21" t="s">
        <v>157</v>
      </c>
      <c r="B21" s="4">
        <v>20540</v>
      </c>
      <c r="C21" s="4" t="s">
        <v>154</v>
      </c>
      <c r="D21" s="4" t="s">
        <v>156</v>
      </c>
      <c r="E21" s="17">
        <v>6.6666666666666596E-2</v>
      </c>
      <c r="F21" s="4">
        <v>3.7499999999999999E-2</v>
      </c>
      <c r="G21" s="17">
        <v>3.9572349999999999E-2</v>
      </c>
      <c r="H21" s="12">
        <v>1.094476E-3</v>
      </c>
      <c r="I21" s="18">
        <f t="shared" si="27"/>
        <v>1.7777777777777759</v>
      </c>
      <c r="J21" s="4" t="s">
        <v>153</v>
      </c>
      <c r="K21" s="4" t="s">
        <v>24</v>
      </c>
      <c r="L21" s="4" t="s">
        <v>152</v>
      </c>
      <c r="M21" s="18" t="s">
        <v>152</v>
      </c>
      <c r="N21" s="11">
        <v>551.75</v>
      </c>
      <c r="O21" s="3">
        <v>578.37192198948799</v>
      </c>
      <c r="P21" s="8">
        <f t="shared" si="28"/>
        <v>5.772630931736967E-3</v>
      </c>
      <c r="Q21" s="8">
        <f t="shared" si="29"/>
        <v>6.3431285220338944E-3</v>
      </c>
      <c r="R21" s="9">
        <f t="shared" si="30"/>
        <v>9.8828003564271918E-2</v>
      </c>
      <c r="S21" s="7">
        <f>200*2*O21/B21</f>
        <v>11.26332856844183</v>
      </c>
      <c r="T21" s="3">
        <f t="shared" si="31"/>
        <v>29.642459834469324</v>
      </c>
      <c r="U21" s="7">
        <f t="shared" si="32"/>
        <v>36.783333333333296</v>
      </c>
      <c r="V21" s="7">
        <f t="shared" si="33"/>
        <v>20.690625000000001</v>
      </c>
      <c r="W21" s="7">
        <f t="shared" ref="W21" si="34">G21*N21</f>
        <v>21.834044112499999</v>
      </c>
      <c r="X21" s="7">
        <f t="shared" ref="X21" si="35">H21*N21</f>
        <v>0.60387713300000001</v>
      </c>
    </row>
    <row r="22" spans="1:24" x14ac:dyDescent="0.35">
      <c r="A22" t="s">
        <v>158</v>
      </c>
      <c r="B22" s="4">
        <v>20540</v>
      </c>
      <c r="C22" s="4" t="s">
        <v>154</v>
      </c>
      <c r="D22" s="4" t="s">
        <v>156</v>
      </c>
      <c r="E22" s="17">
        <v>6.6666666666666596E-2</v>
      </c>
      <c r="F22" s="4">
        <v>3.7499999999999999E-2</v>
      </c>
      <c r="G22" s="17">
        <v>3.9572349999999999E-2</v>
      </c>
      <c r="H22" s="12">
        <v>1.094476E-3</v>
      </c>
      <c r="I22" s="18">
        <f t="shared" si="27"/>
        <v>1.7777777777777759</v>
      </c>
      <c r="J22" s="4" t="s">
        <v>153</v>
      </c>
      <c r="K22" s="4" t="s">
        <v>24</v>
      </c>
      <c r="L22" s="4" t="s">
        <v>152</v>
      </c>
      <c r="M22" s="18" t="s">
        <v>152</v>
      </c>
      <c r="N22" s="11">
        <v>551.75</v>
      </c>
      <c r="O22" s="3">
        <v>579.86554202636</v>
      </c>
      <c r="P22" s="8">
        <f t="shared" si="28"/>
        <v>5.772630931736967E-3</v>
      </c>
      <c r="Q22" s="8">
        <f t="shared" si="29"/>
        <v>6.3759325254074605E-3</v>
      </c>
      <c r="R22" s="9">
        <f t="shared" si="30"/>
        <v>0.10451068166399509</v>
      </c>
      <c r="S22" s="7">
        <f>200*2*O22/B22</f>
        <v>11.292415618819085</v>
      </c>
      <c r="T22" s="3">
        <f t="shared" si="31"/>
        <v>29.642459834469324</v>
      </c>
      <c r="U22" s="7">
        <f t="shared" si="32"/>
        <v>36.783333333333296</v>
      </c>
      <c r="V22" s="7">
        <f t="shared" si="33"/>
        <v>20.690625000000001</v>
      </c>
      <c r="W22" s="7">
        <f t="shared" ref="W22:W25" si="36">G22*N22</f>
        <v>21.834044112499999</v>
      </c>
      <c r="X22" s="7">
        <f t="shared" ref="X22:X25" si="37">H22*N22</f>
        <v>0.60387713300000001</v>
      </c>
    </row>
    <row r="23" spans="1:24" x14ac:dyDescent="0.35">
      <c r="A23" t="s">
        <v>157</v>
      </c>
      <c r="B23" s="4">
        <v>20540</v>
      </c>
      <c r="C23" s="4" t="s">
        <v>154</v>
      </c>
      <c r="D23" s="4" t="s">
        <v>163</v>
      </c>
      <c r="E23" s="17">
        <v>3.3333333333333298E-2</v>
      </c>
      <c r="F23" s="4">
        <v>1.8749999999999999E-2</v>
      </c>
      <c r="G23" s="17">
        <v>2.6389220000000001E-2</v>
      </c>
      <c r="H23" s="12">
        <v>7.2024380000000002E-4</v>
      </c>
      <c r="I23" s="18">
        <f t="shared" si="27"/>
        <v>1.7777777777777759</v>
      </c>
      <c r="J23" s="4" t="s">
        <v>153</v>
      </c>
      <c r="K23" s="4" t="s">
        <v>24</v>
      </c>
      <c r="L23" s="4" t="s">
        <v>152</v>
      </c>
      <c r="M23" s="18" t="s">
        <v>152</v>
      </c>
      <c r="N23" s="11">
        <v>551.75</v>
      </c>
      <c r="O23" s="3">
        <v>565.82317299089596</v>
      </c>
      <c r="P23" s="8">
        <f t="shared" si="28"/>
        <v>5.772630931736967E-3</v>
      </c>
      <c r="Q23" s="8">
        <f t="shared" si="29"/>
        <v>6.0708648969258526E-3</v>
      </c>
      <c r="R23" s="9">
        <f t="shared" si="30"/>
        <v>5.1663438857531101E-2</v>
      </c>
      <c r="S23" s="7">
        <v>11</v>
      </c>
      <c r="T23" s="3">
        <f t="shared" si="31"/>
        <v>29.642459834469324</v>
      </c>
      <c r="U23" s="7">
        <f t="shared" si="32"/>
        <v>18.391666666666648</v>
      </c>
      <c r="V23" s="7">
        <f t="shared" si="33"/>
        <v>10.3453125</v>
      </c>
      <c r="W23" s="7">
        <f t="shared" si="36"/>
        <v>14.560252135000001</v>
      </c>
      <c r="X23" s="7">
        <f t="shared" si="37"/>
        <v>0.39739451665000003</v>
      </c>
    </row>
    <row r="24" spans="1:24" x14ac:dyDescent="0.35">
      <c r="A24" t="s">
        <v>160</v>
      </c>
      <c r="B24" s="4">
        <v>20540</v>
      </c>
      <c r="C24" s="4" t="s">
        <v>154</v>
      </c>
      <c r="D24" s="4" t="s">
        <v>156</v>
      </c>
      <c r="E24" s="17">
        <v>6.6666666666666596E-2</v>
      </c>
      <c r="F24" s="4">
        <v>3.7499999999999999E-2</v>
      </c>
      <c r="G24" s="17">
        <v>3.9572349999999999E-2</v>
      </c>
      <c r="H24" s="12">
        <v>1.094476E-3</v>
      </c>
      <c r="I24" s="18">
        <f t="shared" si="27"/>
        <v>1.7777777777777759</v>
      </c>
      <c r="J24" s="4" t="s">
        <v>153</v>
      </c>
      <c r="K24" s="4" t="s">
        <v>24</v>
      </c>
      <c r="L24" s="4" t="s">
        <v>152</v>
      </c>
      <c r="M24" s="18" t="s">
        <v>152</v>
      </c>
      <c r="N24" s="11">
        <v>551.75</v>
      </c>
      <c r="O24" s="3">
        <v>596.476571008257</v>
      </c>
      <c r="P24" s="8">
        <f t="shared" si="28"/>
        <v>5.772630931736967E-3</v>
      </c>
      <c r="Q24" s="8">
        <f t="shared" si="29"/>
        <v>6.7464590385163999E-3</v>
      </c>
      <c r="R24" s="9">
        <f t="shared" si="30"/>
        <v>0.16869744806055201</v>
      </c>
      <c r="S24" s="7">
        <f>200*2*O24/B24</f>
        <v>11.615902064425647</v>
      </c>
      <c r="T24" s="3">
        <f t="shared" si="31"/>
        <v>29.642459834469324</v>
      </c>
      <c r="U24" s="7">
        <f t="shared" si="32"/>
        <v>36.783333333333296</v>
      </c>
      <c r="V24" s="7">
        <f t="shared" si="33"/>
        <v>20.690625000000001</v>
      </c>
      <c r="W24" s="7">
        <f t="shared" si="36"/>
        <v>21.834044112499999</v>
      </c>
      <c r="X24" s="7">
        <f t="shared" si="37"/>
        <v>0.60387713300000001</v>
      </c>
    </row>
    <row r="25" spans="1:24" x14ac:dyDescent="0.35">
      <c r="A25" t="s">
        <v>159</v>
      </c>
      <c r="B25" s="4">
        <v>20540</v>
      </c>
      <c r="C25" s="4" t="s">
        <v>154</v>
      </c>
      <c r="D25" s="4" t="s">
        <v>156</v>
      </c>
      <c r="E25" s="17">
        <v>6.6666666666666596E-2</v>
      </c>
      <c r="F25" s="4">
        <v>3.7499999999999999E-2</v>
      </c>
      <c r="G25" s="17">
        <v>3.9572349999999999E-2</v>
      </c>
      <c r="H25" s="12">
        <v>1.094476E-3</v>
      </c>
      <c r="I25" s="18">
        <f t="shared" si="27"/>
        <v>1.7777777777777759</v>
      </c>
      <c r="J25" s="4" t="s">
        <v>153</v>
      </c>
      <c r="K25" s="4" t="s">
        <v>24</v>
      </c>
      <c r="L25" s="4" t="s">
        <v>152</v>
      </c>
      <c r="M25" s="18" t="s">
        <v>152</v>
      </c>
      <c r="N25" s="11">
        <v>551.75</v>
      </c>
      <c r="O25" s="3">
        <v>534.15584016732998</v>
      </c>
      <c r="P25" s="8">
        <f t="shared" si="28"/>
        <v>5.772630931736967E-3</v>
      </c>
      <c r="Q25" s="8">
        <f t="shared" si="29"/>
        <v>5.4103463844241738E-3</v>
      </c>
      <c r="R25" s="9">
        <f t="shared" si="30"/>
        <v>-6.2759000462165856E-2</v>
      </c>
      <c r="S25" s="7">
        <f>200*2*O25/B25</f>
        <v>10.402255894203115</v>
      </c>
      <c r="T25" s="3">
        <f t="shared" si="31"/>
        <v>29.642459834469324</v>
      </c>
      <c r="U25" s="7">
        <f t="shared" si="32"/>
        <v>36.783333333333296</v>
      </c>
      <c r="V25" s="7">
        <f t="shared" si="33"/>
        <v>20.690625000000001</v>
      </c>
      <c r="W25" s="7">
        <f t="shared" si="36"/>
        <v>21.834044112499999</v>
      </c>
      <c r="X25" s="7">
        <f t="shared" si="37"/>
        <v>0.60387713300000001</v>
      </c>
    </row>
    <row r="26" spans="1:24" x14ac:dyDescent="0.35">
      <c r="A26" t="s">
        <v>161</v>
      </c>
      <c r="B26" s="4">
        <v>20540</v>
      </c>
      <c r="C26" s="4" t="s">
        <v>154</v>
      </c>
      <c r="D26" s="4" t="s">
        <v>156</v>
      </c>
      <c r="E26" s="17">
        <v>6.6666666666666596E-2</v>
      </c>
      <c r="F26" s="4">
        <v>3.7499999999999999E-2</v>
      </c>
      <c r="G26" s="17">
        <v>3.9572349999999999E-2</v>
      </c>
      <c r="H26" s="12">
        <v>1.094476E-3</v>
      </c>
      <c r="I26" s="18">
        <f t="shared" si="27"/>
        <v>1.7777777777777759</v>
      </c>
      <c r="J26" s="4" t="s">
        <v>153</v>
      </c>
      <c r="K26" s="4" t="s">
        <v>24</v>
      </c>
      <c r="L26" s="4" t="s">
        <v>152</v>
      </c>
      <c r="M26" s="18" t="s">
        <v>152</v>
      </c>
      <c r="N26" s="11">
        <v>551.75</v>
      </c>
      <c r="O26" s="3">
        <v>554.62637104913404</v>
      </c>
      <c r="P26" s="8">
        <f t="shared" si="28"/>
        <v>5.772630931736967E-3</v>
      </c>
      <c r="Q26" s="8">
        <f t="shared" si="29"/>
        <v>5.832975322820017E-3</v>
      </c>
      <c r="R26" s="9">
        <f t="shared" si="30"/>
        <v>1.0453533544174207E-2</v>
      </c>
      <c r="S26" s="7">
        <f>200*2*O26/B26</f>
        <v>10.80090303893153</v>
      </c>
      <c r="T26" s="3">
        <f t="shared" si="31"/>
        <v>29.642459834469324</v>
      </c>
      <c r="U26" s="7">
        <f t="shared" si="32"/>
        <v>36.783333333333296</v>
      </c>
      <c r="V26" s="7">
        <f t="shared" si="33"/>
        <v>20.690625000000001</v>
      </c>
      <c r="W26" s="7">
        <f t="shared" ref="W26" si="38">G26*N26</f>
        <v>21.834044112499999</v>
      </c>
      <c r="X26" s="7">
        <f t="shared" ref="X26" si="39">H26*N26</f>
        <v>0.60387713300000001</v>
      </c>
    </row>
    <row r="27" spans="1:24" x14ac:dyDescent="0.35">
      <c r="A27" t="s">
        <v>162</v>
      </c>
      <c r="B27" s="4">
        <v>20540</v>
      </c>
      <c r="C27" s="4" t="s">
        <v>154</v>
      </c>
      <c r="D27" s="4" t="s">
        <v>156</v>
      </c>
      <c r="E27" s="17">
        <v>6.6666666666666596E-2</v>
      </c>
      <c r="F27" s="4">
        <v>3.7499999999999999E-2</v>
      </c>
      <c r="G27" s="17">
        <v>3.9572349999999999E-2</v>
      </c>
      <c r="H27" s="12">
        <v>1.094476E-3</v>
      </c>
      <c r="I27" s="18">
        <f t="shared" si="27"/>
        <v>1.7777777777777759</v>
      </c>
      <c r="J27" s="4" t="s">
        <v>153</v>
      </c>
      <c r="K27" s="4" t="s">
        <v>24</v>
      </c>
      <c r="L27" s="4" t="s">
        <v>152</v>
      </c>
      <c r="M27" s="18" t="s">
        <v>152</v>
      </c>
      <c r="N27" s="11">
        <v>551.75</v>
      </c>
      <c r="O27" s="3">
        <v>559.636338939957</v>
      </c>
      <c r="P27" s="8">
        <f t="shared" si="28"/>
        <v>5.772630931736967E-3</v>
      </c>
      <c r="Q27" s="8">
        <f t="shared" si="29"/>
        <v>5.9388303888888699E-3</v>
      </c>
      <c r="R27" s="9">
        <f t="shared" si="30"/>
        <v>2.879093763610727E-2</v>
      </c>
      <c r="S27" s="7">
        <f>200*2*O27/B27</f>
        <v>10.898468139044926</v>
      </c>
      <c r="T27" s="3">
        <f t="shared" si="31"/>
        <v>29.642459834469324</v>
      </c>
      <c r="U27" s="7">
        <f t="shared" si="32"/>
        <v>36.783333333333296</v>
      </c>
      <c r="V27" s="7">
        <f t="shared" si="33"/>
        <v>20.690625000000001</v>
      </c>
      <c r="W27" s="7">
        <f t="shared" ref="W27:W30" si="40">G27*N27</f>
        <v>21.834044112499999</v>
      </c>
      <c r="X27" s="7">
        <f t="shared" ref="X27:X30" si="41">H27*N27</f>
        <v>0.60387713300000001</v>
      </c>
    </row>
    <row r="28" spans="1:24" x14ac:dyDescent="0.35">
      <c r="A28" t="s">
        <v>157</v>
      </c>
      <c r="B28" s="4">
        <v>20540</v>
      </c>
      <c r="C28" s="4" t="s">
        <v>154</v>
      </c>
      <c r="D28" s="4" t="s">
        <v>164</v>
      </c>
      <c r="E28" s="17">
        <v>6.6666666666666596E-2</v>
      </c>
      <c r="F28" s="4">
        <v>3.7499999999999999E-2</v>
      </c>
      <c r="G28" s="17">
        <v>7.9024239999999996E-2</v>
      </c>
      <c r="H28" s="12">
        <v>2.2765490000000001E-3</v>
      </c>
      <c r="I28" s="18">
        <f t="shared" si="27"/>
        <v>1.7777777777777759</v>
      </c>
      <c r="J28" s="4" t="s">
        <v>153</v>
      </c>
      <c r="K28" s="4" t="s">
        <v>24</v>
      </c>
      <c r="L28" s="4" t="s">
        <v>152</v>
      </c>
      <c r="M28" s="18" t="s">
        <v>152</v>
      </c>
      <c r="N28" s="11">
        <v>551.75</v>
      </c>
      <c r="O28" s="3">
        <v>552.56079223245501</v>
      </c>
      <c r="P28" s="8">
        <f t="shared" si="28"/>
        <v>5.772630931736967E-3</v>
      </c>
      <c r="Q28" s="8">
        <f t="shared" si="29"/>
        <v>5.7896090675909791E-3</v>
      </c>
      <c r="R28" s="9">
        <f t="shared" si="30"/>
        <v>2.9411434846231123E-3</v>
      </c>
      <c r="S28" s="7">
        <v>11</v>
      </c>
      <c r="T28" s="3">
        <f t="shared" si="31"/>
        <v>29.642459834469324</v>
      </c>
      <c r="U28" s="7">
        <f t="shared" si="32"/>
        <v>36.783333333333296</v>
      </c>
      <c r="V28" s="7">
        <f t="shared" si="33"/>
        <v>20.690625000000001</v>
      </c>
      <c r="W28" s="7">
        <f t="shared" si="40"/>
        <v>43.60162442</v>
      </c>
      <c r="X28" s="7">
        <f>H28*N28</f>
        <v>1.25608591075</v>
      </c>
    </row>
    <row r="29" spans="1:24" x14ac:dyDescent="0.35">
      <c r="A29" t="s">
        <v>157</v>
      </c>
      <c r="B29" s="4">
        <v>20540</v>
      </c>
      <c r="C29" s="4" t="s">
        <v>154</v>
      </c>
      <c r="D29" s="4" t="s">
        <v>156</v>
      </c>
      <c r="E29" s="17">
        <v>6.6666666666666596E-2</v>
      </c>
      <c r="F29" s="4">
        <v>3.7499999999999999E-2</v>
      </c>
      <c r="G29" s="17">
        <v>3.2405539999999997E-2</v>
      </c>
      <c r="H29" s="12">
        <v>2.3605689999999999E-3</v>
      </c>
      <c r="I29" s="18">
        <f t="shared" si="27"/>
        <v>1.7777777777777759</v>
      </c>
      <c r="J29" s="4" t="s">
        <v>165</v>
      </c>
      <c r="K29" s="4" t="s">
        <v>24</v>
      </c>
      <c r="L29" s="4" t="s">
        <v>152</v>
      </c>
      <c r="M29" s="18" t="s">
        <v>152</v>
      </c>
      <c r="N29" s="11">
        <v>551.75</v>
      </c>
      <c r="O29" s="3">
        <v>579.946521286814</v>
      </c>
      <c r="P29" s="8">
        <f t="shared" si="28"/>
        <v>5.772630931736967E-3</v>
      </c>
      <c r="Q29" s="8">
        <f t="shared" si="29"/>
        <v>6.3777134705251676E-3</v>
      </c>
      <c r="R29" s="9">
        <f t="shared" si="30"/>
        <v>0.10481919699067493</v>
      </c>
      <c r="S29" s="7">
        <f>200*2*O29/B29</f>
        <v>11.293992624864927</v>
      </c>
      <c r="T29" s="3">
        <f t="shared" si="31"/>
        <v>29.642459834469324</v>
      </c>
      <c r="U29" s="7">
        <f t="shared" si="32"/>
        <v>36.783333333333296</v>
      </c>
      <c r="V29" s="7">
        <f t="shared" si="33"/>
        <v>20.690625000000001</v>
      </c>
      <c r="W29" s="7">
        <f t="shared" si="40"/>
        <v>17.879756694999998</v>
      </c>
      <c r="X29" s="7">
        <f>H29*N29</f>
        <v>1.3024439457499999</v>
      </c>
    </row>
    <row r="30" spans="1:24" x14ac:dyDescent="0.35">
      <c r="A30" t="s">
        <v>157</v>
      </c>
      <c r="B30" s="4">
        <v>20540</v>
      </c>
      <c r="C30" s="4" t="s">
        <v>154</v>
      </c>
      <c r="D30" s="4" t="s">
        <v>174</v>
      </c>
      <c r="E30" s="17">
        <f>6.4/192</f>
        <v>3.3333333333333333E-2</v>
      </c>
      <c r="F30" s="4">
        <f>2.4/128</f>
        <v>1.8749999999999999E-2</v>
      </c>
      <c r="G30" s="17">
        <v>1.9793720000000001E-2</v>
      </c>
      <c r="H30" s="12">
        <v>5.3669989999999995E-4</v>
      </c>
      <c r="I30" s="18">
        <f t="shared" si="27"/>
        <v>1.7777777777777779</v>
      </c>
      <c r="J30" s="4" t="s">
        <v>153</v>
      </c>
      <c r="K30" s="4" t="s">
        <v>24</v>
      </c>
      <c r="L30" s="4" t="s">
        <v>152</v>
      </c>
      <c r="M30" s="18" t="s">
        <v>152</v>
      </c>
      <c r="N30" s="11">
        <v>551.75</v>
      </c>
      <c r="O30" s="3">
        <v>567.08821139826296</v>
      </c>
      <c r="P30" s="8">
        <f t="shared" si="28"/>
        <v>5.772630931736967E-3</v>
      </c>
      <c r="Q30" s="8">
        <f t="shared" si="29"/>
        <v>6.0980410988392469E-3</v>
      </c>
      <c r="R30" s="9">
        <f t="shared" si="30"/>
        <v>5.6371205945841565E-2</v>
      </c>
      <c r="S30" s="7">
        <f>200*2*O30/B30</f>
        <v>11.0435873690022</v>
      </c>
      <c r="T30" s="3">
        <f t="shared" si="31"/>
        <v>29.642459834469324</v>
      </c>
      <c r="U30" s="7">
        <f t="shared" si="32"/>
        <v>18.391666666666666</v>
      </c>
      <c r="V30" s="7">
        <f t="shared" si="33"/>
        <v>10.3453125</v>
      </c>
      <c r="W30" s="7">
        <f t="shared" si="40"/>
        <v>10.92118501</v>
      </c>
      <c r="X30" s="7">
        <f t="shared" si="41"/>
        <v>0.29612416982499995</v>
      </c>
    </row>
    <row r="31" spans="1:24" x14ac:dyDescent="0.35">
      <c r="A31" t="s">
        <v>157</v>
      </c>
      <c r="B31" s="4">
        <v>20540</v>
      </c>
      <c r="C31" s="4" t="s">
        <v>154</v>
      </c>
      <c r="D31" s="4" t="s">
        <v>155</v>
      </c>
      <c r="E31" s="17">
        <f>6.4/192</f>
        <v>3.3333333333333333E-2</v>
      </c>
      <c r="F31" s="4">
        <f>2.4/128</f>
        <v>1.8749999999999999E-2</v>
      </c>
      <c r="G31" s="17">
        <v>3.9572349999999999E-2</v>
      </c>
      <c r="H31" s="12">
        <v>1.094476E-3</v>
      </c>
      <c r="I31" s="18">
        <f t="shared" si="27"/>
        <v>1.7777777777777779</v>
      </c>
      <c r="J31" s="4" t="s">
        <v>153</v>
      </c>
      <c r="K31" s="4" t="s">
        <v>24</v>
      </c>
      <c r="L31" s="4" t="s">
        <v>152</v>
      </c>
      <c r="M31" s="18" t="s">
        <v>152</v>
      </c>
      <c r="N31" s="11">
        <v>551.75</v>
      </c>
      <c r="O31" s="3">
        <v>563.52453482652697</v>
      </c>
      <c r="P31" s="8">
        <f t="shared" si="28"/>
        <v>5.772630931736967E-3</v>
      </c>
      <c r="Q31" s="8">
        <f t="shared" si="29"/>
        <v>6.0216397074784826E-3</v>
      </c>
      <c r="R31" s="9">
        <f t="shared" si="30"/>
        <v>4.3136098372841852E-2</v>
      </c>
      <c r="S31" s="7">
        <f>200*2*O31/B31</f>
        <v>10.974187630506854</v>
      </c>
      <c r="T31" s="3">
        <f t="shared" si="31"/>
        <v>29.642459834469324</v>
      </c>
      <c r="U31" s="7">
        <f t="shared" si="32"/>
        <v>18.391666666666666</v>
      </c>
      <c r="V31" s="7">
        <f t="shared" si="33"/>
        <v>10.3453125</v>
      </c>
      <c r="W31" s="7">
        <f t="shared" ref="W31:W32" si="42">G31*N31</f>
        <v>21.834044112499999</v>
      </c>
      <c r="X31" s="7">
        <f t="shared" ref="X31:X32" si="43">H31*N31</f>
        <v>0.60387713300000001</v>
      </c>
    </row>
    <row r="32" spans="1:24" x14ac:dyDescent="0.35">
      <c r="A32" t="s">
        <v>157</v>
      </c>
      <c r="B32" s="4">
        <v>20540</v>
      </c>
      <c r="C32" s="4" t="s">
        <v>154</v>
      </c>
      <c r="D32" s="4" t="s">
        <v>187</v>
      </c>
      <c r="E32" s="17">
        <f>6.4/384</f>
        <v>1.6666666666666666E-2</v>
      </c>
      <c r="F32" s="4">
        <f>2.4/256</f>
        <v>9.3749999999999997E-3</v>
      </c>
      <c r="G32" s="17">
        <v>9.8978039999999996E-3</v>
      </c>
      <c r="H32" s="12">
        <v>2.6576520000000001E-4</v>
      </c>
      <c r="I32" s="18">
        <f t="shared" ref="I32:I33" si="44">E32/F32</f>
        <v>1.7777777777777779</v>
      </c>
      <c r="J32" s="4" t="s">
        <v>153</v>
      </c>
      <c r="K32" s="4" t="s">
        <v>24</v>
      </c>
      <c r="L32" s="4" t="s">
        <v>152</v>
      </c>
      <c r="M32" s="18" t="s">
        <v>152</v>
      </c>
      <c r="N32" s="11">
        <v>551.75</v>
      </c>
      <c r="O32" s="3">
        <v>550.14047743079595</v>
      </c>
      <c r="P32" s="8">
        <f t="shared" ref="P32:P33" si="45">8*(N32/B32)^2</f>
        <v>5.772630931736967E-3</v>
      </c>
      <c r="Q32" s="8">
        <f t="shared" ref="Q32:Q33" si="46">8*(O32/B32)^2</f>
        <v>5.7390011065929555E-3</v>
      </c>
      <c r="R32" s="9">
        <f t="shared" ref="R32:R33" si="47">(Q32-P32)/P32</f>
        <v>-5.8257362269810769E-3</v>
      </c>
      <c r="S32" s="7">
        <f>200*2*O32/B32</f>
        <v>10.71354386428035</v>
      </c>
      <c r="T32" s="3">
        <f t="shared" ref="T32:T33" si="48">B32/4*P32</f>
        <v>29.642459834469324</v>
      </c>
      <c r="U32" s="7">
        <f t="shared" ref="U32:U33" si="49">E32*N32</f>
        <v>9.1958333333333329</v>
      </c>
      <c r="V32" s="7">
        <f t="shared" ref="V32:V33" si="50">F32*N32</f>
        <v>5.1726562500000002</v>
      </c>
      <c r="W32" s="7">
        <f t="shared" si="42"/>
        <v>5.4611133569999994</v>
      </c>
      <c r="X32" s="7">
        <f t="shared" si="43"/>
        <v>0.1466359491</v>
      </c>
    </row>
    <row r="33" spans="1:24" x14ac:dyDescent="0.35">
      <c r="A33" t="s">
        <v>157</v>
      </c>
      <c r="B33" s="4">
        <v>20540</v>
      </c>
      <c r="C33" s="4" t="s">
        <v>154</v>
      </c>
      <c r="D33" s="4" t="s">
        <v>189</v>
      </c>
      <c r="E33" s="17">
        <f>6.4/384</f>
        <v>1.6666666666666666E-2</v>
      </c>
      <c r="F33" s="4">
        <f>2.4/256</f>
        <v>9.3749999999999997E-3</v>
      </c>
      <c r="G33" s="17">
        <v>1.9793720000000001E-2</v>
      </c>
      <c r="H33" s="12">
        <v>5.3669989999999995E-4</v>
      </c>
      <c r="I33" s="18">
        <f t="shared" si="44"/>
        <v>1.7777777777777779</v>
      </c>
      <c r="J33" s="4" t="s">
        <v>153</v>
      </c>
      <c r="K33" s="4" t="s">
        <v>24</v>
      </c>
      <c r="L33" s="4" t="s">
        <v>152</v>
      </c>
      <c r="M33" s="18" t="s">
        <v>152</v>
      </c>
      <c r="N33" s="11">
        <v>551.75</v>
      </c>
      <c r="O33" s="3">
        <v>550.22238863937196</v>
      </c>
      <c r="P33" s="8">
        <f t="shared" si="45"/>
        <v>5.772630931736967E-3</v>
      </c>
      <c r="Q33" s="8">
        <f t="shared" si="46"/>
        <v>5.7407102101111485E-3</v>
      </c>
      <c r="R33" s="9">
        <f t="shared" si="47"/>
        <v>-5.5296661094898138E-3</v>
      </c>
      <c r="S33" s="7">
        <f>200*2*O33/B33</f>
        <v>10.715139019267223</v>
      </c>
      <c r="T33" s="3">
        <f t="shared" si="48"/>
        <v>29.642459834469324</v>
      </c>
      <c r="U33" s="7">
        <f t="shared" si="49"/>
        <v>9.1958333333333329</v>
      </c>
      <c r="V33" s="7">
        <f t="shared" si="50"/>
        <v>5.1726562500000002</v>
      </c>
      <c r="W33" s="7">
        <f t="shared" ref="W33" si="51">G33*N33</f>
        <v>10.92118501</v>
      </c>
      <c r="X33" s="7">
        <f t="shared" ref="X33" si="52">H33*N33</f>
        <v>0.29612416982499995</v>
      </c>
    </row>
    <row r="34" spans="1:24" x14ac:dyDescent="0.35">
      <c r="A34" t="s">
        <v>191</v>
      </c>
      <c r="B34" s="4">
        <v>20540</v>
      </c>
      <c r="C34" s="4" t="s">
        <v>154</v>
      </c>
      <c r="D34" s="4" t="s">
        <v>164</v>
      </c>
      <c r="E34" s="17">
        <v>6.6666666666666596E-2</v>
      </c>
      <c r="F34" s="4">
        <v>3.7499999999999999E-2</v>
      </c>
      <c r="G34" s="17">
        <v>7.9024239999999996E-2</v>
      </c>
      <c r="H34" s="12">
        <v>2.2765490000000001E-3</v>
      </c>
      <c r="I34" s="18">
        <f t="shared" ref="I34:I35" si="53">E34/F34</f>
        <v>1.7777777777777759</v>
      </c>
      <c r="J34" s="4" t="s">
        <v>153</v>
      </c>
      <c r="K34" s="4" t="s">
        <v>24</v>
      </c>
      <c r="L34" s="4" t="s">
        <v>152</v>
      </c>
      <c r="M34" s="18" t="s">
        <v>152</v>
      </c>
      <c r="N34" s="11">
        <v>551.75</v>
      </c>
      <c r="O34" s="3">
        <v>559.65770138097696</v>
      </c>
      <c r="P34" s="8">
        <f t="shared" ref="P34:P35" si="54">8*(N34/B34)^2</f>
        <v>5.772630931736967E-3</v>
      </c>
      <c r="Q34" s="8">
        <f t="shared" ref="Q34:Q35" si="55">8*(O34/B34)^2</f>
        <v>5.9392837916666516E-3</v>
      </c>
      <c r="R34" s="9">
        <f t="shared" ref="R34:R35" si="56">(Q34-P34)/P34</f>
        <v>2.8869481160393392E-2</v>
      </c>
      <c r="S34" s="7">
        <v>11</v>
      </c>
      <c r="T34" s="3">
        <f t="shared" ref="T34:T35" si="57">B34/4*P34</f>
        <v>29.642459834469324</v>
      </c>
      <c r="U34" s="7">
        <f t="shared" ref="U34:U35" si="58">E34*N34</f>
        <v>36.783333333333296</v>
      </c>
      <c r="V34" s="7">
        <f t="shared" ref="V34:V35" si="59">F34*N34</f>
        <v>20.690625000000001</v>
      </c>
      <c r="W34" s="7">
        <f t="shared" ref="W34:W35" si="60">G34*N34</f>
        <v>43.60162442</v>
      </c>
      <c r="X34" s="7">
        <f t="shared" ref="X34:X35" si="61">H34*N34</f>
        <v>1.25608591075</v>
      </c>
    </row>
    <row r="35" spans="1:24" x14ac:dyDescent="0.35">
      <c r="A35" t="s">
        <v>191</v>
      </c>
      <c r="B35" s="4">
        <v>20540</v>
      </c>
      <c r="C35" s="4" t="s">
        <v>154</v>
      </c>
      <c r="D35" s="4" t="s">
        <v>156</v>
      </c>
      <c r="E35" s="17">
        <v>6.6666666666666596E-2</v>
      </c>
      <c r="F35" s="4">
        <v>3.7499999999999999E-2</v>
      </c>
      <c r="G35" s="17">
        <v>3.9572349999999999E-2</v>
      </c>
      <c r="H35" s="12">
        <v>1.094476E-3</v>
      </c>
      <c r="I35" s="18">
        <f t="shared" si="53"/>
        <v>1.7777777777777759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551.75</v>
      </c>
      <c r="O35" s="3">
        <v>581.40691547732297</v>
      </c>
      <c r="P35" s="8">
        <f t="shared" si="54"/>
        <v>5.772630931736967E-3</v>
      </c>
      <c r="Q35" s="8">
        <f t="shared" si="55"/>
        <v>6.4098740314309163E-3</v>
      </c>
      <c r="R35" s="9">
        <f t="shared" si="56"/>
        <v>0.11039041075543085</v>
      </c>
      <c r="S35" s="7">
        <f>200*2*O35/B35</f>
        <v>11.322432628574937</v>
      </c>
      <c r="T35" s="3">
        <f t="shared" si="57"/>
        <v>29.642459834469324</v>
      </c>
      <c r="U35" s="7">
        <f t="shared" si="58"/>
        <v>36.783333333333296</v>
      </c>
      <c r="V35" s="7">
        <f t="shared" si="59"/>
        <v>20.690625000000001</v>
      </c>
      <c r="W35" s="7">
        <f t="shared" si="60"/>
        <v>21.834044112499999</v>
      </c>
      <c r="X35" s="7">
        <f t="shared" si="61"/>
        <v>0.60387713300000001</v>
      </c>
    </row>
    <row r="38" spans="1:24" x14ac:dyDescent="0.35">
      <c r="A38" t="s">
        <v>188</v>
      </c>
      <c r="B38" s="4">
        <v>20540</v>
      </c>
      <c r="C38" s="4" t="s">
        <v>154</v>
      </c>
      <c r="D38" s="4" t="s">
        <v>156</v>
      </c>
      <c r="E38" s="17">
        <v>6.6666666666666596E-2</v>
      </c>
      <c r="F38" s="4">
        <v>3.7499999999999999E-2</v>
      </c>
      <c r="G38" s="17">
        <v>3.9572349999999999E-2</v>
      </c>
      <c r="H38" s="12">
        <v>1.094476E-3</v>
      </c>
      <c r="I38" s="18">
        <f>E38/F38</f>
        <v>1.7777777777777759</v>
      </c>
      <c r="J38" s="4" t="s">
        <v>153</v>
      </c>
      <c r="K38" s="4" t="s">
        <v>24</v>
      </c>
      <c r="L38" s="4" t="s">
        <v>152</v>
      </c>
      <c r="M38" s="18" t="s">
        <v>152</v>
      </c>
      <c r="N38" s="11">
        <v>551.75</v>
      </c>
      <c r="O38" s="3">
        <v>549.02374388038402</v>
      </c>
      <c r="P38" s="8">
        <f>8*(N38/B38)^2</f>
        <v>5.772630931736967E-3</v>
      </c>
      <c r="Q38" s="8">
        <f>8*(O38/B38)^2</f>
        <v>5.7157254867256611E-3</v>
      </c>
      <c r="R38" s="9">
        <f>(Q38-P38)/P38</f>
        <v>-9.8578006604318341E-3</v>
      </c>
      <c r="S38" s="7">
        <f>200*2*O38/B38</f>
        <v>10.691796375469989</v>
      </c>
      <c r="T38" s="3">
        <f>B38/4*P38</f>
        <v>29.642459834469324</v>
      </c>
      <c r="U38" s="7">
        <f>E38*N38</f>
        <v>36.783333333333296</v>
      </c>
      <c r="V38" s="7">
        <f>F38*N38</f>
        <v>20.690625000000001</v>
      </c>
      <c r="W38" s="7">
        <f>G38*N38</f>
        <v>21.834044112499999</v>
      </c>
      <c r="X38" s="7">
        <f>H38*N38</f>
        <v>0.60387713300000001</v>
      </c>
    </row>
    <row r="39" spans="1:24" x14ac:dyDescent="0.35">
      <c r="A39" t="s">
        <v>188</v>
      </c>
      <c r="B39" s="4">
        <v>20540</v>
      </c>
      <c r="C39" s="4" t="s">
        <v>154</v>
      </c>
      <c r="D39" s="4" t="s">
        <v>164</v>
      </c>
      <c r="E39" s="17">
        <v>6.6666666666666596E-2</v>
      </c>
      <c r="F39" s="4">
        <v>3.7499999999999999E-2</v>
      </c>
      <c r="G39" s="17">
        <v>7.9024239999999996E-2</v>
      </c>
      <c r="H39" s="12">
        <v>2.2765490000000001E-3</v>
      </c>
      <c r="I39" s="18">
        <f>E39/F39</f>
        <v>1.7777777777777759</v>
      </c>
      <c r="J39" s="4" t="s">
        <v>153</v>
      </c>
      <c r="K39" s="4" t="s">
        <v>24</v>
      </c>
      <c r="L39" s="4" t="s">
        <v>152</v>
      </c>
      <c r="M39" s="18" t="s">
        <v>152</v>
      </c>
      <c r="N39" s="11">
        <v>551.75</v>
      </c>
      <c r="O39" s="3">
        <v>530.63010115751899</v>
      </c>
      <c r="P39" s="8">
        <f>8*(N39/B39)^2</f>
        <v>5.772630931736967E-3</v>
      </c>
      <c r="Q39" s="8">
        <f>8*(O39/B39)^2</f>
        <v>5.339159239092485E-3</v>
      </c>
      <c r="R39" s="9">
        <f>(Q39-P39)/P39</f>
        <v>-7.5090837742861169E-2</v>
      </c>
      <c r="S39" s="7">
        <v>11</v>
      </c>
      <c r="T39" s="3">
        <f>B39/4*P39</f>
        <v>29.642459834469324</v>
      </c>
      <c r="U39" s="7">
        <f>E39*N39</f>
        <v>36.783333333333296</v>
      </c>
      <c r="V39" s="7">
        <f>F39*N39</f>
        <v>20.690625000000001</v>
      </c>
      <c r="W39" s="7">
        <f>G39*N39</f>
        <v>43.60162442</v>
      </c>
      <c r="X39" s="7">
        <f>H39*N39</f>
        <v>1.25608591075</v>
      </c>
    </row>
    <row r="40" spans="1:24" x14ac:dyDescent="0.35">
      <c r="A40" t="s">
        <v>192</v>
      </c>
      <c r="B40" s="4">
        <v>20540</v>
      </c>
      <c r="C40" s="4" t="s">
        <v>154</v>
      </c>
      <c r="D40" s="4" t="s">
        <v>164</v>
      </c>
      <c r="E40" s="17">
        <v>6.6666666666666596E-2</v>
      </c>
      <c r="F40" s="4">
        <v>3.7499999999999999E-2</v>
      </c>
      <c r="G40" s="17">
        <v>7.9024239999999996E-2</v>
      </c>
      <c r="H40" s="12">
        <v>2.2765490000000001E-3</v>
      </c>
      <c r="I40" s="18">
        <f>E40/F40</f>
        <v>1.7777777777777759</v>
      </c>
      <c r="J40" s="4" t="s">
        <v>153</v>
      </c>
      <c r="K40" s="4" t="s">
        <v>24</v>
      </c>
      <c r="L40" s="4" t="s">
        <v>152</v>
      </c>
      <c r="M40" s="18" t="s">
        <v>152</v>
      </c>
      <c r="N40" s="11">
        <v>551.75</v>
      </c>
      <c r="O40" s="3">
        <v>529.74659324287802</v>
      </c>
      <c r="P40" s="8">
        <f>8*(N40/B40)^2</f>
        <v>5.772630931736967E-3</v>
      </c>
      <c r="Q40" s="8">
        <f>8*(O40/B40)^2</f>
        <v>5.3213944634581071E-3</v>
      </c>
      <c r="R40" s="9">
        <f>(Q40-P40)/P40</f>
        <v>-7.8168251810112568E-2</v>
      </c>
      <c r="S40" s="7">
        <v>11</v>
      </c>
      <c r="T40" s="3">
        <f>B40/4*P40</f>
        <v>29.642459834469324</v>
      </c>
      <c r="U40" s="7">
        <f>E40*N40</f>
        <v>36.783333333333296</v>
      </c>
      <c r="V40" s="7">
        <f>F40*N40</f>
        <v>20.690625000000001</v>
      </c>
      <c r="W40" s="7">
        <f>G40*N40</f>
        <v>43.60162442</v>
      </c>
      <c r="X40" s="7">
        <f>H40*N40</f>
        <v>1.25608591075</v>
      </c>
    </row>
    <row r="41" spans="1:24" x14ac:dyDescent="0.35">
      <c r="A41" t="s">
        <v>190</v>
      </c>
      <c r="B41" s="4">
        <v>20540</v>
      </c>
      <c r="C41" s="4" t="s">
        <v>154</v>
      </c>
      <c r="D41" s="4" t="s">
        <v>164</v>
      </c>
      <c r="E41" s="17">
        <v>6.6666666666666596E-2</v>
      </c>
      <c r="F41" s="4">
        <v>3.7499999999999999E-2</v>
      </c>
      <c r="G41" s="17">
        <v>7.9024239999999996E-2</v>
      </c>
      <c r="H41" s="12">
        <v>2.2765490000000001E-3</v>
      </c>
      <c r="I41" s="18">
        <f>E41/F41</f>
        <v>1.7777777777777759</v>
      </c>
      <c r="J41" s="4" t="s">
        <v>153</v>
      </c>
      <c r="K41" s="4" t="s">
        <v>24</v>
      </c>
      <c r="L41" s="4" t="s">
        <v>152</v>
      </c>
      <c r="M41" s="18" t="s">
        <v>152</v>
      </c>
      <c r="N41" s="11">
        <v>551.75</v>
      </c>
      <c r="O41" s="3">
        <v>515.73557369572995</v>
      </c>
      <c r="P41" s="8">
        <f>8*(N41/B41)^2</f>
        <v>5.772630931736967E-3</v>
      </c>
      <c r="Q41" s="8">
        <f>8*(O41/B41)^2</f>
        <v>5.0436307710371806E-3</v>
      </c>
      <c r="R41" s="9">
        <f>(Q41-P41)/P41</f>
        <v>-0.1262855999838591</v>
      </c>
      <c r="S41" s="7">
        <v>11</v>
      </c>
      <c r="T41" s="3">
        <f>B41/4*P41</f>
        <v>29.642459834469324</v>
      </c>
      <c r="U41" s="7">
        <f>E41*N41</f>
        <v>36.783333333333296</v>
      </c>
      <c r="V41" s="7">
        <f>F41*N41</f>
        <v>20.690625000000001</v>
      </c>
      <c r="W41" s="7">
        <f>G41*N41</f>
        <v>43.60162442</v>
      </c>
      <c r="X41" s="7">
        <f>H41*N41</f>
        <v>1.25608591075</v>
      </c>
    </row>
    <row r="42" spans="1:24" x14ac:dyDescent="0.35">
      <c r="B42" s="4"/>
      <c r="C42" s="4"/>
      <c r="D42" s="4"/>
      <c r="E42" s="17"/>
      <c r="F42" s="4"/>
      <c r="G42" s="17"/>
      <c r="H42" s="12"/>
      <c r="I42" s="18"/>
      <c r="J42" s="4"/>
      <c r="K42" s="4"/>
      <c r="L42" s="4"/>
      <c r="M42" s="18"/>
      <c r="N42" s="11"/>
      <c r="O42" s="3"/>
      <c r="P42" s="8"/>
      <c r="Q42" s="8"/>
      <c r="R42" s="9"/>
      <c r="S42" s="7"/>
      <c r="T42" s="3"/>
      <c r="U42" s="7"/>
      <c r="V42" s="7"/>
      <c r="W42" s="7"/>
      <c r="X42" s="7"/>
    </row>
    <row r="44" spans="1:24" x14ac:dyDescent="0.35">
      <c r="A44" t="s">
        <v>188</v>
      </c>
      <c r="B44" s="4">
        <v>20540</v>
      </c>
      <c r="C44" s="4" t="s">
        <v>154</v>
      </c>
      <c r="D44" s="4" t="s">
        <v>155</v>
      </c>
      <c r="E44" s="17">
        <f>6.4/192</f>
        <v>3.3333333333333333E-2</v>
      </c>
      <c r="F44" s="4">
        <f>2.4/128</f>
        <v>1.8749999999999999E-2</v>
      </c>
      <c r="G44" s="17">
        <v>3.9572349999999999E-2</v>
      </c>
      <c r="H44" s="12">
        <v>1.094476E-3</v>
      </c>
      <c r="I44" s="18">
        <f t="shared" ref="I44" si="62">E44/F44</f>
        <v>1.7777777777777779</v>
      </c>
      <c r="J44" s="4" t="s">
        <v>153</v>
      </c>
      <c r="K44" s="4" t="s">
        <v>24</v>
      </c>
      <c r="L44" s="4" t="s">
        <v>152</v>
      </c>
      <c r="M44" s="18" t="s">
        <v>152</v>
      </c>
      <c r="N44" s="11">
        <v>551.75</v>
      </c>
      <c r="O44" s="3">
        <v>549.31194168112302</v>
      </c>
      <c r="P44" s="8">
        <f t="shared" ref="P44" si="63">8*(N44/B44)^2</f>
        <v>5.772630931736967E-3</v>
      </c>
      <c r="Q44" s="8">
        <f t="shared" ref="Q44" si="64">8*(O44/B44)^2</f>
        <v>5.721727747572799E-3</v>
      </c>
      <c r="R44" s="9">
        <f t="shared" ref="R44" si="65">(Q44-P44)/P44</f>
        <v>-8.8180215860173463E-3</v>
      </c>
      <c r="S44" s="7">
        <f>200*2*O44/B44</f>
        <v>10.69740879612703</v>
      </c>
      <c r="T44" s="3">
        <f t="shared" ref="T44" si="66">B44/4*P44</f>
        <v>29.642459834469324</v>
      </c>
      <c r="U44" s="7">
        <f t="shared" ref="U44" si="67">E44*N44</f>
        <v>18.391666666666666</v>
      </c>
      <c r="V44" s="7">
        <f t="shared" ref="V44" si="68">F44*N44</f>
        <v>10.3453125</v>
      </c>
      <c r="W44" s="7">
        <f t="shared" ref="W44" si="69">G44*N44</f>
        <v>21.834044112499999</v>
      </c>
      <c r="X44" s="7">
        <f t="shared" ref="X44" si="70">H44*N44</f>
        <v>0.60387713300000001</v>
      </c>
    </row>
    <row r="45" spans="1:24" x14ac:dyDescent="0.35">
      <c r="A45" t="s">
        <v>188</v>
      </c>
      <c r="B45" s="4">
        <v>20540</v>
      </c>
      <c r="C45" s="4" t="s">
        <v>154</v>
      </c>
      <c r="D45" s="4" t="s">
        <v>189</v>
      </c>
      <c r="E45" s="17">
        <f>6.4/384</f>
        <v>1.6666666666666666E-2</v>
      </c>
      <c r="F45" s="4">
        <f>2.4/256</f>
        <v>9.3749999999999997E-3</v>
      </c>
      <c r="G45" s="17">
        <v>1.9793720000000001E-2</v>
      </c>
      <c r="H45" s="12">
        <v>5.3669989999999995E-4</v>
      </c>
      <c r="I45" s="18">
        <f>E45/F45</f>
        <v>1.7777777777777779</v>
      </c>
      <c r="J45" s="4" t="s">
        <v>153</v>
      </c>
      <c r="K45" s="4" t="s">
        <v>24</v>
      </c>
      <c r="L45" s="4" t="s">
        <v>152</v>
      </c>
      <c r="M45" s="18" t="s">
        <v>152</v>
      </c>
      <c r="N45" s="11">
        <v>551.75</v>
      </c>
      <c r="O45" s="3">
        <v>544.25273791426696</v>
      </c>
      <c r="P45" s="8">
        <f>8*(N45/B45)^2</f>
        <v>5.772630931736967E-3</v>
      </c>
      <c r="Q45" s="8">
        <f>8*(O45/B45)^2</f>
        <v>5.6168180210684595E-3</v>
      </c>
      <c r="R45" s="9">
        <f>(Q45-P45)/P45</f>
        <v>-2.6991663335321516E-2</v>
      </c>
      <c r="S45" s="7">
        <f>200*2*O45/B45</f>
        <v>10.59888486687959</v>
      </c>
      <c r="T45" s="3">
        <f>B45/4*P45</f>
        <v>29.642459834469324</v>
      </c>
      <c r="U45" s="7">
        <f>E45*N45</f>
        <v>9.1958333333333329</v>
      </c>
      <c r="V45" s="7">
        <f>F45*N45</f>
        <v>5.1726562500000002</v>
      </c>
      <c r="W45" s="7">
        <f>G45*N45</f>
        <v>10.92118501</v>
      </c>
      <c r="X45" s="7">
        <f>H45*N45</f>
        <v>0.29612416982499995</v>
      </c>
    </row>
    <row r="48" spans="1:24" x14ac:dyDescent="0.35">
      <c r="A48" t="s">
        <v>203</v>
      </c>
    </row>
    <row r="49" spans="1:24" x14ac:dyDescent="0.35">
      <c r="A49" t="s">
        <v>200</v>
      </c>
      <c r="B49" s="4">
        <v>20540</v>
      </c>
      <c r="C49" s="4" t="s">
        <v>154</v>
      </c>
      <c r="D49" s="4" t="s">
        <v>204</v>
      </c>
      <c r="E49" s="4">
        <v>0.1</v>
      </c>
      <c r="F49" s="4">
        <v>0.1</v>
      </c>
      <c r="G49">
        <f>F49</f>
        <v>0.1</v>
      </c>
      <c r="H49" s="4">
        <f>0.25*G49</f>
        <v>2.5000000000000001E-2</v>
      </c>
      <c r="I49" s="4">
        <v>1</v>
      </c>
      <c r="J49" s="4" t="s">
        <v>36</v>
      </c>
      <c r="K49" s="4" t="s">
        <v>24</v>
      </c>
      <c r="L49">
        <v>0.1</v>
      </c>
      <c r="M49" s="7">
        <f>L49/H49</f>
        <v>4</v>
      </c>
      <c r="N49" s="11">
        <v>551.75</v>
      </c>
      <c r="O49" s="3"/>
      <c r="P49" s="8">
        <f>8*(N49/B49)^2</f>
        <v>5.772630931736967E-3</v>
      </c>
      <c r="Q49" s="8">
        <f>8*(O49/B49)^2</f>
        <v>0</v>
      </c>
      <c r="R49" s="9">
        <f>(Q49-P49)/P49</f>
        <v>-1</v>
      </c>
      <c r="S49" s="7">
        <v>10.7</v>
      </c>
      <c r="T49" s="3">
        <f>B49/4*P49</f>
        <v>29.642459834469324</v>
      </c>
      <c r="U49" s="7">
        <f>E49*N49</f>
        <v>55.175000000000004</v>
      </c>
      <c r="V49" s="7">
        <f>F49*N49</f>
        <v>55.175000000000004</v>
      </c>
      <c r="W49" s="7">
        <f>G49*N49</f>
        <v>55.175000000000004</v>
      </c>
      <c r="X49" s="7">
        <f>H49*N49</f>
        <v>13.793750000000001</v>
      </c>
    </row>
    <row r="50" spans="1:24" x14ac:dyDescent="0.35">
      <c r="A50" t="s">
        <v>200</v>
      </c>
      <c r="B50" s="4">
        <v>20540</v>
      </c>
      <c r="C50" s="4" t="s">
        <v>154</v>
      </c>
      <c r="D50" s="4" t="s">
        <v>205</v>
      </c>
      <c r="E50" s="4">
        <v>6.7000000000000004E-2</v>
      </c>
      <c r="F50" s="4">
        <v>6.7000000000000004E-2</v>
      </c>
      <c r="G50">
        <f>F50</f>
        <v>6.7000000000000004E-2</v>
      </c>
      <c r="H50" s="4">
        <f>0.25*G50</f>
        <v>1.6750000000000001E-2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 t="shared" ref="M50:M52" si="71">L50/H50</f>
        <v>5.9701492537313436</v>
      </c>
      <c r="N50" s="11">
        <v>551.75</v>
      </c>
      <c r="O50" s="3"/>
      <c r="P50" s="8">
        <f>8*(N50/B50)^2</f>
        <v>5.772630931736967E-3</v>
      </c>
      <c r="Q50" s="8">
        <f t="shared" ref="Q50:Q52" si="72">8*(O50/B50)^2</f>
        <v>0</v>
      </c>
      <c r="R50" s="9">
        <f t="shared" ref="R50:R52" si="73">(Q50-P50)/P50</f>
        <v>-1</v>
      </c>
      <c r="S50" s="7">
        <f t="shared" ref="S50:S52" si="74">200*2*O50/B50</f>
        <v>0</v>
      </c>
      <c r="T50" s="3">
        <f t="shared" ref="T50:T52" si="75">B50/4*P50</f>
        <v>29.642459834469324</v>
      </c>
      <c r="U50" s="7">
        <f t="shared" ref="U50:U52" si="76">E50*N50</f>
        <v>36.96725</v>
      </c>
      <c r="V50" s="7">
        <f t="shared" ref="V50:V52" si="77">F50*N50</f>
        <v>36.96725</v>
      </c>
      <c r="W50" s="7">
        <f t="shared" ref="W50:W52" si="78">G50*N50</f>
        <v>36.96725</v>
      </c>
      <c r="X50" s="7">
        <f t="shared" ref="X50:X52" si="79">H50*N50</f>
        <v>9.2418125</v>
      </c>
    </row>
    <row r="51" spans="1:24" x14ac:dyDescent="0.35">
      <c r="A51" t="s">
        <v>200</v>
      </c>
      <c r="B51" s="4">
        <v>20540</v>
      </c>
      <c r="C51" s="4" t="s">
        <v>154</v>
      </c>
      <c r="D51" s="4" t="s">
        <v>206</v>
      </c>
      <c r="E51" s="4">
        <v>0.05</v>
      </c>
      <c r="F51" s="4">
        <v>0.05</v>
      </c>
      <c r="G51">
        <f>F51</f>
        <v>0.05</v>
      </c>
      <c r="H51" s="4">
        <f>0.25*G51</f>
        <v>1.2500000000000001E-2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 t="shared" si="71"/>
        <v>8</v>
      </c>
      <c r="N51" s="11">
        <v>551.75</v>
      </c>
      <c r="O51" s="3"/>
      <c r="P51" s="8">
        <f>8*(N51/B51)^2</f>
        <v>5.772630931736967E-3</v>
      </c>
      <c r="Q51" s="8">
        <f t="shared" si="72"/>
        <v>0</v>
      </c>
      <c r="R51" s="9">
        <f t="shared" si="73"/>
        <v>-1</v>
      </c>
      <c r="S51" s="7">
        <f t="shared" si="74"/>
        <v>0</v>
      </c>
      <c r="T51" s="3">
        <f t="shared" si="75"/>
        <v>29.642459834469324</v>
      </c>
      <c r="U51" s="7">
        <f t="shared" si="76"/>
        <v>27.587500000000002</v>
      </c>
      <c r="V51" s="7">
        <f t="shared" si="77"/>
        <v>27.587500000000002</v>
      </c>
      <c r="W51" s="7">
        <f t="shared" si="78"/>
        <v>27.587500000000002</v>
      </c>
      <c r="X51" s="7">
        <f t="shared" si="79"/>
        <v>6.8968750000000005</v>
      </c>
    </row>
    <row r="52" spans="1:24" x14ac:dyDescent="0.35">
      <c r="A52" t="s">
        <v>200</v>
      </c>
      <c r="B52" s="4">
        <v>20540</v>
      </c>
      <c r="C52" s="4" t="s">
        <v>154</v>
      </c>
      <c r="D52" s="4" t="s">
        <v>207</v>
      </c>
      <c r="E52" s="4">
        <v>3.3000000000000002E-2</v>
      </c>
      <c r="F52" s="4">
        <v>3.3000000000000002E-2</v>
      </c>
      <c r="G52">
        <f>F52</f>
        <v>3.3000000000000002E-2</v>
      </c>
      <c r="H52" s="4">
        <f>0.25*G52</f>
        <v>8.2500000000000004E-3</v>
      </c>
      <c r="I52" s="4">
        <v>1</v>
      </c>
      <c r="J52" s="4" t="s">
        <v>36</v>
      </c>
      <c r="K52" s="4" t="s">
        <v>24</v>
      </c>
      <c r="L52">
        <v>0.1</v>
      </c>
      <c r="M52" s="7">
        <f t="shared" si="71"/>
        <v>12.121212121212121</v>
      </c>
      <c r="N52" s="11">
        <v>551.75</v>
      </c>
      <c r="O52" s="3"/>
      <c r="P52" s="8">
        <f>8*(N52/B52)^2</f>
        <v>5.772630931736967E-3</v>
      </c>
      <c r="Q52" s="8">
        <f t="shared" si="72"/>
        <v>0</v>
      </c>
      <c r="R52" s="9">
        <f t="shared" si="73"/>
        <v>-1</v>
      </c>
      <c r="S52" s="7">
        <f t="shared" si="74"/>
        <v>0</v>
      </c>
      <c r="T52" s="3">
        <f t="shared" si="75"/>
        <v>29.642459834469324</v>
      </c>
      <c r="U52" s="7">
        <f t="shared" si="76"/>
        <v>18.207750000000001</v>
      </c>
      <c r="V52" s="7">
        <f t="shared" si="77"/>
        <v>18.207750000000001</v>
      </c>
      <c r="W52" s="7">
        <f t="shared" si="78"/>
        <v>18.207750000000001</v>
      </c>
      <c r="X52" s="7">
        <f t="shared" si="79"/>
        <v>4.5519375000000002</v>
      </c>
    </row>
    <row r="55" spans="1:24" x14ac:dyDescent="0.35">
      <c r="A55" t="s">
        <v>208</v>
      </c>
      <c r="B55" s="4">
        <v>20540</v>
      </c>
      <c r="C55" s="4" t="s">
        <v>154</v>
      </c>
      <c r="D55" s="4" t="s">
        <v>204</v>
      </c>
      <c r="E55" s="4">
        <v>0.1</v>
      </c>
      <c r="F55" s="4">
        <v>0.1</v>
      </c>
      <c r="G55">
        <f>F55</f>
        <v>0.1</v>
      </c>
      <c r="H55" s="4">
        <f>0.25*G55</f>
        <v>2.5000000000000001E-2</v>
      </c>
      <c r="I55" s="4">
        <v>1</v>
      </c>
      <c r="J55" s="4" t="s">
        <v>36</v>
      </c>
      <c r="K55" s="4" t="s">
        <v>24</v>
      </c>
      <c r="L55">
        <v>0.1</v>
      </c>
      <c r="M55" s="7">
        <f>L55/H55</f>
        <v>4</v>
      </c>
      <c r="N55" s="11">
        <v>551.75</v>
      </c>
      <c r="O55" s="3"/>
      <c r="P55" s="8">
        <f>8*(N55/B55)^2</f>
        <v>5.772630931736967E-3</v>
      </c>
      <c r="Q55" s="8">
        <f>8*(O55/B55)^2</f>
        <v>0</v>
      </c>
      <c r="R55" s="9">
        <f>(Q55-P55)/P55</f>
        <v>-1</v>
      </c>
      <c r="S55" s="7">
        <v>10.7</v>
      </c>
      <c r="T55" s="3">
        <f>B55/4*P55</f>
        <v>29.642459834469324</v>
      </c>
      <c r="U55" s="7">
        <f>E55*N55</f>
        <v>55.175000000000004</v>
      </c>
      <c r="V55" s="7">
        <f>F55*N55</f>
        <v>55.175000000000004</v>
      </c>
      <c r="W55" s="7">
        <f>G55*N55</f>
        <v>55.175000000000004</v>
      </c>
      <c r="X55" s="7">
        <f>H55*N55</f>
        <v>13.793750000000001</v>
      </c>
    </row>
    <row r="56" spans="1:24" x14ac:dyDescent="0.35">
      <c r="A56" t="s">
        <v>208</v>
      </c>
      <c r="B56" s="4">
        <v>20540</v>
      </c>
      <c r="C56" s="4" t="s">
        <v>154</v>
      </c>
      <c r="D56" s="4" t="s">
        <v>205</v>
      </c>
      <c r="E56" s="4">
        <v>6.7000000000000004E-2</v>
      </c>
      <c r="F56" s="4">
        <v>6.7000000000000004E-2</v>
      </c>
      <c r="G56">
        <f>F56</f>
        <v>6.7000000000000004E-2</v>
      </c>
      <c r="H56" s="4">
        <f>0.25*G56</f>
        <v>1.6750000000000001E-2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 t="shared" ref="M56:M58" si="80">L56/H56</f>
        <v>5.9701492537313436</v>
      </c>
      <c r="N56" s="11">
        <v>551.75</v>
      </c>
      <c r="O56" s="3"/>
      <c r="P56" s="8">
        <f>8*(N56/B56)^2</f>
        <v>5.772630931736967E-3</v>
      </c>
      <c r="Q56" s="8">
        <f t="shared" ref="Q56:Q58" si="81">8*(O56/B56)^2</f>
        <v>0</v>
      </c>
      <c r="R56" s="9">
        <f t="shared" ref="R56:R58" si="82">(Q56-P56)/P56</f>
        <v>-1</v>
      </c>
      <c r="S56" s="7">
        <f t="shared" ref="S56:S58" si="83">200*2*O56/B56</f>
        <v>0</v>
      </c>
      <c r="T56" s="3">
        <f t="shared" ref="T56:T58" si="84">B56/4*P56</f>
        <v>29.642459834469324</v>
      </c>
      <c r="U56" s="7">
        <f t="shared" ref="U56:U58" si="85">E56*N56</f>
        <v>36.96725</v>
      </c>
      <c r="V56" s="7">
        <f t="shared" ref="V56:V58" si="86">F56*N56</f>
        <v>36.96725</v>
      </c>
      <c r="W56" s="7">
        <f t="shared" ref="W56:W58" si="87">G56*N56</f>
        <v>36.96725</v>
      </c>
      <c r="X56" s="7">
        <f t="shared" ref="X56:X58" si="88">H56*N56</f>
        <v>9.2418125</v>
      </c>
    </row>
    <row r="57" spans="1:24" x14ac:dyDescent="0.35">
      <c r="A57" t="s">
        <v>208</v>
      </c>
      <c r="B57" s="4">
        <v>20540</v>
      </c>
      <c r="C57" s="4" t="s">
        <v>154</v>
      </c>
      <c r="D57" s="4" t="s">
        <v>206</v>
      </c>
      <c r="E57" s="4">
        <v>0.05</v>
      </c>
      <c r="F57" s="4">
        <v>0.05</v>
      </c>
      <c r="G57">
        <f>F57</f>
        <v>0.05</v>
      </c>
      <c r="H57" s="4">
        <f>0.25*G57</f>
        <v>1.2500000000000001E-2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 t="shared" si="80"/>
        <v>8</v>
      </c>
      <c r="N57" s="11">
        <v>551.75</v>
      </c>
      <c r="O57" s="3"/>
      <c r="P57" s="8">
        <f>8*(N57/B57)^2</f>
        <v>5.772630931736967E-3</v>
      </c>
      <c r="Q57" s="8">
        <f t="shared" si="81"/>
        <v>0</v>
      </c>
      <c r="R57" s="9">
        <f t="shared" si="82"/>
        <v>-1</v>
      </c>
      <c r="S57" s="7">
        <f t="shared" si="83"/>
        <v>0</v>
      </c>
      <c r="T57" s="3">
        <f t="shared" si="84"/>
        <v>29.642459834469324</v>
      </c>
      <c r="U57" s="7">
        <f t="shared" si="85"/>
        <v>27.587500000000002</v>
      </c>
      <c r="V57" s="7">
        <f t="shared" si="86"/>
        <v>27.587500000000002</v>
      </c>
      <c r="W57" s="7">
        <f t="shared" si="87"/>
        <v>27.587500000000002</v>
      </c>
      <c r="X57" s="7">
        <f t="shared" si="88"/>
        <v>6.8968750000000005</v>
      </c>
    </row>
    <row r="58" spans="1:24" x14ac:dyDescent="0.35">
      <c r="A58" t="s">
        <v>208</v>
      </c>
      <c r="B58" s="4">
        <v>20540</v>
      </c>
      <c r="C58" s="4" t="s">
        <v>154</v>
      </c>
      <c r="D58" s="4" t="s">
        <v>207</v>
      </c>
      <c r="E58" s="4">
        <v>3.3000000000000002E-2</v>
      </c>
      <c r="F58" s="4">
        <v>3.3000000000000002E-2</v>
      </c>
      <c r="G58">
        <f>F58</f>
        <v>3.3000000000000002E-2</v>
      </c>
      <c r="H58" s="4">
        <f>0.25*G58</f>
        <v>8.2500000000000004E-3</v>
      </c>
      <c r="I58" s="4">
        <v>1</v>
      </c>
      <c r="J58" s="4" t="s">
        <v>36</v>
      </c>
      <c r="K58" s="4" t="s">
        <v>24</v>
      </c>
      <c r="L58">
        <v>0.1</v>
      </c>
      <c r="M58" s="7">
        <f t="shared" si="80"/>
        <v>12.121212121212121</v>
      </c>
      <c r="N58" s="11">
        <v>551.75</v>
      </c>
      <c r="O58" s="3"/>
      <c r="P58" s="8">
        <f>8*(N58/B58)^2</f>
        <v>5.772630931736967E-3</v>
      </c>
      <c r="Q58" s="8">
        <f t="shared" si="81"/>
        <v>0</v>
      </c>
      <c r="R58" s="9">
        <f t="shared" si="82"/>
        <v>-1</v>
      </c>
      <c r="S58" s="7">
        <f t="shared" si="83"/>
        <v>0</v>
      </c>
      <c r="T58" s="3">
        <f t="shared" si="84"/>
        <v>29.642459834469324</v>
      </c>
      <c r="U58" s="7">
        <f t="shared" si="85"/>
        <v>18.207750000000001</v>
      </c>
      <c r="V58" s="7">
        <f t="shared" si="86"/>
        <v>18.207750000000001</v>
      </c>
      <c r="W58" s="7">
        <f t="shared" si="87"/>
        <v>18.207750000000001</v>
      </c>
      <c r="X58" s="7">
        <f t="shared" si="88"/>
        <v>4.5519375000000002</v>
      </c>
    </row>
  </sheetData>
  <pageMargins left="0.7" right="0.7" top="0.75" bottom="0.75" header="0.3" footer="0.3"/>
  <ignoredErrors>
    <ignoredError sqref="E32:F32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35"/>
  <sheetViews>
    <sheetView zoomScale="55" zoomScaleNormal="55" workbookViewId="0">
      <selection activeCell="L35" sqref="L35"/>
    </sheetView>
  </sheetViews>
  <sheetFormatPr defaultRowHeight="14.5" x14ac:dyDescent="0.3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40582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11">
        <v>1002.1</v>
      </c>
      <c r="O2" s="7">
        <v>991.44275767622696</v>
      </c>
      <c r="P2" s="8">
        <f>8*(N2/B2)^2</f>
        <v>4.8780384385069212E-3</v>
      </c>
      <c r="Q2" s="8">
        <f>8*(O2/B2)^2</f>
        <v>4.7748351610169409E-3</v>
      </c>
      <c r="R2" s="9">
        <f>(Q2-P2)/P2</f>
        <v>-2.1156716739929773E-2</v>
      </c>
      <c r="S2" s="7">
        <f>200*2*O2/B2</f>
        <v>9.7722414634687986</v>
      </c>
      <c r="T2" s="3">
        <f>B2/4*P2</f>
        <v>49.490138977871972</v>
      </c>
      <c r="U2" s="7">
        <f>E2*N2</f>
        <v>100.21000000000001</v>
      </c>
      <c r="V2" s="7">
        <f>F2*O2</f>
        <v>99.144275767622702</v>
      </c>
      <c r="W2" s="7">
        <f>G2*N2</f>
        <v>100.21000000000001</v>
      </c>
      <c r="X2" s="3">
        <f>H2*N2</f>
        <v>25.052500000000002</v>
      </c>
    </row>
    <row r="3" spans="1:24" x14ac:dyDescent="0.35">
      <c r="A3" t="s">
        <v>115</v>
      </c>
      <c r="B3" s="4">
        <v>40582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 t="shared" ref="M3:M5" si="0">L3/H3</f>
        <v>5.9701492537313436</v>
      </c>
      <c r="N3" s="11">
        <v>1002.1</v>
      </c>
      <c r="O3" s="7">
        <v>967.18605429573699</v>
      </c>
      <c r="P3" s="8">
        <f t="shared" ref="P3:P5" si="1">8*(N3/B3)^2</f>
        <v>4.8780384385069212E-3</v>
      </c>
      <c r="Q3" s="8">
        <f t="shared" ref="Q3:Q5" si="2">8*(O3/B3)^2</f>
        <v>4.5440504628099102E-3</v>
      </c>
      <c r="R3" s="9">
        <f t="shared" ref="R3:R5" si="3">(Q3-P3)/P3</f>
        <v>-6.8467680176632364E-2</v>
      </c>
      <c r="S3" s="7">
        <f t="shared" ref="S3:S5" si="4">200*2*O3/B3</f>
        <v>9.5331531644151291</v>
      </c>
      <c r="T3" s="3">
        <f t="shared" ref="T3:T5" si="5">B3/4*P3</f>
        <v>49.490138977871972</v>
      </c>
      <c r="U3" s="7">
        <f t="shared" ref="U3:V9" si="6">E3*N3</f>
        <v>67.14070000000001</v>
      </c>
      <c r="V3" s="7">
        <f t="shared" si="6"/>
        <v>64.801465637814388</v>
      </c>
      <c r="W3" s="7">
        <f t="shared" ref="W3:W10" si="7">G3*N3</f>
        <v>67.14070000000001</v>
      </c>
      <c r="X3" s="3">
        <f t="shared" ref="X3:X17" si="8">H3*N3</f>
        <v>16.785175000000002</v>
      </c>
    </row>
    <row r="4" spans="1:24" x14ac:dyDescent="0.35">
      <c r="A4" t="s">
        <v>115</v>
      </c>
      <c r="B4" s="4">
        <v>40582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 t="shared" si="0"/>
        <v>8</v>
      </c>
      <c r="N4" s="11">
        <v>1002.1</v>
      </c>
      <c r="O4" s="7">
        <v>978.16635810243804</v>
      </c>
      <c r="P4" s="8">
        <f t="shared" si="1"/>
        <v>4.8780384385069212E-3</v>
      </c>
      <c r="Q4" s="8">
        <f t="shared" si="2"/>
        <v>4.6478118426103634E-3</v>
      </c>
      <c r="R4" s="9">
        <f t="shared" si="3"/>
        <v>-4.7196552220491725E-2</v>
      </c>
      <c r="S4" s="7">
        <f t="shared" si="4"/>
        <v>9.6413814804833482</v>
      </c>
      <c r="T4" s="3">
        <f t="shared" si="5"/>
        <v>49.490138977871972</v>
      </c>
      <c r="U4" s="7">
        <f t="shared" si="6"/>
        <v>50.105000000000004</v>
      </c>
      <c r="V4" s="7">
        <f t="shared" si="6"/>
        <v>48.908317905121905</v>
      </c>
      <c r="W4" s="7">
        <f t="shared" si="7"/>
        <v>50.105000000000004</v>
      </c>
      <c r="X4" s="3">
        <f t="shared" si="8"/>
        <v>12.526250000000001</v>
      </c>
    </row>
    <row r="5" spans="1:24" x14ac:dyDescent="0.35">
      <c r="A5" t="s">
        <v>115</v>
      </c>
      <c r="B5" s="4">
        <v>40582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 t="shared" si="0"/>
        <v>12.121212121212121</v>
      </c>
      <c r="N5" s="11">
        <v>1002.1</v>
      </c>
      <c r="O5" s="7">
        <v>989.39442504592398</v>
      </c>
      <c r="P5" s="8">
        <f t="shared" si="1"/>
        <v>4.8780384385069212E-3</v>
      </c>
      <c r="Q5" s="8">
        <f t="shared" si="2"/>
        <v>4.7551258085106367E-3</v>
      </c>
      <c r="R5" s="9">
        <f t="shared" si="3"/>
        <v>-2.5197142569853514E-2</v>
      </c>
      <c r="S5" s="7">
        <f t="shared" si="4"/>
        <v>9.7520518953814399</v>
      </c>
      <c r="T5" s="3">
        <f t="shared" si="5"/>
        <v>49.490138977871972</v>
      </c>
      <c r="U5" s="7">
        <f t="shared" si="6"/>
        <v>33.069300000000005</v>
      </c>
      <c r="V5" s="7">
        <f t="shared" si="6"/>
        <v>32.650016026515495</v>
      </c>
      <c r="W5" s="7">
        <f t="shared" si="7"/>
        <v>33.069300000000005</v>
      </c>
      <c r="X5" s="3">
        <f t="shared" si="8"/>
        <v>8.2673250000000014</v>
      </c>
    </row>
    <row r="6" spans="1:24" x14ac:dyDescent="0.35">
      <c r="B6" s="4"/>
      <c r="C6" s="4"/>
      <c r="D6" s="5"/>
      <c r="E6" s="4"/>
      <c r="F6" s="4"/>
      <c r="G6" s="4"/>
      <c r="H6" s="4"/>
      <c r="L6" s="6"/>
      <c r="M6" s="3"/>
      <c r="U6" s="7"/>
      <c r="V6" s="7"/>
      <c r="W6" s="7"/>
      <c r="X6" s="3"/>
    </row>
    <row r="7" spans="1:24" x14ac:dyDescent="0.35">
      <c r="B7" s="4"/>
      <c r="C7" s="4"/>
      <c r="D7" s="5"/>
      <c r="E7" s="4"/>
      <c r="F7" s="4"/>
      <c r="G7" s="4"/>
      <c r="H7" s="4"/>
      <c r="L7" s="6"/>
      <c r="M7" s="3"/>
      <c r="U7" s="7"/>
      <c r="V7" s="7"/>
      <c r="W7" s="7"/>
      <c r="X7" s="3"/>
    </row>
    <row r="8" spans="1:24" x14ac:dyDescent="0.35">
      <c r="A8" t="s">
        <v>116</v>
      </c>
      <c r="B8" s="4">
        <v>40582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11">
        <v>1002.1</v>
      </c>
      <c r="O8" s="7">
        <v>1004.16107013368</v>
      </c>
      <c r="P8" s="8">
        <f>8*(N8/B8)^2</f>
        <v>4.8780384385069212E-3</v>
      </c>
      <c r="Q8" s="8">
        <f>8*(O8/B8)^2</f>
        <v>4.8981248941547791E-3</v>
      </c>
      <c r="R8" s="9">
        <f>(Q8-P8)/P8</f>
        <v>4.1177321378398106E-3</v>
      </c>
      <c r="S8" s="7">
        <f>200*2*O8/B8</f>
        <v>9.8976006124260021</v>
      </c>
      <c r="T8" s="3">
        <f>B8/4*P8</f>
        <v>49.490138977871972</v>
      </c>
      <c r="U8" s="7">
        <f t="shared" si="6"/>
        <v>100.21000000000001</v>
      </c>
      <c r="V8" s="7">
        <f t="shared" si="6"/>
        <v>100.41610701336801</v>
      </c>
      <c r="W8" s="7">
        <f t="shared" si="7"/>
        <v>100.21000000000001</v>
      </c>
      <c r="X8" s="3">
        <f t="shared" si="8"/>
        <v>25.052500000000002</v>
      </c>
    </row>
    <row r="9" spans="1:24" x14ac:dyDescent="0.35">
      <c r="A9" t="s">
        <v>116</v>
      </c>
      <c r="B9" s="4">
        <v>40582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 t="shared" ref="M9:M11" si="9">L9/H9</f>
        <v>5.9701492537313436</v>
      </c>
      <c r="N9" s="11">
        <v>1002.1</v>
      </c>
      <c r="O9" s="7">
        <v>1022.31108451645</v>
      </c>
      <c r="P9" s="8">
        <f t="shared" ref="P9:P11" si="10">8*(N9/B9)^2</f>
        <v>4.8780384385069212E-3</v>
      </c>
      <c r="Q9" s="8">
        <f t="shared" ref="Q9:Q11" si="11">8*(O9/B9)^2</f>
        <v>5.0767903978299533E-3</v>
      </c>
      <c r="R9" s="9">
        <f t="shared" ref="R9:R11" si="12">(Q9-P9)/P9</f>
        <v>4.0744238043328426E-2</v>
      </c>
      <c r="S9" s="7">
        <f t="shared" ref="S9:S11" si="13">200*2*O9/B9</f>
        <v>10.076497802143315</v>
      </c>
      <c r="T9" s="3">
        <f t="shared" ref="T9:T11" si="14">B9/4*P9</f>
        <v>49.490138977871972</v>
      </c>
      <c r="U9" s="7">
        <f t="shared" si="6"/>
        <v>67.14070000000001</v>
      </c>
      <c r="V9" s="7">
        <f t="shared" si="6"/>
        <v>68.494842662602153</v>
      </c>
      <c r="W9" s="7">
        <f t="shared" si="7"/>
        <v>67.14070000000001</v>
      </c>
      <c r="X9" s="3">
        <f t="shared" si="8"/>
        <v>16.785175000000002</v>
      </c>
    </row>
    <row r="10" spans="1:24" x14ac:dyDescent="0.35">
      <c r="A10" t="s">
        <v>116</v>
      </c>
      <c r="B10" s="4">
        <v>40582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 t="shared" si="9"/>
        <v>8</v>
      </c>
      <c r="N10" s="11">
        <v>1002.1</v>
      </c>
      <c r="O10" s="7">
        <v>1019.74185368677</v>
      </c>
      <c r="P10" s="8">
        <f t="shared" si="10"/>
        <v>4.8780384385069212E-3</v>
      </c>
      <c r="Q10" s="8">
        <f t="shared" si="11"/>
        <v>5.0513048944983204E-3</v>
      </c>
      <c r="R10" s="9">
        <f t="shared" si="12"/>
        <v>3.5519698783766228E-2</v>
      </c>
      <c r="S10" s="7">
        <f t="shared" si="13"/>
        <v>10.051173955810656</v>
      </c>
      <c r="T10" s="3">
        <f t="shared" si="14"/>
        <v>49.490138977871972</v>
      </c>
      <c r="U10" s="7">
        <f t="shared" ref="U10:U14" si="15">E10*N10</f>
        <v>50.105000000000004</v>
      </c>
      <c r="V10" s="7">
        <f>F10*N10</f>
        <v>50.105000000000004</v>
      </c>
      <c r="W10" s="7">
        <f t="shared" si="7"/>
        <v>50.105000000000004</v>
      </c>
      <c r="X10" s="3">
        <f t="shared" si="8"/>
        <v>12.526250000000001</v>
      </c>
    </row>
    <row r="11" spans="1:24" x14ac:dyDescent="0.35">
      <c r="A11" t="s">
        <v>116</v>
      </c>
      <c r="B11" s="4">
        <v>40582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 t="shared" si="9"/>
        <v>12.121212121212121</v>
      </c>
      <c r="N11" s="11">
        <v>1002.1</v>
      </c>
      <c r="O11" s="7">
        <v>1013.52584027871</v>
      </c>
      <c r="P11" s="8">
        <f t="shared" si="10"/>
        <v>4.8780384385069212E-3</v>
      </c>
      <c r="Q11" s="8">
        <f t="shared" si="11"/>
        <v>4.9899103761169234E-3</v>
      </c>
      <c r="R11" s="9">
        <f t="shared" si="12"/>
        <v>2.2933795832130451E-2</v>
      </c>
      <c r="S11" s="7">
        <f t="shared" si="13"/>
        <v>9.9899052809492872</v>
      </c>
      <c r="T11" s="3">
        <f t="shared" si="14"/>
        <v>49.490138977871972</v>
      </c>
      <c r="U11" s="7">
        <f t="shared" si="15"/>
        <v>33.069300000000005</v>
      </c>
      <c r="V11" s="7">
        <f>F11*N11</f>
        <v>33.069300000000005</v>
      </c>
      <c r="W11" s="7">
        <f t="shared" ref="W11:W15" si="16">G11*N11</f>
        <v>33.069300000000005</v>
      </c>
      <c r="X11" s="3">
        <f t="shared" si="8"/>
        <v>8.2673250000000014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128</v>
      </c>
      <c r="B14" s="4">
        <v>40582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11">
        <v>1002.1</v>
      </c>
      <c r="O14" s="7">
        <v>1003.39834086138</v>
      </c>
      <c r="P14" s="8">
        <f>8*(N14/B14)^2</f>
        <v>4.8780384385069212E-3</v>
      </c>
      <c r="Q14" s="8">
        <f>8*(O14/B14)^2</f>
        <v>4.8906867958366093E-3</v>
      </c>
      <c r="R14" s="9">
        <f>(Q14-P14)/P14</f>
        <v>2.5929187498488619E-3</v>
      </c>
      <c r="S14" s="7">
        <f>200*2*O14/B14</f>
        <v>9.890082705252377</v>
      </c>
      <c r="T14" s="3">
        <f>B14/4*P14</f>
        <v>49.490138977871972</v>
      </c>
      <c r="U14" s="7">
        <f t="shared" si="15"/>
        <v>100.21000000000001</v>
      </c>
      <c r="V14" s="7">
        <f t="shared" ref="V14" si="17">F14*N14</f>
        <v>100.21000000000001</v>
      </c>
      <c r="W14" s="7">
        <f t="shared" si="16"/>
        <v>100.21000000000001</v>
      </c>
      <c r="X14" s="3">
        <f t="shared" si="8"/>
        <v>25.052500000000002</v>
      </c>
    </row>
    <row r="15" spans="1:24" x14ac:dyDescent="0.35">
      <c r="A15" t="s">
        <v>128</v>
      </c>
      <c r="B15" s="4">
        <v>40582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 t="shared" ref="M15:M17" si="18">L15/H15</f>
        <v>5.9701492537313436</v>
      </c>
      <c r="N15" s="11">
        <v>1002.1</v>
      </c>
      <c r="O15" s="7">
        <v>1017.33903723293</v>
      </c>
      <c r="P15" s="8">
        <f t="shared" ref="P15:P17" si="19">8*(N15/B15)^2</f>
        <v>4.8780384385069212E-3</v>
      </c>
      <c r="Q15" s="8">
        <f t="shared" ref="Q15:Q17" si="20">8*(O15/B15)^2</f>
        <v>5.0275281732650116E-3</v>
      </c>
      <c r="R15" s="9">
        <f t="shared" ref="R15:R17" si="21">(Q15-P15)/P15</f>
        <v>3.0645460597035892E-2</v>
      </c>
      <c r="S15" s="7">
        <f t="shared" ref="S15:S17" si="22">200*2*O15/B15</f>
        <v>10.027490387195604</v>
      </c>
      <c r="T15" s="3">
        <f t="shared" ref="T15:T17" si="23">B15/4*P15</f>
        <v>49.490138977871972</v>
      </c>
      <c r="U15" s="7">
        <f>E15*N15</f>
        <v>67.14070000000001</v>
      </c>
      <c r="V15" s="7">
        <f>F15*N15</f>
        <v>67.14070000000001</v>
      </c>
      <c r="W15" s="7">
        <f t="shared" si="16"/>
        <v>67.14070000000001</v>
      </c>
      <c r="X15" s="3">
        <f t="shared" si="8"/>
        <v>16.785175000000002</v>
      </c>
    </row>
    <row r="16" spans="1:24" x14ac:dyDescent="0.35">
      <c r="A16" t="s">
        <v>128</v>
      </c>
      <c r="B16" s="4">
        <v>40582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 t="shared" si="18"/>
        <v>8</v>
      </c>
      <c r="N16" s="11">
        <v>1002.1</v>
      </c>
      <c r="O16" s="7">
        <v>1010.46731717254</v>
      </c>
      <c r="P16" s="8">
        <f t="shared" si="19"/>
        <v>4.8780384385069212E-3</v>
      </c>
      <c r="Q16" s="8">
        <f t="shared" si="20"/>
        <v>4.9598396510694993E-3</v>
      </c>
      <c r="R16" s="9">
        <f t="shared" si="21"/>
        <v>1.6769284127989757E-2</v>
      </c>
      <c r="S16" s="7">
        <f t="shared" si="22"/>
        <v>9.9597586828893601</v>
      </c>
      <c r="T16" s="3">
        <f t="shared" si="23"/>
        <v>49.490138977871972</v>
      </c>
      <c r="U16" s="7">
        <f t="shared" ref="U16:U17" si="24">E16*N16</f>
        <v>50.105000000000004</v>
      </c>
      <c r="V16" s="7">
        <f>F16*N16</f>
        <v>50.105000000000004</v>
      </c>
      <c r="W16" s="7">
        <f t="shared" ref="W16:W17" si="25">G16*N16</f>
        <v>50.105000000000004</v>
      </c>
      <c r="X16" s="3">
        <f t="shared" si="8"/>
        <v>12.526250000000001</v>
      </c>
    </row>
    <row r="17" spans="1:24" x14ac:dyDescent="0.35">
      <c r="A17" t="s">
        <v>128</v>
      </c>
      <c r="B17" s="4">
        <v>40582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 t="shared" si="18"/>
        <v>12.121212121212121</v>
      </c>
      <c r="N17" s="11">
        <v>1002.1</v>
      </c>
      <c r="O17" s="7">
        <v>1004.27068518261</v>
      </c>
      <c r="P17" s="8">
        <f t="shared" si="19"/>
        <v>4.8780384385069212E-3</v>
      </c>
      <c r="Q17" s="8">
        <f t="shared" si="20"/>
        <v>4.8991943192113327E-3</v>
      </c>
      <c r="R17" s="9">
        <f t="shared" si="21"/>
        <v>4.3369647392296632E-3</v>
      </c>
      <c r="S17" s="7">
        <f t="shared" si="22"/>
        <v>9.898681042655463</v>
      </c>
      <c r="T17" s="3">
        <f t="shared" si="23"/>
        <v>49.490138977871972</v>
      </c>
      <c r="U17" s="7">
        <f t="shared" si="24"/>
        <v>33.069300000000005</v>
      </c>
      <c r="V17" s="7">
        <f>F17*N17</f>
        <v>33.069300000000005</v>
      </c>
      <c r="W17" s="7">
        <f t="shared" si="25"/>
        <v>33.069300000000005</v>
      </c>
      <c r="X17" s="3">
        <f t="shared" si="8"/>
        <v>8.2673250000000014</v>
      </c>
    </row>
    <row r="18" spans="1:24" x14ac:dyDescent="0.35">
      <c r="U18" s="7"/>
      <c r="V18" s="7"/>
      <c r="W18" s="7"/>
      <c r="X18" s="3"/>
    </row>
    <row r="19" spans="1:24" x14ac:dyDescent="0.35">
      <c r="V19" s="7"/>
    </row>
    <row r="20" spans="1:24" x14ac:dyDescent="0.35">
      <c r="A20" t="s">
        <v>138</v>
      </c>
      <c r="B20" s="4">
        <v>40582</v>
      </c>
      <c r="C20" s="4" t="s">
        <v>35</v>
      </c>
      <c r="D20" s="4" t="s">
        <v>151</v>
      </c>
      <c r="E20" s="17">
        <f>12.8/328</f>
        <v>3.9024390243902439E-2</v>
      </c>
      <c r="F20" s="20">
        <f>4.8/256</f>
        <v>1.8749999999999999E-2</v>
      </c>
      <c r="G20" s="19">
        <v>2.5850689999999999E-2</v>
      </c>
      <c r="H20" s="16">
        <v>7.0517210000000004E-4</v>
      </c>
      <c r="I20" s="18">
        <f>E20/F20</f>
        <v>2.0813008130081303</v>
      </c>
      <c r="J20" s="4" t="s">
        <v>153</v>
      </c>
      <c r="K20" s="4" t="s">
        <v>24</v>
      </c>
      <c r="L20" s="4" t="s">
        <v>152</v>
      </c>
      <c r="M20" s="18" t="s">
        <v>152</v>
      </c>
      <c r="N20" s="11">
        <v>1002.1</v>
      </c>
      <c r="O20" s="7">
        <v>1060.5001774294601</v>
      </c>
      <c r="P20" s="8">
        <f>8*(N20/B20)^2</f>
        <v>4.8780384385069212E-3</v>
      </c>
      <c r="Q20" s="8">
        <f>8*(O20/B20)^2</f>
        <v>5.4631683657940158E-3</v>
      </c>
      <c r="R20" s="9">
        <f>(Q20-P20)/P20</f>
        <v>0.11995188940458455</v>
      </c>
      <c r="S20" s="7">
        <f>200*O20/B20</f>
        <v>5.2264559530307038</v>
      </c>
      <c r="T20" s="3">
        <f>B20/4*P20</f>
        <v>49.490138977871972</v>
      </c>
      <c r="U20" s="7">
        <f t="shared" ref="U20" si="26">E20*N20</f>
        <v>39.106341463414637</v>
      </c>
      <c r="V20" s="7">
        <f t="shared" ref="V20" si="27">F20*N20</f>
        <v>18.789375</v>
      </c>
      <c r="W20" s="7">
        <f t="shared" ref="W20" si="28">G20*N20</f>
        <v>25.904976448999999</v>
      </c>
      <c r="X20" s="3">
        <f t="shared" ref="X20" si="29">H20*N20</f>
        <v>0.70665296141</v>
      </c>
    </row>
    <row r="21" spans="1:24" x14ac:dyDescent="0.35">
      <c r="U21" s="7"/>
      <c r="V21" s="7"/>
      <c r="W21" s="7"/>
      <c r="X21" s="3"/>
    </row>
    <row r="22" spans="1:24" x14ac:dyDescent="0.35">
      <c r="A22" t="s">
        <v>138</v>
      </c>
      <c r="B22" s="4">
        <v>40582</v>
      </c>
      <c r="C22" s="4" t="s">
        <v>167</v>
      </c>
      <c r="D22" s="4" t="s">
        <v>170</v>
      </c>
      <c r="E22" s="17">
        <f>6.28/64</f>
        <v>9.8125000000000004E-2</v>
      </c>
      <c r="F22" s="20">
        <f>2.355/64</f>
        <v>3.6796875E-2</v>
      </c>
      <c r="G22" s="19">
        <v>4.5993239999999998E-2</v>
      </c>
      <c r="H22" s="16">
        <v>2.54053E-3</v>
      </c>
      <c r="I22" s="18">
        <f>E22/F22</f>
        <v>2.666666666666667</v>
      </c>
      <c r="J22" s="4" t="s">
        <v>168</v>
      </c>
      <c r="K22" s="4" t="s">
        <v>24</v>
      </c>
      <c r="L22" s="4" t="s">
        <v>152</v>
      </c>
      <c r="M22" s="18" t="s">
        <v>152</v>
      </c>
      <c r="N22" s="11">
        <v>1002.1</v>
      </c>
      <c r="O22" s="7">
        <v>1035.8173676768899</v>
      </c>
      <c r="P22" s="8">
        <f>8*(N22/B22)^2</f>
        <v>4.8780384385069212E-3</v>
      </c>
      <c r="Q22" s="8">
        <f>8*(O22/B22)^2</f>
        <v>5.2118207564101869E-3</v>
      </c>
      <c r="R22" s="9">
        <f>(Q22-P22)/P22</f>
        <v>6.8425520239531037E-2</v>
      </c>
      <c r="S22" s="7">
        <f>200*O22/B22</f>
        <v>5.1048118263116162</v>
      </c>
      <c r="T22" s="3">
        <f>B22/4*P22</f>
        <v>49.490138977871972</v>
      </c>
      <c r="U22" s="7">
        <f>E22*N22</f>
        <v>98.331062500000002</v>
      </c>
      <c r="V22" s="7">
        <f>F22*N22</f>
        <v>36.874148437499997</v>
      </c>
      <c r="W22" s="7">
        <f>G22*N22</f>
        <v>46.089825804</v>
      </c>
      <c r="X22" s="3">
        <f>H22*N22</f>
        <v>2.5458651130000001</v>
      </c>
    </row>
    <row r="23" spans="1:24" x14ac:dyDescent="0.35">
      <c r="A23" t="s">
        <v>173</v>
      </c>
      <c r="B23" s="4">
        <v>40582</v>
      </c>
      <c r="C23" s="4" t="s">
        <v>167</v>
      </c>
      <c r="D23" s="4" t="s">
        <v>170</v>
      </c>
      <c r="E23" s="17">
        <f>6.28/64</f>
        <v>9.8125000000000004E-2</v>
      </c>
      <c r="F23" s="20">
        <f>2.355/64</f>
        <v>3.6796875E-2</v>
      </c>
      <c r="G23" s="19">
        <v>4.5993239999999998E-2</v>
      </c>
      <c r="H23" s="16">
        <v>2.54053E-3</v>
      </c>
      <c r="I23" s="18">
        <f>E23/F23</f>
        <v>2.666666666666667</v>
      </c>
      <c r="J23" s="4" t="s">
        <v>168</v>
      </c>
      <c r="K23" s="4" t="s">
        <v>24</v>
      </c>
      <c r="L23" s="4" t="s">
        <v>152</v>
      </c>
      <c r="M23" s="18" t="s">
        <v>152</v>
      </c>
      <c r="N23" s="11">
        <v>1002.1</v>
      </c>
      <c r="O23" s="7">
        <v>1044.4499296860199</v>
      </c>
      <c r="P23" s="8">
        <f>8*(N23/B23)^2</f>
        <v>4.8780384385069212E-3</v>
      </c>
      <c r="Q23" s="8">
        <f>8*(O23/B23)^2</f>
        <v>5.2990539841896531E-3</v>
      </c>
      <c r="R23" s="9">
        <f>(Q23-P23)/P23</f>
        <v>8.6308369847859806E-2</v>
      </c>
      <c r="S23" s="7">
        <f>200*O23/B23</f>
        <v>5.1473556240994522</v>
      </c>
      <c r="T23" s="3">
        <f>B23/4*P23</f>
        <v>49.490138977871972</v>
      </c>
      <c r="U23" s="7">
        <f>E23*N23</f>
        <v>98.331062500000002</v>
      </c>
      <c r="V23" s="7">
        <f>F23*N23</f>
        <v>36.874148437499997</v>
      </c>
      <c r="W23" s="7">
        <f>G23*N23</f>
        <v>46.089825804</v>
      </c>
      <c r="X23" s="3">
        <f>H23*N23</f>
        <v>2.5458651130000001</v>
      </c>
    </row>
    <row r="24" spans="1:24" x14ac:dyDescent="0.35">
      <c r="A24" t="s">
        <v>172</v>
      </c>
      <c r="B24" s="4">
        <v>40582</v>
      </c>
      <c r="C24" s="4" t="s">
        <v>167</v>
      </c>
      <c r="D24" s="4" t="s">
        <v>170</v>
      </c>
      <c r="E24" s="17">
        <f>6.28/64</f>
        <v>9.8125000000000004E-2</v>
      </c>
      <c r="F24" s="20">
        <f>2.355/64</f>
        <v>3.6796875E-2</v>
      </c>
      <c r="G24" s="19">
        <v>4.5993239999999998E-2</v>
      </c>
      <c r="H24" s="16">
        <v>2.54053E-3</v>
      </c>
      <c r="I24" s="18">
        <f>E24/F24</f>
        <v>2.666666666666667</v>
      </c>
      <c r="J24" s="4" t="s">
        <v>168</v>
      </c>
      <c r="K24" s="4" t="s">
        <v>24</v>
      </c>
      <c r="L24" s="4" t="s">
        <v>152</v>
      </c>
      <c r="M24" s="18" t="s">
        <v>152</v>
      </c>
      <c r="N24" s="11">
        <v>1002.1</v>
      </c>
      <c r="O24" s="7">
        <v>1038.51875727117</v>
      </c>
      <c r="P24" s="8">
        <f>8*(N24/B24)^2</f>
        <v>4.8780384385069212E-3</v>
      </c>
      <c r="Q24" s="8">
        <f>8*(O24/B24)^2</f>
        <v>5.23904083954615E-3</v>
      </c>
      <c r="R24" s="9">
        <f>(Q24-P24)/P24</f>
        <v>7.4005649112868624E-2</v>
      </c>
      <c r="S24" s="7">
        <f>200*O24/B24</f>
        <v>5.1181250666362921</v>
      </c>
      <c r="T24" s="3">
        <f>B24/4*P24</f>
        <v>49.490138977871972</v>
      </c>
      <c r="U24" s="7">
        <f>E24*N24</f>
        <v>98.331062500000002</v>
      </c>
      <c r="V24" s="7">
        <f>F24*N24</f>
        <v>36.874148437499997</v>
      </c>
      <c r="W24" s="7">
        <f>G24*N24</f>
        <v>46.089825804</v>
      </c>
      <c r="X24" s="3">
        <f>H24*N24</f>
        <v>2.5458651130000001</v>
      </c>
    </row>
    <row r="25" spans="1:24" x14ac:dyDescent="0.35">
      <c r="A25" t="s">
        <v>171</v>
      </c>
      <c r="B25" s="4">
        <v>40582</v>
      </c>
      <c r="C25" s="4" t="s">
        <v>167</v>
      </c>
      <c r="D25" s="4" t="s">
        <v>170</v>
      </c>
      <c r="E25" s="17">
        <f>6.28/64</f>
        <v>9.8125000000000004E-2</v>
      </c>
      <c r="F25" s="20">
        <f>2.355/64</f>
        <v>3.6796875E-2</v>
      </c>
      <c r="G25" s="19">
        <v>4.5993239999999998E-2</v>
      </c>
      <c r="H25" s="16">
        <v>2.54053E-3</v>
      </c>
      <c r="I25" s="18">
        <f>E25/F25</f>
        <v>2.666666666666667</v>
      </c>
      <c r="J25" s="4" t="s">
        <v>168</v>
      </c>
      <c r="K25" s="4" t="s">
        <v>24</v>
      </c>
      <c r="L25" s="4" t="s">
        <v>152</v>
      </c>
      <c r="M25" s="18" t="s">
        <v>152</v>
      </c>
      <c r="N25" s="11">
        <v>1002.1</v>
      </c>
      <c r="O25" s="7">
        <v>1012.28640520007</v>
      </c>
      <c r="P25" s="8">
        <f>8*(N25/B25)^2</f>
        <v>4.8780384385069212E-3</v>
      </c>
      <c r="Q25" s="8">
        <f>8*(O25/B25)^2</f>
        <v>4.9777135714284782E-3</v>
      </c>
      <c r="R25" s="9">
        <f>(Q25-P25)/P25</f>
        <v>2.0433445569991403E-2</v>
      </c>
      <c r="S25" s="7">
        <f>200*O25/B25</f>
        <v>4.9888443408411121</v>
      </c>
      <c r="T25" s="3">
        <f>B25/4*P25</f>
        <v>49.490138977871972</v>
      </c>
      <c r="U25" s="7">
        <f t="shared" ref="U25" si="30">E25*N25</f>
        <v>98.331062500000002</v>
      </c>
      <c r="V25" s="7">
        <f t="shared" ref="V25" si="31">F25*N25</f>
        <v>36.874148437499997</v>
      </c>
      <c r="W25" s="7">
        <f t="shared" ref="W25" si="32">G25*N25</f>
        <v>46.089825804</v>
      </c>
      <c r="X25" s="3">
        <f t="shared" ref="X25" si="33">H25*N25</f>
        <v>2.5458651130000001</v>
      </c>
    </row>
    <row r="28" spans="1:24" x14ac:dyDescent="0.35">
      <c r="A28" s="21" t="s">
        <v>157</v>
      </c>
      <c r="B28" s="22">
        <v>40582</v>
      </c>
      <c r="C28" s="22" t="s">
        <v>154</v>
      </c>
      <c r="D28" s="22" t="s">
        <v>197</v>
      </c>
      <c r="E28" s="23">
        <f>6.4/192</f>
        <v>3.3333333333333333E-2</v>
      </c>
      <c r="F28" s="24">
        <f>2.4/128</f>
        <v>1.8749999999999999E-2</v>
      </c>
      <c r="G28" s="32">
        <v>3.9572349999999999E-2</v>
      </c>
      <c r="H28" s="33">
        <v>1.094476E-3</v>
      </c>
      <c r="I28" s="26">
        <f>E28/F28</f>
        <v>1.7777777777777779</v>
      </c>
      <c r="J28" s="22" t="s">
        <v>153</v>
      </c>
      <c r="K28" s="22" t="s">
        <v>24</v>
      </c>
      <c r="L28" s="22" t="s">
        <v>152</v>
      </c>
      <c r="M28" s="26" t="s">
        <v>152</v>
      </c>
      <c r="N28" s="27">
        <v>1002.1</v>
      </c>
      <c r="O28" s="30">
        <v>1046.19877557157</v>
      </c>
      <c r="P28" s="28">
        <f>8*(N28/B28)^2</f>
        <v>4.8780384385069212E-3</v>
      </c>
      <c r="Q28" s="28">
        <f>8*(O28/B28)^2</f>
        <v>5.3168145050184754E-3</v>
      </c>
      <c r="R28" s="29">
        <f>(Q28-P28)/P28</f>
        <v>8.9949284336893323E-2</v>
      </c>
      <c r="S28" s="30">
        <f>200*O28/B28</f>
        <v>5.1559744496159379</v>
      </c>
      <c r="T28" s="31">
        <f>B28/4*P28</f>
        <v>49.490138977871972</v>
      </c>
      <c r="U28" s="30">
        <f>E28*N28</f>
        <v>33.403333333333336</v>
      </c>
      <c r="V28" s="30">
        <f>F28*N28</f>
        <v>18.789375</v>
      </c>
      <c r="W28" s="30">
        <f>G28*N28</f>
        <v>39.655451935000002</v>
      </c>
      <c r="X28" s="31">
        <f>H28*N28</f>
        <v>1.0967743996000001</v>
      </c>
    </row>
    <row r="29" spans="1:24" x14ac:dyDescent="0.35">
      <c r="A29" s="21" t="s">
        <v>157</v>
      </c>
      <c r="B29" s="22">
        <v>40582</v>
      </c>
      <c r="C29" s="22" t="s">
        <v>154</v>
      </c>
      <c r="D29" s="22" t="s">
        <v>198</v>
      </c>
      <c r="E29" s="23">
        <f>6.4/192</f>
        <v>3.3333333333333333E-2</v>
      </c>
      <c r="F29" s="24">
        <f>2.4/128</f>
        <v>1.8749999999999999E-2</v>
      </c>
      <c r="G29" s="32">
        <v>1.9793720000000001E-2</v>
      </c>
      <c r="H29" s="33">
        <v>5.3669989999999995E-4</v>
      </c>
      <c r="I29" s="26">
        <f>E29/F29</f>
        <v>1.7777777777777779</v>
      </c>
      <c r="J29" s="22" t="s">
        <v>153</v>
      </c>
      <c r="K29" s="22" t="s">
        <v>24</v>
      </c>
      <c r="L29" s="22" t="s">
        <v>152</v>
      </c>
      <c r="M29" s="26" t="s">
        <v>152</v>
      </c>
      <c r="N29" s="27">
        <v>1002.1</v>
      </c>
      <c r="O29" s="30">
        <v>1055.9983617119799</v>
      </c>
      <c r="P29" s="28">
        <f>8*(N29/B29)^2</f>
        <v>4.8780384385069212E-3</v>
      </c>
      <c r="Q29" s="28">
        <f>8*(O29/B29)^2</f>
        <v>5.4168845901097955E-3</v>
      </c>
      <c r="R29" s="29">
        <f>(Q29-P29)/P29</f>
        <v>0.11046369527334132</v>
      </c>
      <c r="S29" s="30">
        <f>200*O29/B29</f>
        <v>5.2042696846482679</v>
      </c>
      <c r="T29" s="31">
        <f>B29/4*P29</f>
        <v>49.490138977871972</v>
      </c>
      <c r="U29" s="30">
        <f>E29*N29</f>
        <v>33.403333333333336</v>
      </c>
      <c r="V29" s="30">
        <f>F29*N29</f>
        <v>18.789375</v>
      </c>
      <c r="W29" s="30">
        <f>G29*N29</f>
        <v>19.835286812</v>
      </c>
      <c r="X29" s="31">
        <f>H29*N29</f>
        <v>0.53782696979</v>
      </c>
    </row>
    <row r="30" spans="1:24" x14ac:dyDescent="0.35">
      <c r="A30" s="21" t="s">
        <v>188</v>
      </c>
      <c r="B30" s="22">
        <v>40582</v>
      </c>
      <c r="C30" s="22" t="s">
        <v>154</v>
      </c>
      <c r="D30" s="22" t="s">
        <v>197</v>
      </c>
      <c r="E30" s="23">
        <f>6.4/192</f>
        <v>3.3333333333333333E-2</v>
      </c>
      <c r="F30" s="24">
        <f>2.4/128</f>
        <v>1.8749999999999999E-2</v>
      </c>
      <c r="G30" s="32">
        <v>3.9572349999999999E-2</v>
      </c>
      <c r="H30" s="33">
        <v>1.094476E-3</v>
      </c>
      <c r="I30" s="26">
        <f>E30/F30</f>
        <v>1.7777777777777779</v>
      </c>
      <c r="J30" s="22" t="s">
        <v>153</v>
      </c>
      <c r="K30" s="22" t="s">
        <v>24</v>
      </c>
      <c r="L30" s="22" t="s">
        <v>152</v>
      </c>
      <c r="M30" s="26" t="s">
        <v>152</v>
      </c>
      <c r="N30" s="27">
        <v>1002.1</v>
      </c>
      <c r="O30" s="30">
        <v>1000.97649385535</v>
      </c>
      <c r="P30" s="28">
        <f>8*(N30/B30)^2</f>
        <v>4.8780384385069212E-3</v>
      </c>
      <c r="Q30" s="28">
        <f>8*(O30/B30)^2</f>
        <v>4.8671065276795957E-3</v>
      </c>
      <c r="R30" s="29">
        <f>(Q30-P30)/P30</f>
        <v>-2.2410464708579789E-3</v>
      </c>
      <c r="S30" s="30">
        <f>200*O30/B30</f>
        <v>4.9331057801752003</v>
      </c>
      <c r="T30" s="31">
        <f>B30/4*P30</f>
        <v>49.490138977871972</v>
      </c>
      <c r="U30" s="30">
        <f>E30*N30</f>
        <v>33.403333333333336</v>
      </c>
      <c r="V30" s="30">
        <f>F30*N30</f>
        <v>18.789375</v>
      </c>
      <c r="W30" s="30">
        <f>G30*N30</f>
        <v>39.655451935000002</v>
      </c>
      <c r="X30" s="31">
        <f>H30*N30</f>
        <v>1.0967743996000001</v>
      </c>
    </row>
    <row r="31" spans="1:24" x14ac:dyDescent="0.35">
      <c r="A31" s="21" t="s">
        <v>188</v>
      </c>
      <c r="B31" s="22">
        <v>40582</v>
      </c>
      <c r="C31" s="22" t="s">
        <v>154</v>
      </c>
      <c r="D31" s="22" t="s">
        <v>198</v>
      </c>
      <c r="E31" s="23">
        <f>6.4/192</f>
        <v>3.3333333333333333E-2</v>
      </c>
      <c r="F31" s="24">
        <f>2.4/128</f>
        <v>1.8749999999999999E-2</v>
      </c>
      <c r="G31" s="32">
        <v>1.9793720000000001E-2</v>
      </c>
      <c r="H31" s="33">
        <v>5.3669989999999995E-4</v>
      </c>
      <c r="I31" s="26">
        <f>E31/F31</f>
        <v>1.7777777777777779</v>
      </c>
      <c r="J31" s="22" t="s">
        <v>153</v>
      </c>
      <c r="K31" s="22" t="s">
        <v>24</v>
      </c>
      <c r="L31" s="22" t="s">
        <v>152</v>
      </c>
      <c r="M31" s="26" t="s">
        <v>152</v>
      </c>
      <c r="N31" s="27">
        <v>1002.1</v>
      </c>
      <c r="O31" s="30">
        <v>1005.32545830855</v>
      </c>
      <c r="P31" s="28">
        <f>8*(N31/B31)^2</f>
        <v>4.8780384385069212E-3</v>
      </c>
      <c r="Q31" s="28">
        <f>8*(O31/B31)^2</f>
        <v>4.9094908503835646E-3</v>
      </c>
      <c r="R31" s="29">
        <f>(Q31-P31)/P31</f>
        <v>6.447758104643069E-3</v>
      </c>
      <c r="S31" s="30">
        <f>200*O31/B31</f>
        <v>4.9545387526910947</v>
      </c>
      <c r="T31" s="31">
        <f>B31/4*P31</f>
        <v>49.490138977871972</v>
      </c>
      <c r="U31" s="30">
        <f>E31*N31</f>
        <v>33.403333333333336</v>
      </c>
      <c r="V31" s="30">
        <f>F31*N31</f>
        <v>18.789375</v>
      </c>
      <c r="W31" s="30">
        <f>G31*N31</f>
        <v>19.835286812</v>
      </c>
      <c r="X31" s="31">
        <f>H31*N31</f>
        <v>0.53782696979</v>
      </c>
    </row>
    <row r="35" spans="1:24" x14ac:dyDescent="0.35">
      <c r="A35" t="s">
        <v>188</v>
      </c>
      <c r="B35" s="4">
        <v>40582</v>
      </c>
      <c r="C35" s="4" t="s">
        <v>154</v>
      </c>
      <c r="D35" s="4" t="s">
        <v>170</v>
      </c>
      <c r="E35" s="17">
        <f>6.4/64</f>
        <v>0.1</v>
      </c>
      <c r="F35" s="20">
        <f>2.4/64</f>
        <v>3.7499999999999999E-2</v>
      </c>
      <c r="G35" s="19">
        <v>5.2742379999999998E-2</v>
      </c>
      <c r="H35" s="16">
        <v>1.478437E-3</v>
      </c>
      <c r="I35" s="18">
        <f>E35/F35</f>
        <v>2.666666666666667</v>
      </c>
      <c r="J35" s="4" t="s">
        <v>153</v>
      </c>
      <c r="K35" s="4" t="s">
        <v>24</v>
      </c>
      <c r="L35" s="4" t="s">
        <v>152</v>
      </c>
      <c r="M35" s="18" t="s">
        <v>152</v>
      </c>
      <c r="N35" s="11">
        <v>1002.1</v>
      </c>
      <c r="O35" s="7">
        <v>961.50195851806302</v>
      </c>
      <c r="P35" s="8">
        <f>8*(N35/B35)^2</f>
        <v>4.8780384385069212E-3</v>
      </c>
      <c r="Q35" s="8">
        <f>8*(O35/B35)^2</f>
        <v>4.4907971705202242E-3</v>
      </c>
      <c r="R35" s="9">
        <f>(Q35-P35)/P35</f>
        <v>-7.9384628241105981E-2</v>
      </c>
      <c r="S35" s="7">
        <f>200*O35/B35</f>
        <v>4.7385636908878963</v>
      </c>
      <c r="T35" s="3">
        <f>B35/4*P35</f>
        <v>49.490138977871972</v>
      </c>
      <c r="U35" s="7">
        <f>E35*N35</f>
        <v>100.21000000000001</v>
      </c>
      <c r="V35" s="7">
        <f>F35*N35</f>
        <v>37.578749999999999</v>
      </c>
      <c r="W35" s="7">
        <f>G35*N35</f>
        <v>52.853138997999999</v>
      </c>
      <c r="X35" s="3">
        <f>H35*N35</f>
        <v>1.4815417177000001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134"/>
  <sheetViews>
    <sheetView tabSelected="1" topLeftCell="A61" zoomScale="55" zoomScaleNormal="55" workbookViewId="0">
      <selection activeCell="O125" sqref="O125"/>
    </sheetView>
  </sheetViews>
  <sheetFormatPr defaultRowHeight="14.5" x14ac:dyDescent="0.35"/>
  <cols>
    <col min="1" max="1" width="29.5429687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48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115</v>
      </c>
      <c r="B2" s="4">
        <v>250000</v>
      </c>
      <c r="C2" s="4" t="s">
        <v>35</v>
      </c>
      <c r="D2" s="4" t="s">
        <v>37</v>
      </c>
      <c r="E2" s="4">
        <v>0.1</v>
      </c>
      <c r="F2" s="4">
        <v>0.1</v>
      </c>
      <c r="G2">
        <f>F2</f>
        <v>0.1</v>
      </c>
      <c r="H2" s="4">
        <f>0.25*G2</f>
        <v>2.5000000000000001E-2</v>
      </c>
      <c r="I2" s="4">
        <v>1</v>
      </c>
      <c r="J2" s="4" t="s">
        <v>36</v>
      </c>
      <c r="K2" s="4" t="s">
        <v>24</v>
      </c>
      <c r="L2">
        <v>0.1</v>
      </c>
      <c r="M2" s="7">
        <f>L2/H2</f>
        <v>4</v>
      </c>
      <c r="N2" s="7">
        <v>5185.8969999999999</v>
      </c>
      <c r="O2">
        <v>5587</v>
      </c>
      <c r="P2">
        <f>8*(N2/B2)^2</f>
        <v>3.4423715449099523E-3</v>
      </c>
      <c r="Q2" s="8">
        <f>8*(O2/B2)^2</f>
        <v>3.9954648319999999E-3</v>
      </c>
      <c r="R2" s="9">
        <f>(Q2-P2)/P2</f>
        <v>0.16067216448726362</v>
      </c>
      <c r="S2" s="7">
        <f>100*2*O2/B2</f>
        <v>4.4695999999999998</v>
      </c>
      <c r="T2" s="3">
        <f>B2/4*P2</f>
        <v>215.14822155687202</v>
      </c>
      <c r="U2" s="7">
        <f>E2*N2</f>
        <v>518.58969999999999</v>
      </c>
      <c r="V2" s="7">
        <f>F2*O2</f>
        <v>558.70000000000005</v>
      </c>
      <c r="W2" s="7">
        <f>G2*N2</f>
        <v>518.58969999999999</v>
      </c>
      <c r="X2" s="3">
        <f>H2*N2</f>
        <v>129.647425</v>
      </c>
    </row>
    <row r="3" spans="1:24" x14ac:dyDescent="0.35">
      <c r="A3" t="s">
        <v>115</v>
      </c>
      <c r="B3" s="4">
        <v>250000</v>
      </c>
      <c r="C3" s="4" t="s">
        <v>35</v>
      </c>
      <c r="D3" s="4" t="s">
        <v>39</v>
      </c>
      <c r="E3" s="4">
        <v>6.7000000000000004E-2</v>
      </c>
      <c r="F3" s="4">
        <v>6.7000000000000004E-2</v>
      </c>
      <c r="G3">
        <f>F3</f>
        <v>6.7000000000000004E-2</v>
      </c>
      <c r="H3" s="4">
        <f>0.25*G3</f>
        <v>1.6750000000000001E-2</v>
      </c>
      <c r="I3" s="4">
        <v>1</v>
      </c>
      <c r="J3" s="4" t="s">
        <v>36</v>
      </c>
      <c r="K3" s="4" t="s">
        <v>24</v>
      </c>
      <c r="L3">
        <v>0.1</v>
      </c>
      <c r="M3" s="7">
        <f>L3/H3</f>
        <v>5.9701492537313436</v>
      </c>
      <c r="N3" s="7">
        <v>5185.8969999999999</v>
      </c>
      <c r="O3">
        <v>4998</v>
      </c>
      <c r="P3">
        <f>8*(N3/B3)^2</f>
        <v>3.4423715449099523E-3</v>
      </c>
      <c r="Q3" s="8">
        <f t="shared" ref="Q3:Q5" si="0">8*(O3/B3)^2</f>
        <v>3.1974405119999999E-3</v>
      </c>
      <c r="R3" s="9">
        <f t="shared" ref="R3:R5" si="1">(Q3-P3)/P3</f>
        <v>-7.1151829404387981E-2</v>
      </c>
      <c r="S3" s="7">
        <f t="shared" ref="S3:S5" si="2">100*2*O3/B3</f>
        <v>3.9984000000000002</v>
      </c>
      <c r="T3" s="3">
        <f t="shared" ref="T3:T5" si="3">B3/4*P3</f>
        <v>215.14822155687202</v>
      </c>
      <c r="U3" s="7">
        <f t="shared" ref="U3:U29" si="4">E3*N3</f>
        <v>347.45509900000002</v>
      </c>
      <c r="V3" s="7">
        <f t="shared" ref="V3:V29" si="5">F3*O3</f>
        <v>334.86600000000004</v>
      </c>
      <c r="W3" s="7">
        <f t="shared" ref="W3:W29" si="6">G3*N3</f>
        <v>347.45509900000002</v>
      </c>
      <c r="X3" s="3">
        <f t="shared" ref="X3:X29" si="7">H3*N3</f>
        <v>86.863774750000005</v>
      </c>
    </row>
    <row r="4" spans="1:24" x14ac:dyDescent="0.35">
      <c r="A4" t="s">
        <v>115</v>
      </c>
      <c r="B4" s="4">
        <v>250000</v>
      </c>
      <c r="C4" s="4" t="s">
        <v>35</v>
      </c>
      <c r="D4" s="4" t="s">
        <v>40</v>
      </c>
      <c r="E4" s="4">
        <v>0.05</v>
      </c>
      <c r="F4" s="4">
        <v>0.05</v>
      </c>
      <c r="G4">
        <f>F4</f>
        <v>0.05</v>
      </c>
      <c r="H4" s="4">
        <f>0.25*G4</f>
        <v>1.2500000000000001E-2</v>
      </c>
      <c r="I4" s="4">
        <v>1</v>
      </c>
      <c r="J4" s="4" t="s">
        <v>36</v>
      </c>
      <c r="K4" s="4" t="s">
        <v>24</v>
      </c>
      <c r="L4">
        <v>0.1</v>
      </c>
      <c r="M4" s="7">
        <f>L4/H4</f>
        <v>8</v>
      </c>
      <c r="N4" s="7">
        <v>5185.8969999999999</v>
      </c>
      <c r="O4">
        <v>4673</v>
      </c>
      <c r="P4">
        <f>8*(N4/B4)^2</f>
        <v>3.4423715449099523E-3</v>
      </c>
      <c r="Q4" s="8">
        <f t="shared" si="0"/>
        <v>2.795126912E-3</v>
      </c>
      <c r="R4" s="9">
        <f t="shared" si="1"/>
        <v>-0.18802288610216922</v>
      </c>
      <c r="S4" s="7">
        <f t="shared" si="2"/>
        <v>3.7383999999999999</v>
      </c>
      <c r="T4" s="3">
        <f t="shared" si="3"/>
        <v>215.14822155687202</v>
      </c>
      <c r="U4" s="7">
        <f t="shared" si="4"/>
        <v>259.29485</v>
      </c>
      <c r="V4" s="7">
        <f t="shared" si="5"/>
        <v>233.65</v>
      </c>
      <c r="W4" s="7">
        <f t="shared" si="6"/>
        <v>259.29485</v>
      </c>
      <c r="X4" s="3">
        <f t="shared" si="7"/>
        <v>64.823712499999999</v>
      </c>
    </row>
    <row r="5" spans="1:24" x14ac:dyDescent="0.35">
      <c r="A5" t="s">
        <v>115</v>
      </c>
      <c r="B5" s="4">
        <v>250000</v>
      </c>
      <c r="C5" s="4" t="s">
        <v>35</v>
      </c>
      <c r="D5" s="4" t="s">
        <v>41</v>
      </c>
      <c r="E5" s="4">
        <v>3.3000000000000002E-2</v>
      </c>
      <c r="F5" s="4">
        <v>3.3000000000000002E-2</v>
      </c>
      <c r="G5">
        <f>F5</f>
        <v>3.3000000000000002E-2</v>
      </c>
      <c r="H5" s="4">
        <f>0.25*G5</f>
        <v>8.2500000000000004E-3</v>
      </c>
      <c r="I5" s="4">
        <v>1</v>
      </c>
      <c r="J5" s="4" t="s">
        <v>36</v>
      </c>
      <c r="K5" s="4" t="s">
        <v>24</v>
      </c>
      <c r="L5">
        <v>0.1</v>
      </c>
      <c r="M5" s="7">
        <f>L5/H5</f>
        <v>12.121212121212121</v>
      </c>
      <c r="N5" s="7">
        <v>5185.8969999999999</v>
      </c>
      <c r="O5">
        <v>5040</v>
      </c>
      <c r="P5">
        <f>8*(N5/B5)^2</f>
        <v>3.4423715449099523E-3</v>
      </c>
      <c r="Q5" s="8">
        <f t="shared" si="0"/>
        <v>3.2514048000000001E-3</v>
      </c>
      <c r="R5" s="9">
        <f t="shared" si="1"/>
        <v>-5.5475343790917724E-2</v>
      </c>
      <c r="S5" s="7">
        <f t="shared" si="2"/>
        <v>4.032</v>
      </c>
      <c r="T5" s="3">
        <f t="shared" si="3"/>
        <v>215.14822155687202</v>
      </c>
      <c r="U5" s="7">
        <f t="shared" si="4"/>
        <v>171.134601</v>
      </c>
      <c r="V5" s="7">
        <f t="shared" si="5"/>
        <v>166.32000000000002</v>
      </c>
      <c r="W5" s="7">
        <f t="shared" si="6"/>
        <v>171.134601</v>
      </c>
      <c r="X5" s="3">
        <f t="shared" si="7"/>
        <v>42.783650250000001</v>
      </c>
    </row>
    <row r="6" spans="1:24" x14ac:dyDescent="0.35">
      <c r="A6" s="4"/>
      <c r="B6" s="4"/>
      <c r="C6" s="4"/>
      <c r="D6" s="4"/>
      <c r="E6" s="4"/>
      <c r="G6" s="4"/>
      <c r="H6" s="4"/>
      <c r="I6" s="4"/>
      <c r="J6" s="4"/>
      <c r="L6" s="7"/>
      <c r="M6" s="7"/>
      <c r="P6" s="3"/>
      <c r="T6" s="5"/>
      <c r="U6" s="7"/>
      <c r="V6" s="7"/>
      <c r="W6" s="7"/>
      <c r="X6" s="3"/>
    </row>
    <row r="7" spans="1:24" x14ac:dyDescent="0.35">
      <c r="T7" s="5"/>
      <c r="U7" s="7"/>
      <c r="V7" s="7"/>
      <c r="W7" s="7"/>
      <c r="X7" s="3"/>
    </row>
    <row r="8" spans="1:24" x14ac:dyDescent="0.35">
      <c r="A8" t="s">
        <v>116</v>
      </c>
      <c r="B8" s="4">
        <v>250000</v>
      </c>
      <c r="C8" s="4" t="s">
        <v>35</v>
      </c>
      <c r="D8" s="4" t="s">
        <v>37</v>
      </c>
      <c r="E8" s="4">
        <v>0.1</v>
      </c>
      <c r="F8" s="4">
        <v>0.1</v>
      </c>
      <c r="G8">
        <f>F8</f>
        <v>0.1</v>
      </c>
      <c r="H8" s="4">
        <f>0.25*G8</f>
        <v>2.5000000000000001E-2</v>
      </c>
      <c r="I8" s="4">
        <v>1</v>
      </c>
      <c r="J8" s="4" t="s">
        <v>36</v>
      </c>
      <c r="K8" s="4" t="s">
        <v>24</v>
      </c>
      <c r="L8">
        <v>0.1</v>
      </c>
      <c r="M8" s="7">
        <f>L8/H8</f>
        <v>4</v>
      </c>
      <c r="N8" s="7">
        <v>5185.8969999999999</v>
      </c>
      <c r="O8" s="15">
        <v>4862.8822243521199</v>
      </c>
      <c r="P8">
        <f>8*(N8/B8)^2</f>
        <v>3.4423715449099523E-3</v>
      </c>
      <c r="Q8" s="8">
        <f>8*(O8/B8)^2</f>
        <v>3.0268958115737374E-3</v>
      </c>
      <c r="R8" s="9">
        <f>(Q8-P8)/P8</f>
        <v>-0.12069462227299557</v>
      </c>
      <c r="S8" s="7">
        <f>500*2*O8/B8</f>
        <v>19.45152889740848</v>
      </c>
      <c r="T8" s="3">
        <f>B8/4*P8</f>
        <v>215.14822155687202</v>
      </c>
      <c r="U8" s="7">
        <f t="shared" si="4"/>
        <v>518.58969999999999</v>
      </c>
      <c r="V8" s="7">
        <f t="shared" si="5"/>
        <v>486.28822243521199</v>
      </c>
      <c r="W8" s="7">
        <f t="shared" si="6"/>
        <v>518.58969999999999</v>
      </c>
      <c r="X8" s="3">
        <f t="shared" si="7"/>
        <v>129.647425</v>
      </c>
    </row>
    <row r="9" spans="1:24" x14ac:dyDescent="0.35">
      <c r="A9" t="s">
        <v>116</v>
      </c>
      <c r="B9" s="4">
        <v>250000</v>
      </c>
      <c r="C9" s="4" t="s">
        <v>35</v>
      </c>
      <c r="D9" s="4" t="s">
        <v>39</v>
      </c>
      <c r="E9" s="4">
        <v>6.7000000000000004E-2</v>
      </c>
      <c r="F9" s="4">
        <v>6.7000000000000004E-2</v>
      </c>
      <c r="G9">
        <f>F9</f>
        <v>6.7000000000000004E-2</v>
      </c>
      <c r="H9" s="4">
        <f>0.25*G9</f>
        <v>1.6750000000000001E-2</v>
      </c>
      <c r="I9" s="4">
        <v>1</v>
      </c>
      <c r="J9" s="4" t="s">
        <v>36</v>
      </c>
      <c r="K9" s="4" t="s">
        <v>24</v>
      </c>
      <c r="L9">
        <v>0.1</v>
      </c>
      <c r="M9" s="7">
        <f>L9/H9</f>
        <v>5.9701492537313436</v>
      </c>
      <c r="N9" s="7">
        <v>5185.8969999999999</v>
      </c>
      <c r="O9" s="15">
        <v>5124.0208644099903</v>
      </c>
      <c r="P9">
        <f>8*(N9/B9)^2</f>
        <v>3.4423715449099523E-3</v>
      </c>
      <c r="Q9" s="8">
        <f>8*(O9/B9)^2</f>
        <v>3.3607154968203403E-3</v>
      </c>
      <c r="R9" s="9">
        <f t="shared" ref="R9:R11" si="8">(Q9-P9)/P9</f>
        <v>-2.3720870052610196E-2</v>
      </c>
      <c r="S9" s="7">
        <f t="shared" ref="S9:S11" si="9">500*2*O9/B9</f>
        <v>20.496083457639962</v>
      </c>
      <c r="T9" s="3">
        <f t="shared" ref="T9:T11" si="10">B9/4*P9</f>
        <v>215.14822155687202</v>
      </c>
      <c r="U9" s="7">
        <f t="shared" si="4"/>
        <v>347.45509900000002</v>
      </c>
      <c r="V9" s="7">
        <f t="shared" si="5"/>
        <v>343.30939791546939</v>
      </c>
      <c r="W9" s="7">
        <f t="shared" si="6"/>
        <v>347.45509900000002</v>
      </c>
      <c r="X9" s="3">
        <f t="shared" si="7"/>
        <v>86.863774750000005</v>
      </c>
    </row>
    <row r="10" spans="1:24" x14ac:dyDescent="0.35">
      <c r="A10" t="s">
        <v>116</v>
      </c>
      <c r="B10" s="4">
        <v>250000</v>
      </c>
      <c r="C10" s="4" t="s">
        <v>35</v>
      </c>
      <c r="D10" s="4" t="s">
        <v>40</v>
      </c>
      <c r="E10" s="4">
        <v>0.05</v>
      </c>
      <c r="F10" s="4">
        <v>0.05</v>
      </c>
      <c r="G10">
        <f>F10</f>
        <v>0.05</v>
      </c>
      <c r="H10" s="4">
        <f>0.25*G10</f>
        <v>1.2500000000000001E-2</v>
      </c>
      <c r="I10" s="4">
        <v>1</v>
      </c>
      <c r="J10" s="4" t="s">
        <v>36</v>
      </c>
      <c r="K10" s="4" t="s">
        <v>24</v>
      </c>
      <c r="L10">
        <v>0.1</v>
      </c>
      <c r="M10" s="7">
        <f>L10/H10</f>
        <v>8</v>
      </c>
      <c r="N10" s="7">
        <v>5185.8969999999999</v>
      </c>
      <c r="O10" s="15">
        <v>5139.2474953825704</v>
      </c>
      <c r="P10">
        <f>8*(N10/B10)^2</f>
        <v>3.4423715449099523E-3</v>
      </c>
      <c r="Q10" s="8">
        <f t="shared" ref="Q10:Q11" si="11">8*(O10/B10)^2</f>
        <v>3.3807186968058912E-3</v>
      </c>
      <c r="R10" s="9">
        <f t="shared" si="8"/>
        <v>-1.7909992370005439E-2</v>
      </c>
      <c r="S10" s="7">
        <f t="shared" si="9"/>
        <v>20.556989981530283</v>
      </c>
      <c r="T10" s="3">
        <f t="shared" si="10"/>
        <v>215.14822155687202</v>
      </c>
      <c r="U10" s="7">
        <f t="shared" si="4"/>
        <v>259.29485</v>
      </c>
      <c r="V10" s="7">
        <f t="shared" si="5"/>
        <v>256.96237476912853</v>
      </c>
      <c r="W10" s="7">
        <f t="shared" si="6"/>
        <v>259.29485</v>
      </c>
      <c r="X10" s="3">
        <f t="shared" si="7"/>
        <v>64.823712499999999</v>
      </c>
    </row>
    <row r="11" spans="1:24" x14ac:dyDescent="0.35">
      <c r="A11" t="s">
        <v>116</v>
      </c>
      <c r="B11" s="4">
        <v>250000</v>
      </c>
      <c r="C11" s="4" t="s">
        <v>35</v>
      </c>
      <c r="D11" s="4" t="s">
        <v>41</v>
      </c>
      <c r="E11" s="4">
        <v>3.3000000000000002E-2</v>
      </c>
      <c r="F11" s="4">
        <v>3.3000000000000002E-2</v>
      </c>
      <c r="G11">
        <f>F11</f>
        <v>3.3000000000000002E-2</v>
      </c>
      <c r="H11" s="4">
        <f>0.25*G11</f>
        <v>8.2500000000000004E-3</v>
      </c>
      <c r="I11" s="4">
        <v>1</v>
      </c>
      <c r="J11" s="4" t="s">
        <v>36</v>
      </c>
      <c r="K11" s="4" t="s">
        <v>24</v>
      </c>
      <c r="L11">
        <v>0.1</v>
      </c>
      <c r="M11" s="7">
        <f>L11/H11</f>
        <v>12.121212121212121</v>
      </c>
      <c r="N11" s="7">
        <v>5185.8969999999999</v>
      </c>
      <c r="O11" s="15">
        <v>5166.3797844559504</v>
      </c>
      <c r="P11">
        <f>8*(N11/B11)^2</f>
        <v>3.4423715449099523E-3</v>
      </c>
      <c r="Q11" s="8">
        <f t="shared" si="11"/>
        <v>3.4165094498860944E-3</v>
      </c>
      <c r="R11" s="9">
        <f t="shared" si="8"/>
        <v>-7.5128714859669272E-3</v>
      </c>
      <c r="S11" s="7">
        <f t="shared" si="9"/>
        <v>20.6655191378238</v>
      </c>
      <c r="T11" s="3">
        <f t="shared" si="10"/>
        <v>215.14822155687202</v>
      </c>
      <c r="U11" s="7">
        <f t="shared" si="4"/>
        <v>171.134601</v>
      </c>
      <c r="V11" s="7">
        <f t="shared" si="5"/>
        <v>170.49053288704636</v>
      </c>
      <c r="W11" s="7">
        <f t="shared" si="6"/>
        <v>171.134601</v>
      </c>
      <c r="X11" s="3">
        <f t="shared" si="7"/>
        <v>42.783650250000001</v>
      </c>
    </row>
    <row r="12" spans="1:24" x14ac:dyDescent="0.35">
      <c r="U12" s="7"/>
      <c r="V12" s="7"/>
      <c r="W12" s="7"/>
      <c r="X12" s="3"/>
    </row>
    <row r="13" spans="1:24" x14ac:dyDescent="0.35">
      <c r="U13" s="7"/>
      <c r="V13" s="7"/>
      <c r="W13" s="7"/>
      <c r="X13" s="3"/>
    </row>
    <row r="14" spans="1:24" x14ac:dyDescent="0.35">
      <c r="A14" t="s">
        <v>119</v>
      </c>
      <c r="B14" s="4">
        <v>250000</v>
      </c>
      <c r="C14" s="4" t="s">
        <v>35</v>
      </c>
      <c r="D14" s="4" t="s">
        <v>37</v>
      </c>
      <c r="E14" s="4">
        <v>0.1</v>
      </c>
      <c r="F14" s="4">
        <v>0.1</v>
      </c>
      <c r="G14">
        <f>F14</f>
        <v>0.1</v>
      </c>
      <c r="H14" s="4">
        <f>0.25*G14</f>
        <v>2.5000000000000001E-2</v>
      </c>
      <c r="I14" s="4">
        <v>1</v>
      </c>
      <c r="J14" s="4" t="s">
        <v>36</v>
      </c>
      <c r="K14" s="4" t="s">
        <v>24</v>
      </c>
      <c r="L14">
        <v>0.1</v>
      </c>
      <c r="M14" s="7">
        <f>L14/H14</f>
        <v>4</v>
      </c>
      <c r="N14" s="7">
        <v>5185.8969999999999</v>
      </c>
      <c r="O14" s="15">
        <v>4875.9608767305699</v>
      </c>
      <c r="P14">
        <f>8*(N14/B14)^2</f>
        <v>3.4423715449099523E-3</v>
      </c>
      <c r="Q14" s="8">
        <f>8*(O14/B14)^2</f>
        <v>3.0431992923401147E-3</v>
      </c>
      <c r="R14" s="9">
        <f>(Q14-P14)/P14</f>
        <v>-0.11595850342188423</v>
      </c>
      <c r="S14" s="7">
        <f>500*2*O14/B14</f>
        <v>19.50384350692228</v>
      </c>
      <c r="T14" s="3">
        <f>B14/4*P14</f>
        <v>215.14822155687202</v>
      </c>
      <c r="U14" s="7">
        <f t="shared" si="4"/>
        <v>518.58969999999999</v>
      </c>
      <c r="V14" s="7">
        <f t="shared" si="5"/>
        <v>487.59608767305701</v>
      </c>
      <c r="W14" s="7">
        <f t="shared" si="6"/>
        <v>518.58969999999999</v>
      </c>
      <c r="X14" s="3">
        <f t="shared" si="7"/>
        <v>129.647425</v>
      </c>
    </row>
    <row r="15" spans="1:24" x14ac:dyDescent="0.35">
      <c r="A15" t="s">
        <v>119</v>
      </c>
      <c r="B15" s="4">
        <v>250000</v>
      </c>
      <c r="C15" s="4" t="s">
        <v>35</v>
      </c>
      <c r="D15" s="4" t="s">
        <v>39</v>
      </c>
      <c r="E15" s="4">
        <v>6.7000000000000004E-2</v>
      </c>
      <c r="F15" s="4">
        <v>6.7000000000000004E-2</v>
      </c>
      <c r="G15">
        <f>F15</f>
        <v>6.7000000000000004E-2</v>
      </c>
      <c r="H15" s="4">
        <f>0.25*G15</f>
        <v>1.6750000000000001E-2</v>
      </c>
      <c r="I15" s="4">
        <v>1</v>
      </c>
      <c r="J15" s="4" t="s">
        <v>36</v>
      </c>
      <c r="K15" s="4" t="s">
        <v>24</v>
      </c>
      <c r="L15">
        <v>0.1</v>
      </c>
      <c r="M15" s="7">
        <f>L15/H15</f>
        <v>5.9701492537313436</v>
      </c>
      <c r="N15" s="7">
        <v>5185.8969999999999</v>
      </c>
      <c r="O15" s="15">
        <v>5136.7265536654104</v>
      </c>
      <c r="P15">
        <f>8*(N15/B15)^2</f>
        <v>3.4423715449099523E-3</v>
      </c>
      <c r="Q15" s="8">
        <f>8*(O15/B15)^2</f>
        <v>3.3774028399528098E-3</v>
      </c>
      <c r="R15" s="9">
        <f t="shared" ref="R15:R17" si="12">(Q15-P15)/P15</f>
        <v>-1.8873240180365815E-2</v>
      </c>
      <c r="S15" s="7">
        <f t="shared" ref="S15:S17" si="13">500*2*O15/B15</f>
        <v>20.546906214661643</v>
      </c>
      <c r="T15" s="3">
        <f t="shared" ref="T15:T17" si="14">B15/4*P15</f>
        <v>215.14822155687202</v>
      </c>
      <c r="U15" s="7">
        <f t="shared" si="4"/>
        <v>347.45509900000002</v>
      </c>
      <c r="V15" s="7">
        <f t="shared" si="5"/>
        <v>344.16067909558251</v>
      </c>
      <c r="W15" s="7">
        <f t="shared" si="6"/>
        <v>347.45509900000002</v>
      </c>
      <c r="X15" s="3">
        <f t="shared" si="7"/>
        <v>86.863774750000005</v>
      </c>
    </row>
    <row r="16" spans="1:24" x14ac:dyDescent="0.35">
      <c r="A16" t="s">
        <v>119</v>
      </c>
      <c r="B16" s="4">
        <v>250000</v>
      </c>
      <c r="C16" s="4" t="s">
        <v>35</v>
      </c>
      <c r="D16" s="4" t="s">
        <v>40</v>
      </c>
      <c r="E16" s="4">
        <v>0.05</v>
      </c>
      <c r="F16" s="4">
        <v>0.05</v>
      </c>
      <c r="G16">
        <f>F16</f>
        <v>0.05</v>
      </c>
      <c r="H16" s="4">
        <f>0.25*G16</f>
        <v>1.2500000000000001E-2</v>
      </c>
      <c r="I16" s="4">
        <v>1</v>
      </c>
      <c r="J16" s="4" t="s">
        <v>36</v>
      </c>
      <c r="K16" s="4" t="s">
        <v>24</v>
      </c>
      <c r="L16">
        <v>0.1</v>
      </c>
      <c r="M16" s="7">
        <f>L16/H16</f>
        <v>8</v>
      </c>
      <c r="N16" s="7">
        <v>5185.8969999999999</v>
      </c>
      <c r="O16" s="15">
        <v>5147.0208386715803</v>
      </c>
      <c r="P16">
        <f>8*(N16/B16)^2</f>
        <v>3.4423715449099523E-3</v>
      </c>
      <c r="Q16" s="8">
        <f t="shared" ref="Q16:Q17" si="15">8*(O16/B16)^2</f>
        <v>3.3909534097560962E-3</v>
      </c>
      <c r="R16" s="9">
        <f t="shared" si="12"/>
        <v>-1.4936834819554941E-2</v>
      </c>
      <c r="S16" s="7">
        <f t="shared" si="13"/>
        <v>20.588083354686319</v>
      </c>
      <c r="T16" s="3">
        <f t="shared" si="14"/>
        <v>215.14822155687202</v>
      </c>
      <c r="U16" s="7">
        <f t="shared" si="4"/>
        <v>259.29485</v>
      </c>
      <c r="V16" s="7">
        <f t="shared" si="5"/>
        <v>257.35104193357904</v>
      </c>
      <c r="W16" s="7">
        <f t="shared" si="6"/>
        <v>259.29485</v>
      </c>
      <c r="X16" s="3">
        <f t="shared" si="7"/>
        <v>64.823712499999999</v>
      </c>
    </row>
    <row r="17" spans="1:24" x14ac:dyDescent="0.35">
      <c r="A17" t="s">
        <v>119</v>
      </c>
      <c r="B17" s="4">
        <v>250000</v>
      </c>
      <c r="C17" s="4" t="s">
        <v>35</v>
      </c>
      <c r="D17" s="4" t="s">
        <v>41</v>
      </c>
      <c r="E17" s="4">
        <v>3.3000000000000002E-2</v>
      </c>
      <c r="F17" s="4">
        <v>3.3000000000000002E-2</v>
      </c>
      <c r="G17">
        <f>F17</f>
        <v>3.3000000000000002E-2</v>
      </c>
      <c r="H17" s="4">
        <f>0.25*G17</f>
        <v>8.2500000000000004E-3</v>
      </c>
      <c r="I17" s="4">
        <v>1</v>
      </c>
      <c r="J17" s="4" t="s">
        <v>36</v>
      </c>
      <c r="K17" s="4" t="s">
        <v>24</v>
      </c>
      <c r="L17">
        <v>0.1</v>
      </c>
      <c r="M17" s="7">
        <f>L17/H17</f>
        <v>12.121212121212121</v>
      </c>
      <c r="N17" s="7">
        <v>5185.8969999999999</v>
      </c>
      <c r="O17" s="15">
        <v>5190.7707276150904</v>
      </c>
      <c r="P17">
        <f>8*(N17/B17)^2</f>
        <v>3.4423715449099523E-3</v>
      </c>
      <c r="Q17" s="8">
        <f t="shared" si="15"/>
        <v>3.4488448955732093E-3</v>
      </c>
      <c r="R17" s="9">
        <f t="shared" si="12"/>
        <v>1.8804915677474731E-3</v>
      </c>
      <c r="S17" s="7">
        <f t="shared" si="13"/>
        <v>20.763082910460362</v>
      </c>
      <c r="T17" s="3">
        <f t="shared" si="14"/>
        <v>215.14822155687202</v>
      </c>
      <c r="U17" s="7">
        <f t="shared" si="4"/>
        <v>171.134601</v>
      </c>
      <c r="V17" s="7">
        <f t="shared" si="5"/>
        <v>171.295434011298</v>
      </c>
      <c r="W17" s="7">
        <f t="shared" si="6"/>
        <v>171.134601</v>
      </c>
      <c r="X17" s="3">
        <f t="shared" si="7"/>
        <v>42.783650250000001</v>
      </c>
    </row>
    <row r="18" spans="1:24" x14ac:dyDescent="0.35">
      <c r="U18" s="7"/>
      <c r="V18" s="7"/>
      <c r="W18" s="7"/>
      <c r="X18" s="3"/>
    </row>
    <row r="19" spans="1:24" x14ac:dyDescent="0.35">
      <c r="U19" s="7"/>
      <c r="V19" s="7"/>
      <c r="W19" s="7"/>
      <c r="X19" s="3"/>
    </row>
    <row r="20" spans="1:24" x14ac:dyDescent="0.35">
      <c r="A20" t="s">
        <v>125</v>
      </c>
      <c r="B20" s="4">
        <v>250000</v>
      </c>
      <c r="C20" s="4" t="s">
        <v>35</v>
      </c>
      <c r="D20" s="4" t="s">
        <v>37</v>
      </c>
      <c r="E20" s="4">
        <v>0.1</v>
      </c>
      <c r="F20" s="4">
        <v>0.1</v>
      </c>
      <c r="G20">
        <f>F20</f>
        <v>0.1</v>
      </c>
      <c r="H20" s="4">
        <f>0.25*G20</f>
        <v>2.5000000000000001E-2</v>
      </c>
      <c r="I20" s="4">
        <v>1</v>
      </c>
      <c r="J20" s="4" t="s">
        <v>36</v>
      </c>
      <c r="K20" s="4" t="s">
        <v>24</v>
      </c>
      <c r="L20">
        <v>0.1</v>
      </c>
      <c r="M20" s="7">
        <f>L20/H20</f>
        <v>4</v>
      </c>
      <c r="N20" s="7">
        <v>5185.8969999999999</v>
      </c>
      <c r="O20" s="15">
        <v>5210.6464404963799</v>
      </c>
      <c r="P20">
        <f>8*(N20/B20)^2</f>
        <v>3.4423715449099523E-3</v>
      </c>
      <c r="Q20" s="8">
        <f>8*(O20/B20)^2</f>
        <v>3.4753070499657724E-3</v>
      </c>
      <c r="R20" s="9">
        <f>(Q20-P20)/P20</f>
        <v>9.5676787430223845E-3</v>
      </c>
      <c r="S20" s="7">
        <f>500*2*O20/B20</f>
        <v>20.842585761985518</v>
      </c>
      <c r="T20" s="3">
        <f>B20/4*P20</f>
        <v>215.14822155687202</v>
      </c>
      <c r="U20" s="7">
        <f t="shared" si="4"/>
        <v>518.58969999999999</v>
      </c>
      <c r="V20" s="7">
        <f t="shared" si="5"/>
        <v>521.06464404963799</v>
      </c>
      <c r="W20" s="7">
        <f t="shared" si="6"/>
        <v>518.58969999999999</v>
      </c>
      <c r="X20" s="3">
        <f t="shared" si="7"/>
        <v>129.647425</v>
      </c>
    </row>
    <row r="21" spans="1:24" x14ac:dyDescent="0.35">
      <c r="A21" t="s">
        <v>125</v>
      </c>
      <c r="B21" s="4">
        <v>250000</v>
      </c>
      <c r="C21" s="4" t="s">
        <v>35</v>
      </c>
      <c r="D21" s="4" t="s">
        <v>39</v>
      </c>
      <c r="E21" s="4">
        <v>6.7000000000000004E-2</v>
      </c>
      <c r="F21" s="4">
        <v>6.7000000000000004E-2</v>
      </c>
      <c r="G21">
        <f>F21</f>
        <v>6.7000000000000004E-2</v>
      </c>
      <c r="H21" s="4">
        <f>0.25*G21</f>
        <v>1.6750000000000001E-2</v>
      </c>
      <c r="I21" s="4">
        <v>1</v>
      </c>
      <c r="J21" s="4" t="s">
        <v>36</v>
      </c>
      <c r="K21" s="4" t="s">
        <v>24</v>
      </c>
      <c r="L21">
        <v>0.1</v>
      </c>
      <c r="M21" s="7">
        <f>L21/H21</f>
        <v>5.9701492537313436</v>
      </c>
      <c r="N21" s="7">
        <v>5185.8969999999999</v>
      </c>
      <c r="O21" s="15">
        <v>4956.1843727380501</v>
      </c>
      <c r="P21">
        <f>8*(N21/B21)^2</f>
        <v>3.4423715449099523E-3</v>
      </c>
      <c r="Q21" s="8">
        <f>8*(O21/B21)^2</f>
        <v>3.1441617326813261E-3</v>
      </c>
      <c r="R21" s="9">
        <f t="shared" ref="R21:R23" si="16">(Q21-P21)/P21</f>
        <v>-8.6629176524995632E-2</v>
      </c>
      <c r="S21" s="7">
        <f t="shared" ref="S21:S23" si="17">500*2*O21/B21</f>
        <v>19.824737490952202</v>
      </c>
      <c r="T21" s="3">
        <f t="shared" ref="T21:T23" si="18">B21/4*P21</f>
        <v>215.14822155687202</v>
      </c>
      <c r="U21" s="7">
        <f t="shared" si="4"/>
        <v>347.45509900000002</v>
      </c>
      <c r="V21" s="7">
        <f t="shared" si="5"/>
        <v>332.06435297344939</v>
      </c>
      <c r="W21" s="7">
        <f t="shared" si="6"/>
        <v>347.45509900000002</v>
      </c>
      <c r="X21" s="3">
        <f t="shared" si="7"/>
        <v>86.863774750000005</v>
      </c>
    </row>
    <row r="22" spans="1:24" x14ac:dyDescent="0.35">
      <c r="A22" t="s">
        <v>125</v>
      </c>
      <c r="B22" s="4">
        <v>250000</v>
      </c>
      <c r="C22" s="4" t="s">
        <v>35</v>
      </c>
      <c r="D22" s="4" t="s">
        <v>40</v>
      </c>
      <c r="E22" s="4">
        <v>0.05</v>
      </c>
      <c r="F22" s="4">
        <v>0.05</v>
      </c>
      <c r="G22">
        <f>F22</f>
        <v>0.05</v>
      </c>
      <c r="H22" s="4">
        <f>0.25*G22</f>
        <v>1.2500000000000001E-2</v>
      </c>
      <c r="I22" s="4">
        <v>1</v>
      </c>
      <c r="J22" s="4" t="s">
        <v>36</v>
      </c>
      <c r="K22" s="4" t="s">
        <v>24</v>
      </c>
      <c r="L22">
        <v>0.1</v>
      </c>
      <c r="M22" s="7">
        <f>L22/H22</f>
        <v>8</v>
      </c>
      <c r="N22" s="7">
        <v>5185.8969999999999</v>
      </c>
      <c r="O22" s="15">
        <v>4967.0733698676504</v>
      </c>
      <c r="P22">
        <f>8*(N22/B22)^2</f>
        <v>3.4423715449099523E-3</v>
      </c>
      <c r="Q22" s="8">
        <f t="shared" ref="Q22:Q23" si="19">8*(O22/B22)^2</f>
        <v>3.157992686290992E-3</v>
      </c>
      <c r="R22" s="9">
        <f t="shared" si="16"/>
        <v>-8.2611320396096075E-2</v>
      </c>
      <c r="S22" s="7">
        <f t="shared" si="17"/>
        <v>19.868293479470601</v>
      </c>
      <c r="T22" s="3">
        <f t="shared" si="18"/>
        <v>215.14822155687202</v>
      </c>
      <c r="U22" s="7">
        <f t="shared" si="4"/>
        <v>259.29485</v>
      </c>
      <c r="V22" s="7">
        <f t="shared" si="5"/>
        <v>248.35366849338254</v>
      </c>
      <c r="W22" s="7">
        <f t="shared" si="6"/>
        <v>259.29485</v>
      </c>
      <c r="X22" s="3">
        <f t="shared" si="7"/>
        <v>64.823712499999999</v>
      </c>
    </row>
    <row r="23" spans="1:24" x14ac:dyDescent="0.35">
      <c r="A23" t="s">
        <v>125</v>
      </c>
      <c r="B23" s="4">
        <v>250000</v>
      </c>
      <c r="C23" s="4" t="s">
        <v>35</v>
      </c>
      <c r="D23" s="4" t="s">
        <v>41</v>
      </c>
      <c r="E23" s="4">
        <v>3.3000000000000002E-2</v>
      </c>
      <c r="F23" s="4">
        <v>3.3000000000000002E-2</v>
      </c>
      <c r="G23">
        <f>F23</f>
        <v>3.3000000000000002E-2</v>
      </c>
      <c r="H23" s="4">
        <f>0.25*G23</f>
        <v>8.2500000000000004E-3</v>
      </c>
      <c r="I23" s="4">
        <v>1</v>
      </c>
      <c r="J23" s="4" t="s">
        <v>36</v>
      </c>
      <c r="K23" s="4" t="s">
        <v>24</v>
      </c>
      <c r="L23">
        <v>0.1</v>
      </c>
      <c r="M23" s="7">
        <f>L23/H23</f>
        <v>12.121212121212121</v>
      </c>
      <c r="N23" s="7">
        <v>5185.8969999999999</v>
      </c>
      <c r="O23" s="15">
        <v>5024.9827306890502</v>
      </c>
      <c r="P23">
        <f>8*(N23/B23)^2</f>
        <v>3.4423715449099523E-3</v>
      </c>
      <c r="Q23" s="8">
        <f t="shared" si="19"/>
        <v>3.2320577847965671E-3</v>
      </c>
      <c r="R23" s="9">
        <f t="shared" si="16"/>
        <v>-6.1095601497277274E-2</v>
      </c>
      <c r="S23" s="7">
        <f t="shared" si="17"/>
        <v>20.099930922756201</v>
      </c>
      <c r="T23" s="3">
        <f t="shared" si="18"/>
        <v>215.14822155687202</v>
      </c>
      <c r="U23" s="7">
        <f t="shared" si="4"/>
        <v>171.134601</v>
      </c>
      <c r="V23" s="7">
        <f t="shared" si="5"/>
        <v>165.82443011273867</v>
      </c>
      <c r="W23" s="7">
        <f t="shared" si="6"/>
        <v>171.134601</v>
      </c>
      <c r="X23" s="3">
        <f t="shared" si="7"/>
        <v>42.783650250000001</v>
      </c>
    </row>
    <row r="24" spans="1:24" x14ac:dyDescent="0.35">
      <c r="U24" s="7"/>
      <c r="V24" s="7"/>
      <c r="W24" s="7"/>
      <c r="X24" s="3"/>
    </row>
    <row r="25" spans="1:24" x14ac:dyDescent="0.35">
      <c r="U25" s="7"/>
      <c r="V25" s="7"/>
      <c r="W25" s="7"/>
      <c r="X25" s="3"/>
    </row>
    <row r="26" spans="1:24" x14ac:dyDescent="0.35">
      <c r="A26" t="s">
        <v>126</v>
      </c>
      <c r="B26" s="4">
        <v>250000</v>
      </c>
      <c r="C26" s="4" t="s">
        <v>35</v>
      </c>
      <c r="D26" s="4" t="s">
        <v>37</v>
      </c>
      <c r="E26" s="4">
        <v>0.1</v>
      </c>
      <c r="F26" s="4">
        <v>0.1</v>
      </c>
      <c r="G26">
        <f>F26</f>
        <v>0.1</v>
      </c>
      <c r="H26" s="4">
        <f>0.25*G26</f>
        <v>2.5000000000000001E-2</v>
      </c>
      <c r="I26" s="4">
        <v>1</v>
      </c>
      <c r="J26" s="4" t="s">
        <v>36</v>
      </c>
      <c r="K26" s="4" t="s">
        <v>24</v>
      </c>
      <c r="L26">
        <v>0.1</v>
      </c>
      <c r="M26" s="7">
        <f>L26/H26</f>
        <v>4</v>
      </c>
      <c r="N26" s="7">
        <v>5185.8969999999999</v>
      </c>
      <c r="O26" s="15">
        <v>4449.5032680837103</v>
      </c>
      <c r="P26">
        <f>8*(N26/B26)^2</f>
        <v>3.4423715449099523E-3</v>
      </c>
      <c r="Q26" s="8">
        <f>8*(O26/B26)^2</f>
        <v>2.5341541545840151E-3</v>
      </c>
      <c r="R26" s="9">
        <f>(Q26-P26)/P26</f>
        <v>-0.26383479484335992</v>
      </c>
      <c r="S26" s="7">
        <f>500*2*O26/B26</f>
        <v>17.79801307233484</v>
      </c>
      <c r="T26" s="3">
        <f>B26/4*P26</f>
        <v>215.14822155687202</v>
      </c>
      <c r="U26" s="7">
        <f t="shared" si="4"/>
        <v>518.58969999999999</v>
      </c>
      <c r="V26" s="7">
        <f t="shared" si="5"/>
        <v>444.95032680837107</v>
      </c>
      <c r="W26" s="7">
        <f t="shared" si="6"/>
        <v>518.58969999999999</v>
      </c>
      <c r="X26" s="3">
        <f t="shared" si="7"/>
        <v>129.647425</v>
      </c>
    </row>
    <row r="27" spans="1:24" x14ac:dyDescent="0.35">
      <c r="A27" t="s">
        <v>126</v>
      </c>
      <c r="B27" s="4">
        <v>250000</v>
      </c>
      <c r="C27" s="4" t="s">
        <v>35</v>
      </c>
      <c r="D27" s="4" t="s">
        <v>39</v>
      </c>
      <c r="E27" s="4">
        <v>6.7000000000000004E-2</v>
      </c>
      <c r="F27" s="4">
        <v>6.7000000000000004E-2</v>
      </c>
      <c r="G27">
        <f>F27</f>
        <v>6.7000000000000004E-2</v>
      </c>
      <c r="H27" s="4">
        <f>0.25*G27</f>
        <v>1.6750000000000001E-2</v>
      </c>
      <c r="I27" s="4">
        <v>1</v>
      </c>
      <c r="J27" s="4" t="s">
        <v>36</v>
      </c>
      <c r="K27" s="4" t="s">
        <v>24</v>
      </c>
      <c r="L27">
        <v>0.1</v>
      </c>
      <c r="M27" s="7">
        <f>L27/H27</f>
        <v>5.9701492537313436</v>
      </c>
      <c r="N27" s="7">
        <v>5185.8969999999999</v>
      </c>
      <c r="O27" s="15">
        <v>4920.5720290005802</v>
      </c>
      <c r="P27">
        <f>8*(N27/B27)^2</f>
        <v>3.4423715449099523E-3</v>
      </c>
      <c r="Q27" s="8">
        <f>8*(O27/B27)^2</f>
        <v>3.0991397238506095E-3</v>
      </c>
      <c r="R27" s="9">
        <f t="shared" ref="R27:R29" si="20">(Q27-P27)/P27</f>
        <v>-9.9707953247191158E-2</v>
      </c>
      <c r="S27" s="7">
        <f t="shared" ref="S27:S29" si="21">500*2*O27/B27</f>
        <v>19.682288116002322</v>
      </c>
      <c r="T27" s="3">
        <f t="shared" ref="T27:T29" si="22">B27/4*P27</f>
        <v>215.14822155687202</v>
      </c>
      <c r="U27" s="7">
        <f t="shared" si="4"/>
        <v>347.45509900000002</v>
      </c>
      <c r="V27" s="7">
        <f t="shared" si="5"/>
        <v>329.67832594303889</v>
      </c>
      <c r="W27" s="7">
        <f t="shared" si="6"/>
        <v>347.45509900000002</v>
      </c>
      <c r="X27" s="3">
        <f t="shared" si="7"/>
        <v>86.863774750000005</v>
      </c>
    </row>
    <row r="28" spans="1:24" x14ac:dyDescent="0.35">
      <c r="A28" t="s">
        <v>126</v>
      </c>
      <c r="B28" s="4">
        <v>250000</v>
      </c>
      <c r="C28" s="4" t="s">
        <v>35</v>
      </c>
      <c r="D28" s="4" t="s">
        <v>40</v>
      </c>
      <c r="E28" s="4">
        <v>0.05</v>
      </c>
      <c r="F28" s="4">
        <v>0.05</v>
      </c>
      <c r="G28">
        <f>F28</f>
        <v>0.05</v>
      </c>
      <c r="H28" s="4">
        <f>0.25*G28</f>
        <v>1.2500000000000001E-2</v>
      </c>
      <c r="I28" s="4">
        <v>1</v>
      </c>
      <c r="J28" s="4" t="s">
        <v>36</v>
      </c>
      <c r="K28" s="4" t="s">
        <v>24</v>
      </c>
      <c r="L28">
        <v>0.1</v>
      </c>
      <c r="M28" s="7">
        <f>L28/H28</f>
        <v>8</v>
      </c>
      <c r="N28" s="7">
        <v>5185.8969999999999</v>
      </c>
      <c r="O28" s="15">
        <v>5123.7630065744997</v>
      </c>
      <c r="P28">
        <f>8*(N28/B28)^2</f>
        <v>3.4423715449099523E-3</v>
      </c>
      <c r="Q28" s="8">
        <f t="shared" ref="Q28:Q29" si="23">8*(O28/B28)^2</f>
        <v>3.3603772604852934E-3</v>
      </c>
      <c r="R28" s="9">
        <f t="shared" si="20"/>
        <v>-2.3819126830135286E-2</v>
      </c>
      <c r="S28" s="7">
        <f t="shared" si="21"/>
        <v>20.495052026297998</v>
      </c>
      <c r="T28" s="3">
        <f t="shared" si="22"/>
        <v>215.14822155687202</v>
      </c>
      <c r="U28" s="7">
        <f t="shared" si="4"/>
        <v>259.29485</v>
      </c>
      <c r="V28" s="7">
        <f t="shared" si="5"/>
        <v>256.18815032872499</v>
      </c>
      <c r="W28" s="7">
        <f t="shared" si="6"/>
        <v>259.29485</v>
      </c>
      <c r="X28" s="3">
        <f t="shared" si="7"/>
        <v>64.823712499999999</v>
      </c>
    </row>
    <row r="29" spans="1:24" x14ac:dyDescent="0.35">
      <c r="A29" t="s">
        <v>126</v>
      </c>
      <c r="B29" s="4">
        <v>250000</v>
      </c>
      <c r="C29" s="4" t="s">
        <v>35</v>
      </c>
      <c r="D29" s="4" t="s">
        <v>41</v>
      </c>
      <c r="E29" s="4">
        <v>3.3000000000000002E-2</v>
      </c>
      <c r="F29" s="4">
        <v>3.3000000000000002E-2</v>
      </c>
      <c r="G29">
        <f>F29</f>
        <v>3.3000000000000002E-2</v>
      </c>
      <c r="H29" s="4">
        <f>0.25*G29</f>
        <v>8.2500000000000004E-3</v>
      </c>
      <c r="I29" s="4">
        <v>1</v>
      </c>
      <c r="J29" s="4" t="s">
        <v>36</v>
      </c>
      <c r="K29" s="4" t="s">
        <v>24</v>
      </c>
      <c r="L29">
        <v>0.1</v>
      </c>
      <c r="M29" s="7">
        <f>L29/H29</f>
        <v>12.121212121212121</v>
      </c>
      <c r="N29" s="7">
        <v>5185.8969999999999</v>
      </c>
      <c r="O29" s="15">
        <v>5206.2071308491204</v>
      </c>
      <c r="P29">
        <f>8*(N29/B29)^2</f>
        <v>3.4423715449099523E-3</v>
      </c>
      <c r="Q29" s="8">
        <f t="shared" si="23"/>
        <v>3.4693878642309416E-3</v>
      </c>
      <c r="R29" s="9">
        <f t="shared" si="20"/>
        <v>7.8481706487891611E-3</v>
      </c>
      <c r="S29" s="7">
        <f t="shared" si="21"/>
        <v>20.82482852339648</v>
      </c>
      <c r="T29" s="3">
        <f t="shared" si="22"/>
        <v>215.14822155687202</v>
      </c>
      <c r="U29" s="7">
        <f t="shared" si="4"/>
        <v>171.134601</v>
      </c>
      <c r="V29" s="7">
        <f t="shared" si="5"/>
        <v>171.80483531802099</v>
      </c>
      <c r="W29" s="7">
        <f t="shared" si="6"/>
        <v>171.134601</v>
      </c>
      <c r="X29" s="3">
        <f t="shared" si="7"/>
        <v>42.783650250000001</v>
      </c>
    </row>
    <row r="30" spans="1:24" x14ac:dyDescent="0.35">
      <c r="U30" s="7"/>
      <c r="V30" s="7"/>
      <c r="W30" s="7"/>
      <c r="X30" s="3"/>
    </row>
    <row r="31" spans="1:24" x14ac:dyDescent="0.35">
      <c r="U31" s="7"/>
      <c r="V31" s="7"/>
      <c r="W31" s="7"/>
      <c r="X31" s="3"/>
    </row>
    <row r="32" spans="1:24" x14ac:dyDescent="0.35">
      <c r="A32" t="s">
        <v>127</v>
      </c>
      <c r="B32" s="4">
        <v>250000</v>
      </c>
      <c r="C32" s="4" t="s">
        <v>35</v>
      </c>
      <c r="D32" s="4" t="s">
        <v>37</v>
      </c>
      <c r="E32" s="4">
        <v>0.1</v>
      </c>
      <c r="F32" s="4">
        <v>0.1</v>
      </c>
      <c r="G32">
        <f>F32</f>
        <v>0.1</v>
      </c>
      <c r="H32" s="4">
        <f>0.25*G32</f>
        <v>2.5000000000000001E-2</v>
      </c>
      <c r="I32" s="4">
        <v>1</v>
      </c>
      <c r="J32" s="4" t="s">
        <v>36</v>
      </c>
      <c r="K32" s="4" t="s">
        <v>24</v>
      </c>
      <c r="L32">
        <v>0.1</v>
      </c>
      <c r="M32" s="7">
        <f>L32/H32</f>
        <v>4</v>
      </c>
      <c r="N32" s="7">
        <v>5185.8969999999999</v>
      </c>
      <c r="O32" s="15">
        <v>4968.7044767222396</v>
      </c>
      <c r="P32">
        <f>8*(N32/B32)^2</f>
        <v>3.4423715449099523E-3</v>
      </c>
      <c r="Q32" s="8">
        <f>8*(O32/B32)^2</f>
        <v>3.1600670946559523E-3</v>
      </c>
      <c r="R32" s="9">
        <f>(Q32-P32)/P32</f>
        <v>-8.2008710149672329E-2</v>
      </c>
      <c r="S32" s="7">
        <f>500*2*O32/B32</f>
        <v>19.874817906888957</v>
      </c>
      <c r="T32" s="3">
        <f>B32/4*P32</f>
        <v>215.14822155687202</v>
      </c>
      <c r="U32" s="7">
        <f t="shared" ref="U32:U59" si="24">E32*N32</f>
        <v>518.58969999999999</v>
      </c>
      <c r="V32" s="7">
        <f t="shared" ref="V32:V59" si="25">F32*O32</f>
        <v>496.87044767222397</v>
      </c>
      <c r="W32" s="7">
        <f t="shared" ref="W32:W59" si="26">G32*N32</f>
        <v>518.58969999999999</v>
      </c>
      <c r="X32" s="3">
        <f t="shared" ref="X32:X59" si="27">H32*N32</f>
        <v>129.647425</v>
      </c>
    </row>
    <row r="33" spans="1:24" x14ac:dyDescent="0.35">
      <c r="A33" t="s">
        <v>127</v>
      </c>
      <c r="B33" s="4">
        <v>250000</v>
      </c>
      <c r="C33" s="4" t="s">
        <v>35</v>
      </c>
      <c r="D33" s="4" t="s">
        <v>39</v>
      </c>
      <c r="E33" s="4">
        <v>6.7000000000000004E-2</v>
      </c>
      <c r="F33" s="4">
        <v>6.7000000000000004E-2</v>
      </c>
      <c r="G33">
        <f>F33</f>
        <v>6.7000000000000004E-2</v>
      </c>
      <c r="H33" s="4">
        <f>0.25*G33</f>
        <v>1.6750000000000001E-2</v>
      </c>
      <c r="I33" s="4">
        <v>1</v>
      </c>
      <c r="J33" s="4" t="s">
        <v>36</v>
      </c>
      <c r="K33" s="4" t="s">
        <v>24</v>
      </c>
      <c r="L33">
        <v>0.1</v>
      </c>
      <c r="M33" s="7">
        <f>L33/H33</f>
        <v>5.9701492537313436</v>
      </c>
      <c r="N33" s="7">
        <v>5185.8969999999999</v>
      </c>
      <c r="O33" s="15">
        <v>5151.55007882885</v>
      </c>
      <c r="P33">
        <f>8*(N33/B33)^2</f>
        <v>3.4423715449099523E-3</v>
      </c>
      <c r="Q33" s="8">
        <f>8*(O33/B33)^2</f>
        <v>3.3969239314792362E-3</v>
      </c>
      <c r="R33" s="9">
        <f t="shared" ref="R33:R35" si="28">(Q33-P33)/P33</f>
        <v>-1.3202413753947324E-2</v>
      </c>
      <c r="S33" s="7">
        <f t="shared" ref="S33:S35" si="29">500*2*O33/B33</f>
        <v>20.606200315315398</v>
      </c>
      <c r="T33" s="3">
        <f t="shared" ref="T33:T35" si="30">B33/4*P33</f>
        <v>215.14822155687202</v>
      </c>
      <c r="U33" s="7">
        <f t="shared" si="24"/>
        <v>347.45509900000002</v>
      </c>
      <c r="V33" s="7">
        <f t="shared" si="25"/>
        <v>345.15385528153297</v>
      </c>
      <c r="W33" s="7">
        <f t="shared" si="26"/>
        <v>347.45509900000002</v>
      </c>
      <c r="X33" s="3">
        <f t="shared" si="27"/>
        <v>86.863774750000005</v>
      </c>
    </row>
    <row r="34" spans="1:24" x14ac:dyDescent="0.35">
      <c r="A34" t="s">
        <v>127</v>
      </c>
      <c r="B34" s="4">
        <v>250000</v>
      </c>
      <c r="C34" s="4" t="s">
        <v>35</v>
      </c>
      <c r="D34" s="4" t="s">
        <v>40</v>
      </c>
      <c r="E34" s="4">
        <v>0.05</v>
      </c>
      <c r="F34" s="4">
        <v>0.05</v>
      </c>
      <c r="G34">
        <f>F34</f>
        <v>0.05</v>
      </c>
      <c r="H34" s="4">
        <f>0.25*G34</f>
        <v>1.2500000000000001E-2</v>
      </c>
      <c r="I34" s="4">
        <v>1</v>
      </c>
      <c r="J34" s="4" t="s">
        <v>36</v>
      </c>
      <c r="K34" s="4" t="s">
        <v>24</v>
      </c>
      <c r="L34">
        <v>0.1</v>
      </c>
      <c r="M34" s="7">
        <f>L34/H34</f>
        <v>8</v>
      </c>
      <c r="N34" s="7">
        <v>5185.8969999999999</v>
      </c>
      <c r="O34" s="15">
        <v>5154.6921491920903</v>
      </c>
      <c r="P34">
        <f>8*(N34/B34)^2</f>
        <v>3.4423715449099523E-3</v>
      </c>
      <c r="Q34" s="8">
        <f t="shared" ref="Q34:Q35" si="31">8*(O34/B34)^2</f>
        <v>3.4010689475766484E-3</v>
      </c>
      <c r="R34" s="9">
        <f t="shared" si="28"/>
        <v>-1.1998297334979957E-2</v>
      </c>
      <c r="S34" s="7">
        <f t="shared" si="29"/>
        <v>20.618768596768362</v>
      </c>
      <c r="T34" s="3">
        <f t="shared" si="30"/>
        <v>215.14822155687202</v>
      </c>
      <c r="U34" s="7">
        <f t="shared" si="24"/>
        <v>259.29485</v>
      </c>
      <c r="V34" s="7">
        <f t="shared" si="25"/>
        <v>257.73460745960455</v>
      </c>
      <c r="W34" s="7">
        <f t="shared" si="26"/>
        <v>259.29485</v>
      </c>
      <c r="X34" s="3">
        <f t="shared" si="27"/>
        <v>64.823712499999999</v>
      </c>
    </row>
    <row r="35" spans="1:24" x14ac:dyDescent="0.35">
      <c r="A35" t="s">
        <v>127</v>
      </c>
      <c r="B35" s="4">
        <v>250000</v>
      </c>
      <c r="C35" s="4" t="s">
        <v>35</v>
      </c>
      <c r="D35" s="4" t="s">
        <v>41</v>
      </c>
      <c r="E35" s="4">
        <v>3.3000000000000002E-2</v>
      </c>
      <c r="F35" s="4">
        <v>3.3000000000000002E-2</v>
      </c>
      <c r="G35">
        <f>F35</f>
        <v>3.3000000000000002E-2</v>
      </c>
      <c r="H35" s="4">
        <f>0.25*G35</f>
        <v>8.2500000000000004E-3</v>
      </c>
      <c r="I35" s="4">
        <v>1</v>
      </c>
      <c r="J35" s="4" t="s">
        <v>36</v>
      </c>
      <c r="K35" s="4" t="s">
        <v>24</v>
      </c>
      <c r="L35">
        <v>0.1</v>
      </c>
      <c r="M35" s="7">
        <f>L35/H35</f>
        <v>12.121212121212121</v>
      </c>
      <c r="N35" s="7">
        <v>5185.8969999999999</v>
      </c>
      <c r="O35" s="15">
        <v>5164.9259814324196</v>
      </c>
      <c r="P35">
        <f>8*(N35/B35)^2</f>
        <v>3.4423715449099523E-3</v>
      </c>
      <c r="Q35" s="8">
        <f t="shared" si="31"/>
        <v>3.4145869303904824E-3</v>
      </c>
      <c r="R35" s="9">
        <f t="shared" si="28"/>
        <v>-8.0713584100337785E-3</v>
      </c>
      <c r="S35" s="7">
        <f t="shared" si="29"/>
        <v>20.659703925729676</v>
      </c>
      <c r="T35" s="3">
        <f t="shared" si="30"/>
        <v>215.14822155687202</v>
      </c>
      <c r="U35" s="7">
        <f t="shared" si="24"/>
        <v>171.134601</v>
      </c>
      <c r="V35" s="7">
        <f t="shared" si="25"/>
        <v>170.44255738726986</v>
      </c>
      <c r="W35" s="7">
        <f t="shared" si="26"/>
        <v>171.134601</v>
      </c>
      <c r="X35" s="3">
        <f t="shared" si="27"/>
        <v>42.783650250000001</v>
      </c>
    </row>
    <row r="36" spans="1:24" x14ac:dyDescent="0.35">
      <c r="U36" s="7"/>
      <c r="V36" s="7"/>
      <c r="W36" s="7"/>
      <c r="X36" s="3"/>
    </row>
    <row r="37" spans="1:24" x14ac:dyDescent="0.35">
      <c r="U37" s="7"/>
      <c r="V37" s="7"/>
      <c r="W37" s="7"/>
      <c r="X37" s="3"/>
    </row>
    <row r="38" spans="1:24" x14ac:dyDescent="0.35">
      <c r="A38" t="s">
        <v>128</v>
      </c>
      <c r="B38" s="4">
        <v>250000</v>
      </c>
      <c r="C38" s="4" t="s">
        <v>35</v>
      </c>
      <c r="D38" s="4" t="s">
        <v>37</v>
      </c>
      <c r="E38" s="4">
        <v>0.1</v>
      </c>
      <c r="F38" s="4">
        <v>0.1</v>
      </c>
      <c r="G38">
        <f>F38</f>
        <v>0.1</v>
      </c>
      <c r="H38" s="4">
        <f>0.25*G38</f>
        <v>2.5000000000000001E-2</v>
      </c>
      <c r="I38" s="4">
        <v>1</v>
      </c>
      <c r="J38" s="4" t="s">
        <v>36</v>
      </c>
      <c r="K38" s="4" t="s">
        <v>24</v>
      </c>
      <c r="L38">
        <v>0.1</v>
      </c>
      <c r="M38" s="7">
        <f>L38/H38</f>
        <v>4</v>
      </c>
      <c r="N38" s="7">
        <v>5185.8969999999999</v>
      </c>
      <c r="O38" s="15">
        <v>4860.27441469514</v>
      </c>
      <c r="P38">
        <f>8*(N38/B38)^2</f>
        <v>3.4423715449099523E-3</v>
      </c>
      <c r="Q38" s="8">
        <f>8*(O38/B38)^2</f>
        <v>3.0236502254259432E-3</v>
      </c>
      <c r="R38" s="9">
        <f>(Q38-P38)/P38</f>
        <v>-0.12163745662583968</v>
      </c>
      <c r="S38" s="7">
        <f>500*2*O38/B38</f>
        <v>19.44109765878056</v>
      </c>
      <c r="T38" s="3">
        <f>B38/4*P38</f>
        <v>215.14822155687202</v>
      </c>
      <c r="U38" s="7">
        <f t="shared" si="24"/>
        <v>518.58969999999999</v>
      </c>
      <c r="V38" s="7">
        <f t="shared" si="25"/>
        <v>486.02744146951403</v>
      </c>
      <c r="W38" s="7">
        <f t="shared" si="26"/>
        <v>518.58969999999999</v>
      </c>
      <c r="X38" s="3">
        <f t="shared" si="27"/>
        <v>129.647425</v>
      </c>
    </row>
    <row r="39" spans="1:24" x14ac:dyDescent="0.35">
      <c r="A39" t="s">
        <v>128</v>
      </c>
      <c r="B39" s="4">
        <v>250000</v>
      </c>
      <c r="C39" s="4" t="s">
        <v>35</v>
      </c>
      <c r="D39" s="4" t="s">
        <v>39</v>
      </c>
      <c r="E39" s="4">
        <v>6.7000000000000004E-2</v>
      </c>
      <c r="F39" s="4">
        <v>6.7000000000000004E-2</v>
      </c>
      <c r="G39">
        <f>F39</f>
        <v>6.7000000000000004E-2</v>
      </c>
      <c r="H39" s="4">
        <f>0.25*G39</f>
        <v>1.6750000000000001E-2</v>
      </c>
      <c r="I39" s="4">
        <v>1</v>
      </c>
      <c r="J39" s="4" t="s">
        <v>36</v>
      </c>
      <c r="K39" s="4" t="s">
        <v>24</v>
      </c>
      <c r="L39">
        <v>0.1</v>
      </c>
      <c r="M39" s="7">
        <f>L39/H39</f>
        <v>5.9701492537313436</v>
      </c>
      <c r="N39" s="7">
        <v>5185.8969999999999</v>
      </c>
      <c r="O39" s="15">
        <v>5115.32676697441</v>
      </c>
      <c r="P39">
        <f>8*(N39/B39)^2</f>
        <v>3.4423715449099523E-3</v>
      </c>
      <c r="Q39" s="8">
        <f>8*(O39/B39)^2</f>
        <v>3.3493206954143834E-3</v>
      </c>
      <c r="R39" s="9">
        <f t="shared" ref="R39:R41" si="32">(Q39-P39)/P39</f>
        <v>-2.7031030288743259E-2</v>
      </c>
      <c r="S39" s="7">
        <f t="shared" ref="S39:S41" si="33">500*2*O39/B39</f>
        <v>20.461307067897639</v>
      </c>
      <c r="T39" s="3">
        <f t="shared" ref="T39:T41" si="34">B39/4*P39</f>
        <v>215.14822155687202</v>
      </c>
      <c r="U39" s="7">
        <f t="shared" si="24"/>
        <v>347.45509900000002</v>
      </c>
      <c r="V39" s="7">
        <f t="shared" si="25"/>
        <v>342.72689338728549</v>
      </c>
      <c r="W39" s="7">
        <f t="shared" si="26"/>
        <v>347.45509900000002</v>
      </c>
      <c r="X39" s="3">
        <f t="shared" si="27"/>
        <v>86.863774750000005</v>
      </c>
    </row>
    <row r="40" spans="1:24" x14ac:dyDescent="0.35">
      <c r="A40" t="s">
        <v>128</v>
      </c>
      <c r="B40" s="4">
        <v>250000</v>
      </c>
      <c r="C40" s="4" t="s">
        <v>35</v>
      </c>
      <c r="D40" s="4" t="s">
        <v>40</v>
      </c>
      <c r="E40" s="4">
        <v>0.05</v>
      </c>
      <c r="F40" s="4">
        <v>0.05</v>
      </c>
      <c r="G40">
        <f>F40</f>
        <v>0.05</v>
      </c>
      <c r="H40" s="4">
        <f>0.25*G40</f>
        <v>1.2500000000000001E-2</v>
      </c>
      <c r="I40" s="4">
        <v>1</v>
      </c>
      <c r="J40" s="4" t="s">
        <v>36</v>
      </c>
      <c r="K40" s="4" t="s">
        <v>24</v>
      </c>
      <c r="L40">
        <v>0.1</v>
      </c>
      <c r="M40" s="7">
        <f>L40/H40</f>
        <v>8</v>
      </c>
      <c r="N40" s="7">
        <v>5185.8969999999999</v>
      </c>
      <c r="O40" s="15">
        <v>5125.0459836528198</v>
      </c>
      <c r="P40">
        <f>8*(N40/B40)^2</f>
        <v>3.4423715449099523E-3</v>
      </c>
      <c r="Q40" s="8">
        <f t="shared" ref="Q40:Q41" si="35">8*(O40/B40)^2</f>
        <v>3.3620603308231549E-3</v>
      </c>
      <c r="R40" s="9">
        <f t="shared" si="32"/>
        <v>-2.3330199264965799E-2</v>
      </c>
      <c r="S40" s="7">
        <f t="shared" si="33"/>
        <v>20.500183934611279</v>
      </c>
      <c r="T40" s="3">
        <f t="shared" si="34"/>
        <v>215.14822155687202</v>
      </c>
      <c r="U40" s="7">
        <f t="shared" si="24"/>
        <v>259.29485</v>
      </c>
      <c r="V40" s="7">
        <f t="shared" si="25"/>
        <v>256.25229918264102</v>
      </c>
      <c r="W40" s="7">
        <f t="shared" si="26"/>
        <v>259.29485</v>
      </c>
      <c r="X40" s="3">
        <f t="shared" si="27"/>
        <v>64.823712499999999</v>
      </c>
    </row>
    <row r="41" spans="1:24" x14ac:dyDescent="0.35">
      <c r="A41" t="s">
        <v>128</v>
      </c>
      <c r="B41" s="4">
        <v>250000</v>
      </c>
      <c r="C41" s="4" t="s">
        <v>35</v>
      </c>
      <c r="D41" s="4" t="s">
        <v>41</v>
      </c>
      <c r="E41" s="4">
        <v>3.3000000000000002E-2</v>
      </c>
      <c r="F41" s="4">
        <v>3.3000000000000002E-2</v>
      </c>
      <c r="G41">
        <f>F41</f>
        <v>3.3000000000000002E-2</v>
      </c>
      <c r="H41" s="4">
        <f>0.25*G41</f>
        <v>8.2500000000000004E-3</v>
      </c>
      <c r="I41" s="4">
        <v>1</v>
      </c>
      <c r="J41" s="4" t="s">
        <v>36</v>
      </c>
      <c r="K41" s="4" t="s">
        <v>24</v>
      </c>
      <c r="L41">
        <v>0.1</v>
      </c>
      <c r="M41" s="7">
        <f>L41/H41</f>
        <v>12.121212121212121</v>
      </c>
      <c r="N41" s="7">
        <v>5185.8969999999999</v>
      </c>
      <c r="O41" s="15">
        <v>5082.5638219350403</v>
      </c>
      <c r="P41">
        <f>8*(N41/B41)^2</f>
        <v>3.4423715449099523E-3</v>
      </c>
      <c r="Q41" s="8">
        <f t="shared" si="35"/>
        <v>3.3065542405174937E-3</v>
      </c>
      <c r="R41" s="9">
        <f t="shared" si="32"/>
        <v>-3.9454574446876389E-2</v>
      </c>
      <c r="S41" s="7">
        <f t="shared" si="33"/>
        <v>20.330255287740158</v>
      </c>
      <c r="T41" s="3">
        <f t="shared" si="34"/>
        <v>215.14822155687202</v>
      </c>
      <c r="U41" s="7">
        <f t="shared" si="24"/>
        <v>171.134601</v>
      </c>
      <c r="V41" s="7">
        <f t="shared" si="25"/>
        <v>167.72460612385635</v>
      </c>
      <c r="W41" s="7">
        <f t="shared" si="26"/>
        <v>171.134601</v>
      </c>
      <c r="X41" s="3">
        <f t="shared" si="27"/>
        <v>42.783650250000001</v>
      </c>
    </row>
    <row r="42" spans="1:24" x14ac:dyDescent="0.35">
      <c r="U42" s="7"/>
      <c r="V42" s="7"/>
      <c r="W42" s="7"/>
      <c r="X42" s="3"/>
    </row>
    <row r="43" spans="1:24" x14ac:dyDescent="0.35">
      <c r="U43" s="7"/>
      <c r="V43" s="7"/>
      <c r="W43" s="7"/>
      <c r="X43" s="3"/>
    </row>
    <row r="44" spans="1:24" x14ac:dyDescent="0.35">
      <c r="A44" t="s">
        <v>136</v>
      </c>
      <c r="B44" s="4">
        <v>250000</v>
      </c>
      <c r="C44" s="4" t="s">
        <v>35</v>
      </c>
      <c r="D44" s="4" t="s">
        <v>37</v>
      </c>
      <c r="E44" s="4">
        <v>0.1</v>
      </c>
      <c r="F44" s="4">
        <v>0.1</v>
      </c>
      <c r="G44">
        <f>F44</f>
        <v>0.1</v>
      </c>
      <c r="H44" s="4">
        <f>0.25*G44</f>
        <v>2.5000000000000001E-2</v>
      </c>
      <c r="I44" s="4">
        <v>1</v>
      </c>
      <c r="J44" s="4" t="s">
        <v>36</v>
      </c>
      <c r="K44" s="4" t="s">
        <v>24</v>
      </c>
      <c r="L44">
        <v>0.1</v>
      </c>
      <c r="M44" s="7">
        <f>L44/H44</f>
        <v>4</v>
      </c>
      <c r="N44" s="7">
        <v>5185.8969999999999</v>
      </c>
      <c r="O44" s="15">
        <v>4861.1847284975702</v>
      </c>
      <c r="P44">
        <f>8*(N44/B44)^2</f>
        <v>3.4423715449099523E-3</v>
      </c>
      <c r="Q44" s="8">
        <f>8*(O44/B44)^2</f>
        <v>3.0247829714659838E-3</v>
      </c>
      <c r="R44" s="9">
        <f>(Q44-P44)/P44</f>
        <v>-0.12130839684096101</v>
      </c>
      <c r="S44" s="7">
        <f>500*2*O44/B44</f>
        <v>19.444738913990282</v>
      </c>
      <c r="T44" s="3">
        <f>B44/4*P44</f>
        <v>215.14822155687202</v>
      </c>
      <c r="U44" s="7">
        <f t="shared" si="24"/>
        <v>518.58969999999999</v>
      </c>
      <c r="V44" s="7">
        <f t="shared" si="25"/>
        <v>486.11847284975704</v>
      </c>
      <c r="W44" s="7">
        <f t="shared" si="26"/>
        <v>518.58969999999999</v>
      </c>
      <c r="X44" s="3">
        <f t="shared" si="27"/>
        <v>129.647425</v>
      </c>
    </row>
    <row r="45" spans="1:24" x14ac:dyDescent="0.35">
      <c r="A45" t="s">
        <v>136</v>
      </c>
      <c r="B45" s="4">
        <v>250000</v>
      </c>
      <c r="C45" s="4" t="s">
        <v>35</v>
      </c>
      <c r="D45" s="4" t="s">
        <v>39</v>
      </c>
      <c r="E45" s="4">
        <v>6.7000000000000004E-2</v>
      </c>
      <c r="F45" s="4">
        <v>6.7000000000000004E-2</v>
      </c>
      <c r="G45">
        <f>F45</f>
        <v>6.7000000000000004E-2</v>
      </c>
      <c r="H45" s="4">
        <f>0.25*G45</f>
        <v>1.6750000000000001E-2</v>
      </c>
      <c r="I45" s="4">
        <v>1</v>
      </c>
      <c r="J45" s="4" t="s">
        <v>36</v>
      </c>
      <c r="K45" s="4" t="s">
        <v>24</v>
      </c>
      <c r="L45">
        <v>0.1</v>
      </c>
      <c r="M45" s="7">
        <f>L45/H45</f>
        <v>5.9701492537313436</v>
      </c>
      <c r="N45" s="7">
        <v>5185.8969999999999</v>
      </c>
      <c r="O45" s="15">
        <v>5114.3460867537297</v>
      </c>
      <c r="P45">
        <f>8*(N45/B45)^2</f>
        <v>3.4423715449099523E-3</v>
      </c>
      <c r="Q45" s="8">
        <f>8*(O45/B45)^2</f>
        <v>3.3480365945719281E-3</v>
      </c>
      <c r="R45" s="9">
        <f t="shared" ref="R45:R47" si="36">(Q45-P45)/P45</f>
        <v>-2.7404058250920682E-2</v>
      </c>
      <c r="S45" s="7">
        <f t="shared" ref="S45:S47" si="37">500*2*O45/B45</f>
        <v>20.457384347014919</v>
      </c>
      <c r="T45" s="3">
        <f t="shared" ref="T45:T47" si="38">B45/4*P45</f>
        <v>215.14822155687202</v>
      </c>
      <c r="U45" s="7">
        <f t="shared" si="24"/>
        <v>347.45509900000002</v>
      </c>
      <c r="V45" s="7">
        <f t="shared" si="25"/>
        <v>342.66118781249992</v>
      </c>
      <c r="W45" s="7">
        <f t="shared" si="26"/>
        <v>347.45509900000002</v>
      </c>
      <c r="X45" s="3">
        <f t="shared" si="27"/>
        <v>86.863774750000005</v>
      </c>
    </row>
    <row r="46" spans="1:24" x14ac:dyDescent="0.35">
      <c r="A46" t="s">
        <v>136</v>
      </c>
      <c r="B46" s="4">
        <v>250000</v>
      </c>
      <c r="C46" s="4" t="s">
        <v>35</v>
      </c>
      <c r="D46" s="4" t="s">
        <v>40</v>
      </c>
      <c r="E46" s="4">
        <v>0.05</v>
      </c>
      <c r="F46" s="4">
        <v>0.05</v>
      </c>
      <c r="G46">
        <f>F46</f>
        <v>0.05</v>
      </c>
      <c r="H46" s="4">
        <f>0.25*G46</f>
        <v>1.2500000000000001E-2</v>
      </c>
      <c r="I46" s="4">
        <v>1</v>
      </c>
      <c r="J46" s="4" t="s">
        <v>36</v>
      </c>
      <c r="K46" s="4" t="s">
        <v>24</v>
      </c>
      <c r="L46">
        <v>0.1</v>
      </c>
      <c r="M46" s="7">
        <f>L46/H46</f>
        <v>8</v>
      </c>
      <c r="N46" s="7">
        <v>5185.8969999999999</v>
      </c>
      <c r="O46" s="15">
        <v>5128.4397753326903</v>
      </c>
      <c r="P46">
        <f>8*(N46/B46)^2</f>
        <v>3.4423715449099523E-3</v>
      </c>
      <c r="Q46" s="8">
        <f t="shared" ref="Q46:Q47" si="39">8*(O46/B46)^2</f>
        <v>3.3665144997394457E-3</v>
      </c>
      <c r="R46" s="9">
        <f t="shared" si="36"/>
        <v>-2.2036274754441386E-2</v>
      </c>
      <c r="S46" s="7">
        <f t="shared" si="37"/>
        <v>20.513759101330759</v>
      </c>
      <c r="T46" s="3">
        <f t="shared" si="38"/>
        <v>215.14822155687202</v>
      </c>
      <c r="U46" s="7">
        <f t="shared" si="24"/>
        <v>259.29485</v>
      </c>
      <c r="V46" s="7">
        <f t="shared" si="25"/>
        <v>256.42198876663451</v>
      </c>
      <c r="W46" s="7">
        <f t="shared" si="26"/>
        <v>259.29485</v>
      </c>
      <c r="X46" s="3">
        <f t="shared" si="27"/>
        <v>64.823712499999999</v>
      </c>
    </row>
    <row r="47" spans="1:24" x14ac:dyDescent="0.35">
      <c r="A47" t="s">
        <v>136</v>
      </c>
      <c r="B47" s="4">
        <v>250000</v>
      </c>
      <c r="C47" s="4" t="s">
        <v>35</v>
      </c>
      <c r="D47" s="4" t="s">
        <v>41</v>
      </c>
      <c r="E47" s="4">
        <v>3.3000000000000002E-2</v>
      </c>
      <c r="F47" s="4">
        <v>3.3000000000000002E-2</v>
      </c>
      <c r="G47">
        <f>F47</f>
        <v>3.3000000000000002E-2</v>
      </c>
      <c r="H47" s="4">
        <f>0.25*G47</f>
        <v>8.2500000000000004E-3</v>
      </c>
      <c r="I47" s="4">
        <v>1</v>
      </c>
      <c r="J47" s="4" t="s">
        <v>36</v>
      </c>
      <c r="K47" s="4" t="s">
        <v>24</v>
      </c>
      <c r="L47">
        <v>0.1</v>
      </c>
      <c r="M47" s="7">
        <f>L47/H47</f>
        <v>12.121212121212121</v>
      </c>
      <c r="N47" s="7">
        <v>5185.8969999999999</v>
      </c>
      <c r="O47" s="15">
        <v>5071.0831041415604</v>
      </c>
      <c r="P47">
        <f>8*(N47/B47)^2</f>
        <v>3.4423715449099523E-3</v>
      </c>
      <c r="Q47" s="8">
        <f t="shared" si="39"/>
        <v>3.2916331326860804E-3</v>
      </c>
      <c r="R47" s="9">
        <f t="shared" si="36"/>
        <v>-4.3789117547976646E-2</v>
      </c>
      <c r="S47" s="7">
        <f t="shared" si="37"/>
        <v>20.28433241656624</v>
      </c>
      <c r="T47" s="3">
        <f t="shared" si="38"/>
        <v>215.14822155687202</v>
      </c>
      <c r="U47" s="7">
        <f t="shared" si="24"/>
        <v>171.134601</v>
      </c>
      <c r="V47" s="7">
        <f t="shared" si="25"/>
        <v>167.34574243667151</v>
      </c>
      <c r="W47" s="7">
        <f t="shared" si="26"/>
        <v>171.134601</v>
      </c>
      <c r="X47" s="3">
        <f t="shared" si="27"/>
        <v>42.783650250000001</v>
      </c>
    </row>
    <row r="48" spans="1:24" x14ac:dyDescent="0.35">
      <c r="U48" s="7"/>
      <c r="V48" s="7"/>
      <c r="W48" s="7"/>
      <c r="X48" s="3"/>
    </row>
    <row r="49" spans="1:24" x14ac:dyDescent="0.35">
      <c r="U49" s="7"/>
      <c r="V49" s="7"/>
      <c r="W49" s="7"/>
      <c r="X49" s="3"/>
    </row>
    <row r="50" spans="1:24" x14ac:dyDescent="0.35">
      <c r="A50" t="s">
        <v>129</v>
      </c>
      <c r="B50" s="4">
        <v>250000</v>
      </c>
      <c r="C50" s="4" t="s">
        <v>35</v>
      </c>
      <c r="D50" s="4" t="s">
        <v>37</v>
      </c>
      <c r="E50" s="4">
        <v>0.1</v>
      </c>
      <c r="F50" s="4">
        <v>0.1</v>
      </c>
      <c r="G50">
        <f>F50</f>
        <v>0.1</v>
      </c>
      <c r="H50" s="4">
        <f>0.25*G50</f>
        <v>2.5000000000000001E-2</v>
      </c>
      <c r="I50" s="4">
        <v>1</v>
      </c>
      <c r="J50" s="4" t="s">
        <v>36</v>
      </c>
      <c r="K50" s="4" t="s">
        <v>24</v>
      </c>
      <c r="L50">
        <v>0.1</v>
      </c>
      <c r="M50" s="7">
        <f>L50/H50</f>
        <v>4</v>
      </c>
      <c r="N50" s="7">
        <v>5185.8969999999999</v>
      </c>
      <c r="O50" s="15">
        <v>4839.8902912821904</v>
      </c>
      <c r="P50">
        <f>8*(N50/B50)^2</f>
        <v>3.4423715449099523E-3</v>
      </c>
      <c r="Q50" s="8">
        <f>8*(O50/B50)^2</f>
        <v>2.9983408680508937E-3</v>
      </c>
      <c r="R50" s="9">
        <f>(Q50-P50)/P50</f>
        <v>-0.12898975925931722</v>
      </c>
      <c r="S50" s="7">
        <f>500*2*O50/B50</f>
        <v>19.35956116512876</v>
      </c>
      <c r="T50" s="3">
        <f>B50/4*P50</f>
        <v>215.14822155687202</v>
      </c>
      <c r="U50" s="7">
        <f t="shared" si="24"/>
        <v>518.58969999999999</v>
      </c>
      <c r="V50" s="7">
        <f t="shared" si="25"/>
        <v>483.98902912821904</v>
      </c>
      <c r="W50" s="7">
        <f t="shared" si="26"/>
        <v>518.58969999999999</v>
      </c>
      <c r="X50" s="3">
        <f t="shared" si="27"/>
        <v>129.647425</v>
      </c>
    </row>
    <row r="51" spans="1:24" x14ac:dyDescent="0.35">
      <c r="A51" t="s">
        <v>129</v>
      </c>
      <c r="B51" s="4">
        <v>250000</v>
      </c>
      <c r="C51" s="4" t="s">
        <v>35</v>
      </c>
      <c r="D51" s="4" t="s">
        <v>39</v>
      </c>
      <c r="E51" s="4">
        <v>6.7000000000000004E-2</v>
      </c>
      <c r="F51" s="4">
        <v>6.7000000000000004E-2</v>
      </c>
      <c r="G51">
        <f>F51</f>
        <v>6.7000000000000004E-2</v>
      </c>
      <c r="H51" s="4">
        <f>0.25*G51</f>
        <v>1.6750000000000001E-2</v>
      </c>
      <c r="I51" s="4">
        <v>1</v>
      </c>
      <c r="J51" s="4" t="s">
        <v>36</v>
      </c>
      <c r="K51" s="4" t="s">
        <v>24</v>
      </c>
      <c r="L51">
        <v>0.1</v>
      </c>
      <c r="M51" s="7">
        <f>L51/H51</f>
        <v>5.9701492537313436</v>
      </c>
      <c r="N51" s="7">
        <v>5185.8969999999999</v>
      </c>
      <c r="O51" s="15">
        <v>5098.0300379374303</v>
      </c>
      <c r="P51">
        <f>8*(N51/B51)^2</f>
        <v>3.4423715449099523E-3</v>
      </c>
      <c r="Q51" s="8">
        <f>8*(O51/B51)^2</f>
        <v>3.3267085142671764E-3</v>
      </c>
      <c r="R51" s="9">
        <f t="shared" ref="R51:R53" si="40">(Q51-P51)/P51</f>
        <v>-3.3599810227864714E-2</v>
      </c>
      <c r="S51" s="7">
        <f t="shared" ref="S51:S53" si="41">500*2*O51/B51</f>
        <v>20.392120151749722</v>
      </c>
      <c r="T51" s="3">
        <f t="shared" ref="T51:T53" si="42">B51/4*P51</f>
        <v>215.14822155687202</v>
      </c>
      <c r="U51" s="7">
        <f t="shared" si="24"/>
        <v>347.45509900000002</v>
      </c>
      <c r="V51" s="7">
        <f t="shared" si="25"/>
        <v>341.56801254180783</v>
      </c>
      <c r="W51" s="7">
        <f t="shared" si="26"/>
        <v>347.45509900000002</v>
      </c>
      <c r="X51" s="3">
        <f t="shared" si="27"/>
        <v>86.863774750000005</v>
      </c>
    </row>
    <row r="52" spans="1:24" x14ac:dyDescent="0.35">
      <c r="A52" t="s">
        <v>129</v>
      </c>
      <c r="B52" s="4">
        <v>250000</v>
      </c>
      <c r="C52" s="4" t="s">
        <v>35</v>
      </c>
      <c r="D52" s="4" t="s">
        <v>40</v>
      </c>
      <c r="E52" s="4">
        <v>0.05</v>
      </c>
      <c r="F52" s="4">
        <v>0.05</v>
      </c>
      <c r="G52">
        <f>F52</f>
        <v>0.05</v>
      </c>
      <c r="H52" s="4">
        <f>0.25*G52</f>
        <v>1.2500000000000001E-2</v>
      </c>
      <c r="I52" s="4">
        <v>1</v>
      </c>
      <c r="J52" s="4" t="s">
        <v>36</v>
      </c>
      <c r="K52" s="4" t="s">
        <v>24</v>
      </c>
      <c r="L52">
        <v>0.1</v>
      </c>
      <c r="M52" s="7">
        <f>L52/H52</f>
        <v>8</v>
      </c>
      <c r="N52" s="7">
        <v>5185.8969999999999</v>
      </c>
      <c r="O52" s="15">
        <v>5115.2850269746104</v>
      </c>
      <c r="P52">
        <f>8*(N52/B52)^2</f>
        <v>3.4423715449099523E-3</v>
      </c>
      <c r="Q52" s="8">
        <f t="shared" ref="Q52:Q53" si="43">8*(O52/B52)^2</f>
        <v>3.3492660361204023E-3</v>
      </c>
      <c r="R52" s="9">
        <f t="shared" si="40"/>
        <v>-2.7046908671790545E-2</v>
      </c>
      <c r="S52" s="7">
        <f t="shared" si="41"/>
        <v>20.461140107898441</v>
      </c>
      <c r="T52" s="3">
        <f t="shared" si="42"/>
        <v>215.14822155687202</v>
      </c>
      <c r="U52" s="7">
        <f t="shared" si="24"/>
        <v>259.29485</v>
      </c>
      <c r="V52" s="7">
        <f t="shared" si="25"/>
        <v>255.76425134873054</v>
      </c>
      <c r="W52" s="7">
        <f t="shared" si="26"/>
        <v>259.29485</v>
      </c>
      <c r="X52" s="3">
        <f t="shared" si="27"/>
        <v>64.823712499999999</v>
      </c>
    </row>
    <row r="53" spans="1:24" x14ac:dyDescent="0.35">
      <c r="A53" t="s">
        <v>129</v>
      </c>
      <c r="B53" s="4">
        <v>250000</v>
      </c>
      <c r="C53" s="4" t="s">
        <v>35</v>
      </c>
      <c r="D53" s="4" t="s">
        <v>41</v>
      </c>
      <c r="E53" s="4">
        <v>3.3000000000000002E-2</v>
      </c>
      <c r="F53" s="4">
        <v>3.3000000000000002E-2</v>
      </c>
      <c r="G53">
        <f>F53</f>
        <v>3.3000000000000002E-2</v>
      </c>
      <c r="H53" s="4">
        <f>0.25*G53</f>
        <v>8.2500000000000004E-3</v>
      </c>
      <c r="I53" s="4">
        <v>1</v>
      </c>
      <c r="J53" s="4" t="s">
        <v>36</v>
      </c>
      <c r="K53" s="4" t="s">
        <v>24</v>
      </c>
      <c r="L53">
        <v>0.1</v>
      </c>
      <c r="M53" s="7">
        <f>L53/H53</f>
        <v>12.121212121212121</v>
      </c>
      <c r="N53" s="7">
        <v>5185.8969999999999</v>
      </c>
      <c r="O53" s="15">
        <v>5085.5458759715702</v>
      </c>
      <c r="P53">
        <f>8*(N53/B53)^2</f>
        <v>3.4423715449099523E-3</v>
      </c>
      <c r="Q53" s="8">
        <f t="shared" si="43"/>
        <v>3.3104354376462647E-3</v>
      </c>
      <c r="R53" s="9">
        <f t="shared" si="40"/>
        <v>-3.8327096753624487E-2</v>
      </c>
      <c r="S53" s="7">
        <f t="shared" si="41"/>
        <v>20.342183503886282</v>
      </c>
      <c r="T53" s="3">
        <f t="shared" si="42"/>
        <v>215.14822155687202</v>
      </c>
      <c r="U53" s="7">
        <f t="shared" si="24"/>
        <v>171.134601</v>
      </c>
      <c r="V53" s="7">
        <f t="shared" si="25"/>
        <v>167.82301390706183</v>
      </c>
      <c r="W53" s="7">
        <f t="shared" si="26"/>
        <v>171.134601</v>
      </c>
      <c r="X53" s="3">
        <f t="shared" si="27"/>
        <v>42.783650250000001</v>
      </c>
    </row>
    <row r="54" spans="1:24" x14ac:dyDescent="0.35">
      <c r="U54" s="7"/>
      <c r="V54" s="7"/>
      <c r="W54" s="7"/>
      <c r="X54" s="3"/>
    </row>
    <row r="55" spans="1:24" x14ac:dyDescent="0.35">
      <c r="U55" s="7"/>
      <c r="V55" s="7"/>
      <c r="W55" s="7"/>
      <c r="X55" s="3"/>
    </row>
    <row r="56" spans="1:24" x14ac:dyDescent="0.35">
      <c r="A56" t="s">
        <v>130</v>
      </c>
      <c r="B56" s="4">
        <v>250000</v>
      </c>
      <c r="C56" s="4" t="s">
        <v>131</v>
      </c>
      <c r="D56" s="4" t="s">
        <v>132</v>
      </c>
      <c r="E56" s="4">
        <v>0.1</v>
      </c>
      <c r="F56" s="4">
        <v>0.1</v>
      </c>
      <c r="G56">
        <f>F56</f>
        <v>0.1</v>
      </c>
      <c r="H56" s="4">
        <f>0.25*G56</f>
        <v>2.5000000000000001E-2</v>
      </c>
      <c r="I56" s="4">
        <v>1</v>
      </c>
      <c r="J56" s="4" t="s">
        <v>36</v>
      </c>
      <c r="K56" s="4" t="s">
        <v>24</v>
      </c>
      <c r="L56">
        <v>0.1</v>
      </c>
      <c r="M56" s="7">
        <f>L56/H56</f>
        <v>4</v>
      </c>
      <c r="N56" s="7">
        <v>5185.8969999999999</v>
      </c>
      <c r="O56" s="15">
        <v>4865.4971166567602</v>
      </c>
      <c r="P56">
        <f>8*(N56/B56)^2</f>
        <v>3.4423715449099523E-3</v>
      </c>
      <c r="Q56" s="8">
        <f>8*(O56/B56)^2</f>
        <v>3.030151960600992E-3</v>
      </c>
      <c r="R56" s="9">
        <f>(Q56-P56)/P56</f>
        <v>-0.11974871943108145</v>
      </c>
      <c r="S56" s="7">
        <f>500*2*O56/B56</f>
        <v>19.461988466627044</v>
      </c>
      <c r="T56" s="3">
        <f>B56/4*P56</f>
        <v>215.14822155687202</v>
      </c>
      <c r="U56" s="7">
        <f t="shared" si="24"/>
        <v>518.58969999999999</v>
      </c>
      <c r="V56" s="7">
        <f t="shared" si="25"/>
        <v>486.54971166567606</v>
      </c>
      <c r="W56" s="7">
        <f t="shared" si="26"/>
        <v>518.58969999999999</v>
      </c>
      <c r="X56" s="3">
        <f t="shared" si="27"/>
        <v>129.647425</v>
      </c>
    </row>
    <row r="57" spans="1:24" x14ac:dyDescent="0.35">
      <c r="A57" t="s">
        <v>130</v>
      </c>
      <c r="B57" s="4">
        <v>250000</v>
      </c>
      <c r="C57" s="4" t="s">
        <v>131</v>
      </c>
      <c r="D57" s="4" t="s">
        <v>133</v>
      </c>
      <c r="E57" s="4">
        <v>6.7000000000000004E-2</v>
      </c>
      <c r="F57" s="4">
        <v>6.7000000000000004E-2</v>
      </c>
      <c r="G57">
        <f>F57</f>
        <v>6.7000000000000004E-2</v>
      </c>
      <c r="H57" s="4">
        <f>0.25*G57</f>
        <v>1.6750000000000001E-2</v>
      </c>
      <c r="I57" s="4">
        <v>1</v>
      </c>
      <c r="J57" s="4" t="s">
        <v>36</v>
      </c>
      <c r="K57" s="4" t="s">
        <v>24</v>
      </c>
      <c r="L57">
        <v>0.1</v>
      </c>
      <c r="M57" s="7">
        <f>L57/H57</f>
        <v>5.9701492537313436</v>
      </c>
      <c r="N57" s="7">
        <v>5185.8969999999999</v>
      </c>
      <c r="O57" s="15">
        <v>5122.4277977756801</v>
      </c>
      <c r="P57">
        <f>8*(N57/B57)^2</f>
        <v>3.4423715449099523E-3</v>
      </c>
      <c r="Q57" s="8">
        <f>8*(O57/B57)^2</f>
        <v>3.3586261175584009E-3</v>
      </c>
      <c r="R57" s="9">
        <f t="shared" ref="R57:R59" si="44">(Q57-P57)/P57</f>
        <v>-2.4327829305753234E-2</v>
      </c>
      <c r="S57" s="7">
        <f t="shared" ref="S57:S59" si="45">500*2*O57/B57</f>
        <v>20.489711191102721</v>
      </c>
      <c r="T57" s="3">
        <f t="shared" ref="T57:T59" si="46">B57/4*P57</f>
        <v>215.14822155687202</v>
      </c>
      <c r="U57" s="7">
        <f t="shared" si="24"/>
        <v>347.45509900000002</v>
      </c>
      <c r="V57" s="7">
        <f t="shared" si="25"/>
        <v>343.20266245097059</v>
      </c>
      <c r="W57" s="7">
        <f t="shared" si="26"/>
        <v>347.45509900000002</v>
      </c>
      <c r="X57" s="3">
        <f t="shared" si="27"/>
        <v>86.863774750000005</v>
      </c>
    </row>
    <row r="58" spans="1:24" x14ac:dyDescent="0.35">
      <c r="A58" t="s">
        <v>130</v>
      </c>
      <c r="B58" s="4">
        <v>250000</v>
      </c>
      <c r="C58" s="4" t="s">
        <v>131</v>
      </c>
      <c r="D58" s="4" t="s">
        <v>134</v>
      </c>
      <c r="E58" s="4">
        <v>0.05</v>
      </c>
      <c r="F58" s="4">
        <v>0.05</v>
      </c>
      <c r="G58">
        <f>F58</f>
        <v>0.05</v>
      </c>
      <c r="H58" s="4">
        <f>0.25*G58</f>
        <v>1.2500000000000001E-2</v>
      </c>
      <c r="I58" s="4">
        <v>1</v>
      </c>
      <c r="J58" s="4" t="s">
        <v>36</v>
      </c>
      <c r="K58" s="4" t="s">
        <v>24</v>
      </c>
      <c r="L58">
        <v>0.1</v>
      </c>
      <c r="M58" s="7">
        <f>L58/H58</f>
        <v>8</v>
      </c>
      <c r="N58" s="7">
        <v>5185.8969999999999</v>
      </c>
      <c r="O58" s="15">
        <v>5140.7578715457903</v>
      </c>
      <c r="P58">
        <f>8*(N58/B58)^2</f>
        <v>3.4423715449099523E-3</v>
      </c>
      <c r="Q58" s="8">
        <f t="shared" ref="Q58:Q59" si="47">8*(O58/B58)^2</f>
        <v>3.382706111214081E-3</v>
      </c>
      <c r="R58" s="9">
        <f t="shared" si="44"/>
        <v>-1.7332653642252921E-2</v>
      </c>
      <c r="S58" s="7">
        <f t="shared" si="45"/>
        <v>20.563031486183164</v>
      </c>
      <c r="T58" s="3">
        <f t="shared" si="46"/>
        <v>215.14822155687202</v>
      </c>
      <c r="U58" s="7">
        <f t="shared" si="24"/>
        <v>259.29485</v>
      </c>
      <c r="V58" s="7">
        <f t="shared" si="25"/>
        <v>257.03789357728954</v>
      </c>
      <c r="W58" s="7">
        <f t="shared" si="26"/>
        <v>259.29485</v>
      </c>
      <c r="X58" s="3">
        <f t="shared" si="27"/>
        <v>64.823712499999999</v>
      </c>
    </row>
    <row r="59" spans="1:24" x14ac:dyDescent="0.35">
      <c r="A59" t="s">
        <v>130</v>
      </c>
      <c r="B59" s="4">
        <v>250000</v>
      </c>
      <c r="C59" s="4" t="s">
        <v>131</v>
      </c>
      <c r="D59" s="4" t="s">
        <v>135</v>
      </c>
      <c r="E59" s="4">
        <v>3.3000000000000002E-2</v>
      </c>
      <c r="F59" s="4">
        <v>3.3000000000000002E-2</v>
      </c>
      <c r="G59">
        <f>F59</f>
        <v>3.3000000000000002E-2</v>
      </c>
      <c r="H59" s="4">
        <f>0.25*G59</f>
        <v>8.2500000000000004E-3</v>
      </c>
      <c r="I59" s="4">
        <v>1</v>
      </c>
      <c r="J59" s="4" t="s">
        <v>36</v>
      </c>
      <c r="K59" s="4" t="s">
        <v>24</v>
      </c>
      <c r="L59">
        <v>0.1</v>
      </c>
      <c r="M59" s="7">
        <f>L59/H59</f>
        <v>12.121212121212121</v>
      </c>
      <c r="N59" s="7">
        <v>5185.8969999999999</v>
      </c>
      <c r="O59" s="15">
        <v>5161.2717558357099</v>
      </c>
      <c r="P59">
        <f>8*(N59/B59)^2</f>
        <v>3.4423715449099523E-3</v>
      </c>
      <c r="Q59" s="8">
        <f t="shared" si="47"/>
        <v>3.4097569456111917E-3</v>
      </c>
      <c r="R59" s="9">
        <f t="shared" si="44"/>
        <v>-9.4744564534255601E-3</v>
      </c>
      <c r="S59" s="7">
        <f t="shared" si="45"/>
        <v>20.645087023342839</v>
      </c>
      <c r="T59" s="3">
        <f t="shared" si="46"/>
        <v>215.14822155687202</v>
      </c>
      <c r="U59" s="7">
        <f t="shared" si="24"/>
        <v>171.134601</v>
      </c>
      <c r="V59" s="7">
        <f t="shared" si="25"/>
        <v>170.32196794257842</v>
      </c>
      <c r="W59" s="7">
        <f t="shared" si="26"/>
        <v>171.134601</v>
      </c>
      <c r="X59" s="3">
        <f t="shared" si="27"/>
        <v>42.783650250000001</v>
      </c>
    </row>
    <row r="60" spans="1:24" x14ac:dyDescent="0.35">
      <c r="U60" s="7"/>
      <c r="V60" s="7"/>
      <c r="W60" s="7"/>
      <c r="X60" s="3"/>
    </row>
    <row r="61" spans="1:24" x14ac:dyDescent="0.35">
      <c r="U61" s="7"/>
      <c r="V61" s="7"/>
      <c r="W61" s="7"/>
      <c r="X61" s="3"/>
    </row>
    <row r="62" spans="1:24" x14ac:dyDescent="0.35">
      <c r="A62" t="s">
        <v>137</v>
      </c>
      <c r="B62" s="4">
        <v>250000</v>
      </c>
      <c r="C62" s="4" t="s">
        <v>35</v>
      </c>
      <c r="D62" s="4" t="s">
        <v>37</v>
      </c>
      <c r="E62" s="4">
        <v>0.1</v>
      </c>
      <c r="F62" s="4">
        <v>0.1</v>
      </c>
      <c r="G62">
        <f>F62</f>
        <v>0.1</v>
      </c>
      <c r="H62" s="4">
        <f>0.25*G62</f>
        <v>2.5000000000000001E-2</v>
      </c>
      <c r="I62" s="4">
        <v>1</v>
      </c>
      <c r="J62" s="4" t="s">
        <v>36</v>
      </c>
      <c r="K62" s="4" t="s">
        <v>24</v>
      </c>
      <c r="L62">
        <v>0.1</v>
      </c>
      <c r="M62" s="7">
        <f>L62/H62</f>
        <v>4</v>
      </c>
      <c r="N62" s="7">
        <v>5185.8969999999999</v>
      </c>
      <c r="O62" s="15">
        <v>4863.0764273383802</v>
      </c>
      <c r="P62">
        <f>8*(N62/B62)^2</f>
        <v>3.4423715449099523E-3</v>
      </c>
      <c r="Q62" s="8">
        <f>8*(O62/B62)^2</f>
        <v>3.0271375792811804E-3</v>
      </c>
      <c r="R62" s="9">
        <f>(Q62-P62)/P62</f>
        <v>-0.12062438938142973</v>
      </c>
      <c r="S62" s="7">
        <f>500*2*O62/B62</f>
        <v>19.452305709353521</v>
      </c>
      <c r="T62" s="3">
        <f>B62/4*P62</f>
        <v>215.14822155687202</v>
      </c>
      <c r="U62" s="7">
        <f t="shared" ref="U62:U71" si="48">E62*N62</f>
        <v>518.58969999999999</v>
      </c>
      <c r="V62" s="7">
        <f t="shared" ref="V62:V71" si="49">F62*O62</f>
        <v>486.30764273383807</v>
      </c>
      <c r="W62" s="7">
        <f t="shared" ref="W62:W71" si="50">G62*N62</f>
        <v>518.58969999999999</v>
      </c>
      <c r="X62" s="3">
        <f t="shared" ref="X62:X71" si="51">H62*N62</f>
        <v>129.647425</v>
      </c>
    </row>
    <row r="63" spans="1:24" x14ac:dyDescent="0.35">
      <c r="A63" t="s">
        <v>137</v>
      </c>
      <c r="B63" s="4">
        <v>250000</v>
      </c>
      <c r="C63" s="4" t="s">
        <v>35</v>
      </c>
      <c r="D63" s="4" t="s">
        <v>39</v>
      </c>
      <c r="E63" s="4">
        <v>6.7000000000000004E-2</v>
      </c>
      <c r="F63" s="4">
        <v>6.7000000000000004E-2</v>
      </c>
      <c r="G63">
        <f>F63</f>
        <v>6.7000000000000004E-2</v>
      </c>
      <c r="H63" s="4">
        <f>0.25*G63</f>
        <v>1.6750000000000001E-2</v>
      </c>
      <c r="I63" s="4">
        <v>1</v>
      </c>
      <c r="J63" s="4" t="s">
        <v>36</v>
      </c>
      <c r="K63" s="4" t="s">
        <v>24</v>
      </c>
      <c r="L63">
        <v>0.1</v>
      </c>
      <c r="M63" s="7">
        <f>L63/H63</f>
        <v>5.9701492537313436</v>
      </c>
      <c r="N63" s="7">
        <v>5185.8969999999999</v>
      </c>
      <c r="O63" s="15">
        <v>5118.5994558266202</v>
      </c>
      <c r="P63">
        <f>8*(N63/B63)^2</f>
        <v>3.4423715449099523E-3</v>
      </c>
      <c r="Q63" s="8">
        <f>8*(O63/B63)^2</f>
        <v>3.353607729816137E-3</v>
      </c>
      <c r="R63" s="9">
        <f t="shared" ref="R63:R65" si="52">(Q63-P63)/P63</f>
        <v>-2.5785657920936959E-2</v>
      </c>
      <c r="S63" s="7">
        <f t="shared" ref="S63:S65" si="53">500*2*O63/B63</f>
        <v>20.474397823306482</v>
      </c>
      <c r="T63" s="3">
        <f t="shared" ref="T63:T65" si="54">B63/4*P63</f>
        <v>215.14822155687202</v>
      </c>
      <c r="U63" s="7">
        <f t="shared" si="48"/>
        <v>347.45509900000002</v>
      </c>
      <c r="V63" s="7">
        <f t="shared" si="49"/>
        <v>342.94616354038357</v>
      </c>
      <c r="W63" s="7">
        <f t="shared" si="50"/>
        <v>347.45509900000002</v>
      </c>
      <c r="X63" s="3">
        <f t="shared" si="51"/>
        <v>86.863774750000005</v>
      </c>
    </row>
    <row r="64" spans="1:24" x14ac:dyDescent="0.35">
      <c r="A64" t="s">
        <v>137</v>
      </c>
      <c r="B64" s="4">
        <v>250000</v>
      </c>
      <c r="C64" s="4" t="s">
        <v>35</v>
      </c>
      <c r="D64" s="4" t="s">
        <v>40</v>
      </c>
      <c r="E64" s="4">
        <v>0.05</v>
      </c>
      <c r="F64" s="4">
        <v>0.05</v>
      </c>
      <c r="G64">
        <f>F64</f>
        <v>0.05</v>
      </c>
      <c r="H64" s="4">
        <f>0.25*G64</f>
        <v>1.2500000000000001E-2</v>
      </c>
      <c r="I64" s="4">
        <v>1</v>
      </c>
      <c r="J64" s="4" t="s">
        <v>36</v>
      </c>
      <c r="K64" s="4" t="s">
        <v>24</v>
      </c>
      <c r="L64">
        <v>0.1</v>
      </c>
      <c r="M64" s="7">
        <f>L64/H64</f>
        <v>8</v>
      </c>
      <c r="N64" s="7">
        <v>5185.8969999999999</v>
      </c>
      <c r="O64" s="15">
        <v>5140.2711235485604</v>
      </c>
      <c r="P64">
        <f>8*(N64/B64)^2</f>
        <v>3.4423715449099523E-3</v>
      </c>
      <c r="Q64" s="8">
        <f t="shared" ref="Q64:Q65" si="55">8*(O64/B64)^2</f>
        <v>3.3820655646191588E-3</v>
      </c>
      <c r="R64" s="9">
        <f t="shared" si="52"/>
        <v>-1.7518730765702695E-2</v>
      </c>
      <c r="S64" s="7">
        <f t="shared" si="53"/>
        <v>20.561084494194244</v>
      </c>
      <c r="T64" s="3">
        <f t="shared" si="54"/>
        <v>215.14822155687202</v>
      </c>
      <c r="U64" s="7">
        <f t="shared" si="48"/>
        <v>259.29485</v>
      </c>
      <c r="V64" s="7">
        <f t="shared" si="49"/>
        <v>257.01355617742803</v>
      </c>
      <c r="W64" s="7">
        <f t="shared" si="50"/>
        <v>259.29485</v>
      </c>
      <c r="X64" s="3">
        <f t="shared" si="51"/>
        <v>64.823712499999999</v>
      </c>
    </row>
    <row r="65" spans="1:24" x14ac:dyDescent="0.35">
      <c r="A65" t="s">
        <v>137</v>
      </c>
      <c r="B65" s="4">
        <v>250000</v>
      </c>
      <c r="C65" s="4" t="s">
        <v>35</v>
      </c>
      <c r="D65" s="4" t="s">
        <v>41</v>
      </c>
      <c r="E65" s="4">
        <v>3.3000000000000002E-2</v>
      </c>
      <c r="F65" s="4">
        <v>3.3000000000000002E-2</v>
      </c>
      <c r="G65">
        <f>F65</f>
        <v>3.3000000000000002E-2</v>
      </c>
      <c r="H65" s="4">
        <f>0.25*G65</f>
        <v>8.2500000000000004E-3</v>
      </c>
      <c r="I65" s="4">
        <v>1</v>
      </c>
      <c r="J65" s="4" t="s">
        <v>36</v>
      </c>
      <c r="K65" s="4" t="s">
        <v>24</v>
      </c>
      <c r="L65">
        <v>0.1</v>
      </c>
      <c r="M65" s="7">
        <f>L65/H65</f>
        <v>12.121212121212121</v>
      </c>
      <c r="N65" s="7">
        <v>5185.8969999999999</v>
      </c>
      <c r="O65" s="15">
        <v>5164.2975147391799</v>
      </c>
      <c r="P65">
        <f>8*(N65/B65)^2</f>
        <v>3.4423715449099523E-3</v>
      </c>
      <c r="Q65" s="8">
        <f t="shared" si="55"/>
        <v>3.4137560090548827E-3</v>
      </c>
      <c r="R65" s="9">
        <f t="shared" si="52"/>
        <v>-8.3127389015813305E-3</v>
      </c>
      <c r="S65" s="7">
        <f t="shared" si="53"/>
        <v>20.657190058956719</v>
      </c>
      <c r="T65" s="3">
        <f t="shared" si="54"/>
        <v>215.14822155687202</v>
      </c>
      <c r="U65" s="7">
        <f t="shared" si="48"/>
        <v>171.134601</v>
      </c>
      <c r="V65" s="7">
        <f t="shared" si="49"/>
        <v>170.42181798639294</v>
      </c>
      <c r="W65" s="7">
        <f t="shared" si="50"/>
        <v>171.134601</v>
      </c>
      <c r="X65" s="3">
        <f t="shared" si="51"/>
        <v>42.783650250000001</v>
      </c>
    </row>
    <row r="66" spans="1:24" x14ac:dyDescent="0.35">
      <c r="U66" s="7"/>
      <c r="V66" s="7"/>
      <c r="W66" s="7"/>
      <c r="X66" s="3"/>
    </row>
    <row r="67" spans="1:24" x14ac:dyDescent="0.35">
      <c r="U67" s="7"/>
      <c r="V67" s="7"/>
      <c r="W67" s="7"/>
      <c r="X67" s="3"/>
    </row>
    <row r="68" spans="1:24" x14ac:dyDescent="0.35">
      <c r="A68" t="s">
        <v>138</v>
      </c>
      <c r="B68" s="4">
        <v>250000</v>
      </c>
      <c r="C68" s="4" t="s">
        <v>35</v>
      </c>
      <c r="D68" s="4" t="s">
        <v>37</v>
      </c>
      <c r="E68" s="4">
        <v>0.1</v>
      </c>
      <c r="F68" s="4">
        <v>0.1</v>
      </c>
      <c r="G68">
        <f>F68</f>
        <v>0.1</v>
      </c>
      <c r="H68" s="4">
        <f>0.25*G68</f>
        <v>2.5000000000000001E-2</v>
      </c>
      <c r="I68" s="4">
        <v>1</v>
      </c>
      <c r="J68" s="4" t="s">
        <v>36</v>
      </c>
      <c r="K68" s="4" t="s">
        <v>24</v>
      </c>
      <c r="L68">
        <v>0.1</v>
      </c>
      <c r="M68" s="7">
        <f>L68/H68</f>
        <v>4</v>
      </c>
      <c r="N68" s="7">
        <v>5185.8969999999999</v>
      </c>
      <c r="O68" s="15">
        <v>2724.2680660745</v>
      </c>
      <c r="P68">
        <f>8*(N68/B68)^2</f>
        <v>3.4423715449099523E-3</v>
      </c>
      <c r="Q68" s="8">
        <f>8*(O68/B68)^2</f>
        <v>9.4996947146666177E-4</v>
      </c>
      <c r="R68" s="9">
        <f>(Q68-P68)/P68</f>
        <v>-0.72403633394212485</v>
      </c>
      <c r="S68" s="7">
        <f>500*2*O68/B68</f>
        <v>10.897072264298</v>
      </c>
      <c r="T68" s="3">
        <f>B68/4*P68</f>
        <v>215.14822155687202</v>
      </c>
      <c r="U68" s="7">
        <f t="shared" si="48"/>
        <v>518.58969999999999</v>
      </c>
      <c r="V68" s="7">
        <f t="shared" si="49"/>
        <v>272.42680660745003</v>
      </c>
      <c r="W68" s="7">
        <f t="shared" si="50"/>
        <v>518.58969999999999</v>
      </c>
      <c r="X68" s="3">
        <f t="shared" si="51"/>
        <v>129.647425</v>
      </c>
    </row>
    <row r="69" spans="1:24" x14ac:dyDescent="0.35">
      <c r="A69" t="s">
        <v>138</v>
      </c>
      <c r="B69" s="4">
        <v>250000</v>
      </c>
      <c r="C69" s="4" t="s">
        <v>35</v>
      </c>
      <c r="D69" s="4" t="s">
        <v>39</v>
      </c>
      <c r="E69" s="4">
        <v>6.7000000000000004E-2</v>
      </c>
      <c r="F69" s="4">
        <v>6.7000000000000004E-2</v>
      </c>
      <c r="G69">
        <f>F69</f>
        <v>6.7000000000000004E-2</v>
      </c>
      <c r="H69" s="4">
        <f>0.25*G69</f>
        <v>1.6750000000000001E-2</v>
      </c>
      <c r="I69" s="4">
        <v>1</v>
      </c>
      <c r="J69" s="4" t="s">
        <v>36</v>
      </c>
      <c r="K69" s="4" t="s">
        <v>24</v>
      </c>
      <c r="L69">
        <v>0.1</v>
      </c>
      <c r="M69" s="7">
        <f>L69/H69</f>
        <v>5.9701492537313436</v>
      </c>
      <c r="N69" s="7">
        <v>5185.8969999999999</v>
      </c>
      <c r="O69" s="15">
        <v>3249.6541421002298</v>
      </c>
      <c r="P69">
        <f>8*(N69/B69)^2</f>
        <v>3.4423715449099523E-3</v>
      </c>
      <c r="Q69" s="8">
        <f>8*(O69/B69)^2</f>
        <v>1.3517122615384551E-3</v>
      </c>
      <c r="R69" s="9">
        <f>(Q69-P69)/P69</f>
        <v>-0.60733109604709623</v>
      </c>
      <c r="S69" s="7">
        <f>500*2*O69/B69</f>
        <v>12.998616568400919</v>
      </c>
      <c r="T69" s="3">
        <f>B69/4*P69</f>
        <v>215.14822155687202</v>
      </c>
      <c r="U69" s="7">
        <f t="shared" si="48"/>
        <v>347.45509900000002</v>
      </c>
      <c r="V69" s="7">
        <f t="shared" si="49"/>
        <v>217.7268275207154</v>
      </c>
      <c r="W69" s="7">
        <f t="shared" si="50"/>
        <v>347.45509900000002</v>
      </c>
      <c r="X69" s="3">
        <f t="shared" si="51"/>
        <v>86.863774750000005</v>
      </c>
    </row>
    <row r="70" spans="1:24" x14ac:dyDescent="0.35">
      <c r="A70" t="s">
        <v>138</v>
      </c>
      <c r="B70" s="4">
        <v>250000</v>
      </c>
      <c r="C70" s="4" t="s">
        <v>35</v>
      </c>
      <c r="D70" s="4" t="s">
        <v>40</v>
      </c>
      <c r="E70" s="4">
        <v>0.05</v>
      </c>
      <c r="F70" s="4">
        <v>0.05</v>
      </c>
      <c r="G70">
        <f>F70</f>
        <v>0.05</v>
      </c>
      <c r="H70" s="4">
        <f>0.25*G70</f>
        <v>1.2500000000000001E-2</v>
      </c>
      <c r="I70" s="4">
        <v>1</v>
      </c>
      <c r="J70" s="4" t="s">
        <v>36</v>
      </c>
      <c r="K70" s="4" t="s">
        <v>24</v>
      </c>
      <c r="L70">
        <v>0.1</v>
      </c>
      <c r="M70" s="7">
        <f>L70/H70</f>
        <v>8</v>
      </c>
      <c r="N70" s="7">
        <v>5185.8969999999999</v>
      </c>
      <c r="O70" s="15">
        <v>3651.2078850357898</v>
      </c>
      <c r="P70">
        <f>8*(N70/B70)^2</f>
        <v>3.4423715449099523E-3</v>
      </c>
      <c r="Q70" s="8">
        <f>8*(O70/B70)^2</f>
        <v>1.7064088345276833E-3</v>
      </c>
      <c r="R70" s="9">
        <f>(Q70-P70)/P70</f>
        <v>-0.50429266211810941</v>
      </c>
      <c r="S70" s="7">
        <f>500*2*O70/B70</f>
        <v>14.604831540143158</v>
      </c>
      <c r="T70" s="3">
        <f>B70/4*P70</f>
        <v>215.14822155687202</v>
      </c>
      <c r="U70" s="7">
        <f t="shared" si="48"/>
        <v>259.29485</v>
      </c>
      <c r="V70" s="7">
        <f t="shared" si="49"/>
        <v>182.56039425178949</v>
      </c>
      <c r="W70" s="7">
        <f t="shared" si="50"/>
        <v>259.29485</v>
      </c>
      <c r="X70" s="3">
        <f t="shared" si="51"/>
        <v>64.823712499999999</v>
      </c>
    </row>
    <row r="71" spans="1:24" x14ac:dyDescent="0.35">
      <c r="A71" t="s">
        <v>138</v>
      </c>
      <c r="B71" s="4">
        <v>250000</v>
      </c>
      <c r="C71" s="4" t="s">
        <v>35</v>
      </c>
      <c r="D71" s="4" t="s">
        <v>41</v>
      </c>
      <c r="E71" s="4">
        <v>3.3000000000000002E-2</v>
      </c>
      <c r="F71" s="4">
        <v>3.3000000000000002E-2</v>
      </c>
      <c r="G71">
        <f>F71</f>
        <v>3.3000000000000002E-2</v>
      </c>
      <c r="H71" s="4">
        <f>0.25*G71</f>
        <v>8.2500000000000004E-3</v>
      </c>
      <c r="I71" s="4">
        <v>1</v>
      </c>
      <c r="J71" s="4" t="s">
        <v>36</v>
      </c>
      <c r="K71" s="4" t="s">
        <v>24</v>
      </c>
      <c r="L71">
        <v>0.1</v>
      </c>
      <c r="M71" s="7">
        <f>L71/H71</f>
        <v>12.121212121212121</v>
      </c>
      <c r="N71" s="7">
        <v>5185.8969999999999</v>
      </c>
      <c r="O71" s="15">
        <v>4190.8299084087803</v>
      </c>
      <c r="P71">
        <f>8*(N71/B71)^2</f>
        <v>3.4423715449099523E-3</v>
      </c>
      <c r="Q71" s="8">
        <f>8*(O71/B71)^2</f>
        <v>2.248071081115334E-3</v>
      </c>
      <c r="R71" s="9">
        <f>(Q71-P71)/P71</f>
        <v>-0.34694118523044543</v>
      </c>
      <c r="S71" s="7">
        <f>500*2*O71/B71</f>
        <v>16.76331963363512</v>
      </c>
      <c r="T71" s="3">
        <f>B71/4*P71</f>
        <v>215.14822155687202</v>
      </c>
      <c r="U71" s="7">
        <f t="shared" si="48"/>
        <v>171.134601</v>
      </c>
      <c r="V71" s="7">
        <f t="shared" si="49"/>
        <v>138.29738697748977</v>
      </c>
      <c r="W71" s="7">
        <f t="shared" si="50"/>
        <v>171.134601</v>
      </c>
      <c r="X71" s="3">
        <f t="shared" si="51"/>
        <v>42.783650250000001</v>
      </c>
    </row>
    <row r="72" spans="1:24" x14ac:dyDescent="0.35">
      <c r="U72" s="7"/>
      <c r="V72" s="7"/>
      <c r="W72" s="7"/>
      <c r="X72" s="3"/>
    </row>
    <row r="73" spans="1:24" x14ac:dyDescent="0.35">
      <c r="U73" s="7"/>
      <c r="V73" s="7"/>
      <c r="W73" s="7"/>
      <c r="X73" s="3"/>
    </row>
    <row r="74" spans="1:24" x14ac:dyDescent="0.35">
      <c r="A74" t="s">
        <v>139</v>
      </c>
      <c r="B74" s="4">
        <v>250000</v>
      </c>
      <c r="C74" s="4" t="s">
        <v>35</v>
      </c>
      <c r="D74" s="4" t="s">
        <v>37</v>
      </c>
      <c r="E74" s="4">
        <v>0.1</v>
      </c>
      <c r="F74" s="4">
        <v>0.1</v>
      </c>
      <c r="G74">
        <f>F74</f>
        <v>0.1</v>
      </c>
      <c r="H74" s="4">
        <f>0.25*G74</f>
        <v>2.5000000000000001E-2</v>
      </c>
      <c r="I74" s="4">
        <v>1</v>
      </c>
      <c r="J74" s="4" t="s">
        <v>36</v>
      </c>
      <c r="K74" s="4" t="s">
        <v>24</v>
      </c>
      <c r="L74">
        <v>0.1</v>
      </c>
      <c r="M74" s="7">
        <f>L74/H74</f>
        <v>4</v>
      </c>
      <c r="N74" s="7">
        <v>5185.8969999999999</v>
      </c>
      <c r="O74" s="15">
        <v>2697.3210756077401</v>
      </c>
      <c r="P74">
        <f>8*(N74/B74)^2</f>
        <v>3.4423715449099523E-3</v>
      </c>
      <c r="Q74" s="8">
        <f>8*(O74/B74)^2</f>
        <v>9.3126924606946502E-4</v>
      </c>
      <c r="R74" s="9">
        <f>(Q74-P74)/P74</f>
        <v>-0.72946870088835059</v>
      </c>
      <c r="S74" s="7">
        <f>500*2*O74/B74</f>
        <v>10.789284302430961</v>
      </c>
      <c r="T74" s="3">
        <f>B74/4*P74</f>
        <v>215.14822155687202</v>
      </c>
      <c r="U74" s="7">
        <f t="shared" ref="U74:V77" si="56">E74*N74</f>
        <v>518.58969999999999</v>
      </c>
      <c r="V74" s="7">
        <f t="shared" si="56"/>
        <v>269.73210756077401</v>
      </c>
      <c r="W74" s="7">
        <f>G74*N74</f>
        <v>518.58969999999999</v>
      </c>
      <c r="X74" s="3">
        <f>H74*N74</f>
        <v>129.647425</v>
      </c>
    </row>
    <row r="75" spans="1:24" x14ac:dyDescent="0.35">
      <c r="A75" t="s">
        <v>139</v>
      </c>
      <c r="B75" s="4">
        <v>250000</v>
      </c>
      <c r="C75" s="4" t="s">
        <v>35</v>
      </c>
      <c r="D75" s="4" t="s">
        <v>39</v>
      </c>
      <c r="E75" s="4">
        <v>6.7000000000000004E-2</v>
      </c>
      <c r="F75" s="4">
        <v>6.7000000000000004E-2</v>
      </c>
      <c r="G75">
        <f>F75</f>
        <v>6.7000000000000004E-2</v>
      </c>
      <c r="H75" s="4">
        <f>0.25*G75</f>
        <v>1.6750000000000001E-2</v>
      </c>
      <c r="I75" s="4">
        <v>1</v>
      </c>
      <c r="J75" s="4" t="s">
        <v>36</v>
      </c>
      <c r="K75" s="4" t="s">
        <v>24</v>
      </c>
      <c r="L75">
        <v>0.1</v>
      </c>
      <c r="M75" s="7">
        <f>L75/H75</f>
        <v>5.9701492537313436</v>
      </c>
      <c r="N75" s="7">
        <v>5185.8969999999999</v>
      </c>
      <c r="O75" s="15">
        <v>3203.56766590502</v>
      </c>
      <c r="P75">
        <f>8*(N75/B75)^2</f>
        <v>3.4423715449099523E-3</v>
      </c>
      <c r="Q75" s="8">
        <f>8*(O75/B75)^2</f>
        <v>1.3136442611241135E-3</v>
      </c>
      <c r="R75" s="9">
        <f>(Q75-P75)/P75</f>
        <v>-0.61838975137168806</v>
      </c>
      <c r="S75" s="7">
        <f>500*2*O75/B75</f>
        <v>12.81427066362008</v>
      </c>
      <c r="T75" s="3">
        <f>B75/4*P75</f>
        <v>215.14822155687202</v>
      </c>
      <c r="U75" s="7">
        <f t="shared" si="56"/>
        <v>347.45509900000002</v>
      </c>
      <c r="V75" s="7">
        <f t="shared" si="56"/>
        <v>214.63903361563635</v>
      </c>
      <c r="W75" s="7">
        <f>G75*N75</f>
        <v>347.45509900000002</v>
      </c>
      <c r="X75" s="3">
        <f>H75*N75</f>
        <v>86.863774750000005</v>
      </c>
    </row>
    <row r="76" spans="1:24" x14ac:dyDescent="0.35">
      <c r="A76" t="s">
        <v>139</v>
      </c>
      <c r="B76" s="4">
        <v>250000</v>
      </c>
      <c r="C76" s="4" t="s">
        <v>35</v>
      </c>
      <c r="D76" s="4" t="s">
        <v>40</v>
      </c>
      <c r="E76" s="4">
        <v>0.05</v>
      </c>
      <c r="F76" s="4">
        <v>0.05</v>
      </c>
      <c r="G76">
        <f>F76</f>
        <v>0.05</v>
      </c>
      <c r="H76" s="4">
        <f>0.25*G76</f>
        <v>1.2500000000000001E-2</v>
      </c>
      <c r="I76" s="4">
        <v>1</v>
      </c>
      <c r="J76" s="4" t="s">
        <v>36</v>
      </c>
      <c r="K76" s="4" t="s">
        <v>24</v>
      </c>
      <c r="L76">
        <v>0.1</v>
      </c>
      <c r="M76" s="7">
        <f>L76/H76</f>
        <v>8</v>
      </c>
      <c r="N76" s="7">
        <v>5185.8969999999999</v>
      </c>
      <c r="O76" s="15">
        <v>3590.06113505848</v>
      </c>
      <c r="P76">
        <f>8*(N76/B76)^2</f>
        <v>3.4423715449099523E-3</v>
      </c>
      <c r="Q76" s="8">
        <f>8*(O76/B76)^2</f>
        <v>1.6497329860425448E-3</v>
      </c>
      <c r="R76" s="9">
        <f>(Q76-P76)/P76</f>
        <v>-0.52075684901534947</v>
      </c>
      <c r="S76" s="7">
        <f>500*2*O76/B76</f>
        <v>14.36024454023392</v>
      </c>
      <c r="T76" s="3">
        <f>B76/4*P76</f>
        <v>215.14822155687202</v>
      </c>
      <c r="U76" s="7">
        <f t="shared" si="56"/>
        <v>259.29485</v>
      </c>
      <c r="V76" s="7">
        <f t="shared" si="56"/>
        <v>179.50305675292401</v>
      </c>
      <c r="W76" s="7">
        <f>G76*N76</f>
        <v>259.29485</v>
      </c>
      <c r="X76" s="3">
        <f>H76*N76</f>
        <v>64.823712499999999</v>
      </c>
    </row>
    <row r="77" spans="1:24" x14ac:dyDescent="0.35">
      <c r="A77" t="s">
        <v>139</v>
      </c>
      <c r="B77" s="4">
        <v>250000</v>
      </c>
      <c r="C77" s="4" t="s">
        <v>35</v>
      </c>
      <c r="D77" s="4" t="s">
        <v>41</v>
      </c>
      <c r="E77" s="4">
        <v>3.3000000000000002E-2</v>
      </c>
      <c r="F77" s="4">
        <v>3.3000000000000002E-2</v>
      </c>
      <c r="G77">
        <f>F77</f>
        <v>3.3000000000000002E-2</v>
      </c>
      <c r="H77" s="4">
        <f>0.25*G77</f>
        <v>8.2500000000000004E-3</v>
      </c>
      <c r="I77" s="4">
        <v>1</v>
      </c>
      <c r="J77" s="4" t="s">
        <v>36</v>
      </c>
      <c r="K77" s="4" t="s">
        <v>24</v>
      </c>
      <c r="L77">
        <v>0.1</v>
      </c>
      <c r="M77" s="7">
        <f>L77/H77</f>
        <v>12.121212121212121</v>
      </c>
      <c r="N77" s="7">
        <v>5185.8969999999999</v>
      </c>
      <c r="O77" s="15">
        <v>4143.26859044925</v>
      </c>
      <c r="P77">
        <f>8*(N77/B77)^2</f>
        <v>3.4423715449099523E-3</v>
      </c>
      <c r="Q77" s="8">
        <f>8*(O77/B77)^2</f>
        <v>2.1973343504132241E-3</v>
      </c>
      <c r="R77" s="9">
        <f>(Q77-P77)/P77</f>
        <v>-0.36168007382517936</v>
      </c>
      <c r="S77" s="7">
        <f>500*2*O77/B77</f>
        <v>16.573074361796998</v>
      </c>
      <c r="T77" s="3">
        <f>B77/4*P77</f>
        <v>215.14822155687202</v>
      </c>
      <c r="U77" s="7">
        <f t="shared" si="56"/>
        <v>171.134601</v>
      </c>
      <c r="V77" s="7">
        <f t="shared" si="56"/>
        <v>136.72786348482526</v>
      </c>
      <c r="W77" s="7">
        <f>G77*N77</f>
        <v>171.134601</v>
      </c>
      <c r="X77" s="3">
        <f>H77*N77</f>
        <v>42.783650250000001</v>
      </c>
    </row>
    <row r="80" spans="1:24" x14ac:dyDescent="0.35">
      <c r="A80" t="s">
        <v>199</v>
      </c>
      <c r="B80" s="4">
        <v>250000</v>
      </c>
      <c r="C80" s="4" t="s">
        <v>35</v>
      </c>
      <c r="D80" s="4" t="s">
        <v>37</v>
      </c>
      <c r="E80" s="4">
        <v>0.1</v>
      </c>
      <c r="F80" s="4">
        <v>0.1</v>
      </c>
      <c r="G80">
        <f>F80</f>
        <v>0.1</v>
      </c>
      <c r="H80" s="4">
        <f>0.25*G80</f>
        <v>2.5000000000000001E-2</v>
      </c>
      <c r="I80" s="4">
        <v>1</v>
      </c>
      <c r="J80" s="4" t="s">
        <v>36</v>
      </c>
      <c r="K80" s="4" t="s">
        <v>24</v>
      </c>
      <c r="L80">
        <v>0.1</v>
      </c>
      <c r="M80" s="7">
        <f>L80/H80</f>
        <v>4</v>
      </c>
      <c r="N80" s="7">
        <v>5185.8969999999999</v>
      </c>
      <c r="O80" s="15">
        <v>4936.4000411562001</v>
      </c>
      <c r="P80">
        <f>8*(N80/B80)^2</f>
        <v>3.4423715449099523E-3</v>
      </c>
      <c r="Q80" s="8">
        <f>8*(O80/B80)^2</f>
        <v>3.119109806889848E-3</v>
      </c>
      <c r="R80" s="9">
        <f>(Q80-P80)/P80</f>
        <v>-9.3906695951543592E-2</v>
      </c>
      <c r="S80" s="7">
        <f>500*2*O80/B80</f>
        <v>19.7456001646248</v>
      </c>
      <c r="T80" s="3">
        <f>B80/4*P80</f>
        <v>215.14822155687202</v>
      </c>
      <c r="U80" s="7">
        <f t="shared" ref="U80:V83" si="57">E80*N80</f>
        <v>518.58969999999999</v>
      </c>
      <c r="V80" s="7">
        <f t="shared" si="57"/>
        <v>493.64000411562006</v>
      </c>
      <c r="W80" s="7">
        <f>G80*N80</f>
        <v>518.58969999999999</v>
      </c>
      <c r="X80" s="3">
        <f>H80*N80</f>
        <v>129.647425</v>
      </c>
    </row>
    <row r="81" spans="1:24" x14ac:dyDescent="0.35">
      <c r="A81" t="s">
        <v>199</v>
      </c>
      <c r="B81" s="4">
        <v>250000</v>
      </c>
      <c r="C81" s="4" t="s">
        <v>35</v>
      </c>
      <c r="D81" s="4" t="s">
        <v>39</v>
      </c>
      <c r="E81" s="4">
        <v>6.7000000000000004E-2</v>
      </c>
      <c r="F81" s="4">
        <v>6.7000000000000004E-2</v>
      </c>
      <c r="G81">
        <f>F81</f>
        <v>6.7000000000000004E-2</v>
      </c>
      <c r="H81" s="4">
        <f>0.25*G81</f>
        <v>1.6750000000000001E-2</v>
      </c>
      <c r="I81" s="4">
        <v>1</v>
      </c>
      <c r="J81" s="4" t="s">
        <v>36</v>
      </c>
      <c r="K81" s="4" t="s">
        <v>24</v>
      </c>
      <c r="L81">
        <v>0.1</v>
      </c>
      <c r="M81" s="7">
        <f>L81/H81</f>
        <v>5.9701492537313436</v>
      </c>
      <c r="N81" s="7">
        <v>5185.8969999999999</v>
      </c>
      <c r="O81" s="15">
        <v>5089.9640376142997</v>
      </c>
      <c r="P81">
        <f>8*(N81/B81)^2</f>
        <v>3.4423715449099523E-3</v>
      </c>
      <c r="Q81" s="8">
        <f>8*(O81/B81)^2</f>
        <v>3.3161899397384782E-3</v>
      </c>
      <c r="R81" s="9">
        <f>(Q81-P81)/P81</f>
        <v>-3.6655428830177257E-2</v>
      </c>
      <c r="S81" s="7">
        <f>500*2*O81/B81</f>
        <v>20.359856150457201</v>
      </c>
      <c r="T81" s="3">
        <f>B81/4*P81</f>
        <v>215.14822155687202</v>
      </c>
      <c r="U81" s="7">
        <f t="shared" si="57"/>
        <v>347.45509900000002</v>
      </c>
      <c r="V81" s="7">
        <f t="shared" si="57"/>
        <v>341.02759052015813</v>
      </c>
      <c r="W81" s="7">
        <f>G81*N81</f>
        <v>347.45509900000002</v>
      </c>
      <c r="X81" s="3">
        <f>H81*N81</f>
        <v>86.863774750000005</v>
      </c>
    </row>
    <row r="82" spans="1:24" x14ac:dyDescent="0.35">
      <c r="A82" t="s">
        <v>199</v>
      </c>
      <c r="B82" s="4">
        <v>250000</v>
      </c>
      <c r="C82" s="4" t="s">
        <v>35</v>
      </c>
      <c r="D82" s="4" t="s">
        <v>40</v>
      </c>
      <c r="E82" s="4">
        <v>0.05</v>
      </c>
      <c r="F82" s="4">
        <v>0.05</v>
      </c>
      <c r="G82">
        <f>F82</f>
        <v>0.05</v>
      </c>
      <c r="H82" s="4">
        <f>0.25*G82</f>
        <v>1.2500000000000001E-2</v>
      </c>
      <c r="I82" s="4">
        <v>1</v>
      </c>
      <c r="J82" s="4" t="s">
        <v>36</v>
      </c>
      <c r="K82" s="4" t="s">
        <v>24</v>
      </c>
      <c r="L82">
        <v>0.1</v>
      </c>
      <c r="M82" s="7">
        <f>L82/H82</f>
        <v>8</v>
      </c>
      <c r="N82" s="7">
        <v>5185.8969999999999</v>
      </c>
      <c r="O82" s="15">
        <v>5125.7005876618396</v>
      </c>
      <c r="P82">
        <f>8*(N82/B82)^2</f>
        <v>3.4423715449099523E-3</v>
      </c>
      <c r="Q82" s="8">
        <f>8*(O82/B82)^2</f>
        <v>3.3629192338376869E-3</v>
      </c>
      <c r="R82" s="9">
        <f>(Q82-P82)/P82</f>
        <v>-2.308069016830773E-2</v>
      </c>
      <c r="S82" s="7">
        <f>500*2*O82/B82</f>
        <v>20.502802350647361</v>
      </c>
      <c r="T82" s="3">
        <f>B82/4*P82</f>
        <v>215.14822155687202</v>
      </c>
      <c r="U82" s="7">
        <f t="shared" si="57"/>
        <v>259.29485</v>
      </c>
      <c r="V82" s="7">
        <f t="shared" si="57"/>
        <v>256.28502938309197</v>
      </c>
      <c r="W82" s="7">
        <f>G82*N82</f>
        <v>259.29485</v>
      </c>
      <c r="X82" s="3">
        <f>H82*N82</f>
        <v>64.823712499999999</v>
      </c>
    </row>
    <row r="83" spans="1:24" x14ac:dyDescent="0.35">
      <c r="A83" t="s">
        <v>199</v>
      </c>
      <c r="B83" s="4">
        <v>250000</v>
      </c>
      <c r="C83" s="4" t="s">
        <v>35</v>
      </c>
      <c r="D83" s="4" t="s">
        <v>41</v>
      </c>
      <c r="E83" s="4">
        <v>3.3000000000000002E-2</v>
      </c>
      <c r="F83" s="4">
        <v>3.3000000000000002E-2</v>
      </c>
      <c r="G83">
        <f>F83</f>
        <v>3.3000000000000002E-2</v>
      </c>
      <c r="H83" s="4">
        <f>0.25*G83</f>
        <v>8.2500000000000004E-3</v>
      </c>
      <c r="I83" s="4">
        <v>1</v>
      </c>
      <c r="J83" s="4" t="s">
        <v>36</v>
      </c>
      <c r="K83" s="4" t="s">
        <v>24</v>
      </c>
      <c r="L83">
        <v>0.1</v>
      </c>
      <c r="M83" s="7">
        <f>L83/H83</f>
        <v>12.121212121212121</v>
      </c>
      <c r="N83" s="7">
        <v>5185.8969999999999</v>
      </c>
      <c r="O83" s="15">
        <v>5141.6319533251299</v>
      </c>
      <c r="P83">
        <f>8*(N83/B83)^2</f>
        <v>3.4423715449099523E-3</v>
      </c>
      <c r="Q83" s="8">
        <f>8*(O83/B83)^2</f>
        <v>3.3838565303621103E-3</v>
      </c>
      <c r="R83" s="9">
        <f>(Q83-P83)/P83</f>
        <v>-1.699845986536954E-2</v>
      </c>
      <c r="S83" s="7">
        <f>500*2*O83/B83</f>
        <v>20.566527813300521</v>
      </c>
      <c r="T83" s="3">
        <f>B83/4*P83</f>
        <v>215.14822155687202</v>
      </c>
      <c r="U83" s="7">
        <f t="shared" si="57"/>
        <v>171.134601</v>
      </c>
      <c r="V83" s="7">
        <f t="shared" si="57"/>
        <v>169.67385445972928</v>
      </c>
      <c r="W83" s="7">
        <f>G83*N83</f>
        <v>171.134601</v>
      </c>
      <c r="X83" s="3">
        <f>H83*N83</f>
        <v>42.783650250000001</v>
      </c>
    </row>
    <row r="86" spans="1:24" x14ac:dyDescent="0.35">
      <c r="A86" t="s">
        <v>200</v>
      </c>
      <c r="B86" s="4">
        <v>250000</v>
      </c>
      <c r="C86" s="4" t="s">
        <v>154</v>
      </c>
      <c r="D86" s="4" t="s">
        <v>204</v>
      </c>
      <c r="E86" s="4">
        <v>0.1</v>
      </c>
      <c r="F86" s="4">
        <v>0.1</v>
      </c>
      <c r="G86">
        <f>F86</f>
        <v>0.1</v>
      </c>
      <c r="H86" s="4">
        <f>0.25*G86</f>
        <v>2.5000000000000001E-2</v>
      </c>
      <c r="I86" s="4">
        <v>1</v>
      </c>
      <c r="J86" s="4" t="s">
        <v>36</v>
      </c>
      <c r="K86" s="4" t="s">
        <v>24</v>
      </c>
      <c r="L86">
        <v>0.1</v>
      </c>
      <c r="M86" s="7">
        <f>L86/H86</f>
        <v>4</v>
      </c>
      <c r="N86" s="7">
        <v>5185.8969999999999</v>
      </c>
      <c r="O86" s="15">
        <v>4902.8200076165804</v>
      </c>
      <c r="P86">
        <f>8*(N86/B86)^2</f>
        <v>3.4423715449099523E-3</v>
      </c>
      <c r="Q86" s="8">
        <f>8*(O86/B86)^2</f>
        <v>3.0768184354669371E-3</v>
      </c>
      <c r="R86" s="9">
        <f>(Q86-P86)/P86</f>
        <v>-0.10619222959344372</v>
      </c>
      <c r="S86" s="7">
        <f>500*2*O86/B86</f>
        <v>19.611280030466322</v>
      </c>
      <c r="T86" s="3">
        <f>B86/4*P86</f>
        <v>215.14822155687202</v>
      </c>
      <c r="U86" s="7">
        <f t="shared" ref="U86:V89" si="58">E86*N86</f>
        <v>518.58969999999999</v>
      </c>
      <c r="V86" s="7">
        <f t="shared" si="58"/>
        <v>490.28200076165808</v>
      </c>
      <c r="W86" s="7">
        <f>G86*N86</f>
        <v>518.58969999999999</v>
      </c>
      <c r="X86" s="3">
        <f>H86*N86</f>
        <v>129.647425</v>
      </c>
    </row>
    <row r="87" spans="1:24" x14ac:dyDescent="0.35">
      <c r="A87" t="s">
        <v>200</v>
      </c>
      <c r="B87" s="4">
        <v>250000</v>
      </c>
      <c r="C87" s="4" t="s">
        <v>154</v>
      </c>
      <c r="D87" s="4" t="s">
        <v>205</v>
      </c>
      <c r="E87" s="4">
        <v>6.7000000000000004E-2</v>
      </c>
      <c r="F87" s="4">
        <v>6.7000000000000004E-2</v>
      </c>
      <c r="G87">
        <f>F87</f>
        <v>6.7000000000000004E-2</v>
      </c>
      <c r="H87" s="4">
        <f>0.25*G87</f>
        <v>1.6750000000000001E-2</v>
      </c>
      <c r="I87" s="4">
        <v>1</v>
      </c>
      <c r="J87" s="4" t="s">
        <v>36</v>
      </c>
      <c r="K87" s="4" t="s">
        <v>24</v>
      </c>
      <c r="L87">
        <v>0.1</v>
      </c>
      <c r="M87" s="7">
        <f>L87/H87</f>
        <v>5.9701492537313436</v>
      </c>
      <c r="N87" s="7">
        <v>5185.8969999999999</v>
      </c>
      <c r="O87" s="15">
        <v>5077.5857203841197</v>
      </c>
      <c r="P87">
        <f>8*(N87/B87)^2</f>
        <v>3.4423715449099523E-3</v>
      </c>
      <c r="Q87" s="8">
        <f>8*(O87/B87)^2</f>
        <v>3.300080223724636E-3</v>
      </c>
      <c r="R87" s="9">
        <f>(Q87-P87)/P87</f>
        <v>-4.1335259523544096E-2</v>
      </c>
      <c r="S87" s="7">
        <f>500*2*O87/B87</f>
        <v>20.310342881536481</v>
      </c>
      <c r="T87" s="3">
        <f>B87/4*P87</f>
        <v>215.14822155687202</v>
      </c>
      <c r="U87" s="7">
        <f t="shared" si="58"/>
        <v>347.45509900000002</v>
      </c>
      <c r="V87" s="7">
        <f t="shared" si="58"/>
        <v>340.19824326573604</v>
      </c>
      <c r="W87" s="7">
        <f>G87*N87</f>
        <v>347.45509900000002</v>
      </c>
      <c r="X87" s="3">
        <f>H87*N87</f>
        <v>86.863774750000005</v>
      </c>
    </row>
    <row r="88" spans="1:24" x14ac:dyDescent="0.35">
      <c r="A88" t="s">
        <v>200</v>
      </c>
      <c r="B88" s="4">
        <v>250000</v>
      </c>
      <c r="C88" s="4" t="s">
        <v>154</v>
      </c>
      <c r="D88" s="4" t="s">
        <v>206</v>
      </c>
      <c r="E88" s="4">
        <v>0.05</v>
      </c>
      <c r="F88" s="4">
        <v>0.05</v>
      </c>
      <c r="G88">
        <f>F88</f>
        <v>0.05</v>
      </c>
      <c r="H88" s="4">
        <f>0.25*G88</f>
        <v>1.2500000000000001E-2</v>
      </c>
      <c r="I88" s="4">
        <v>1</v>
      </c>
      <c r="J88" s="4" t="s">
        <v>36</v>
      </c>
      <c r="K88" s="4" t="s">
        <v>24</v>
      </c>
      <c r="L88">
        <v>0.1</v>
      </c>
      <c r="M88" s="7">
        <f>L88/H88</f>
        <v>8</v>
      </c>
      <c r="N88" s="7">
        <v>5185.8969999999999</v>
      </c>
      <c r="O88" s="15">
        <v>5117.3540900069702</v>
      </c>
      <c r="P88">
        <f>8*(N88/B88)^2</f>
        <v>3.4423715449099523E-3</v>
      </c>
      <c r="Q88" s="8">
        <f>8*(O88/B88)^2</f>
        <v>3.3519760489614161E-3</v>
      </c>
      <c r="R88" s="9">
        <f>(Q88-P88)/P88</f>
        <v>-2.6259656974622368E-2</v>
      </c>
      <c r="S88" s="7">
        <f>500*2*O88/B88</f>
        <v>20.469416360027878</v>
      </c>
      <c r="T88" s="3">
        <f>B88/4*P88</f>
        <v>215.14822155687202</v>
      </c>
      <c r="U88" s="7">
        <f t="shared" si="58"/>
        <v>259.29485</v>
      </c>
      <c r="V88" s="7">
        <f t="shared" si="58"/>
        <v>255.86770450034851</v>
      </c>
      <c r="W88" s="7">
        <f>G88*N88</f>
        <v>259.29485</v>
      </c>
      <c r="X88" s="3">
        <f>H88*N88</f>
        <v>64.823712499999999</v>
      </c>
    </row>
    <row r="89" spans="1:24" x14ac:dyDescent="0.35">
      <c r="A89" t="s">
        <v>200</v>
      </c>
      <c r="B89" s="4">
        <v>250000</v>
      </c>
      <c r="C89" s="4" t="s">
        <v>154</v>
      </c>
      <c r="D89" s="4" t="s">
        <v>207</v>
      </c>
      <c r="E89" s="4">
        <v>3.3000000000000002E-2</v>
      </c>
      <c r="F89" s="4">
        <v>3.3000000000000002E-2</v>
      </c>
      <c r="G89">
        <f>F89</f>
        <v>3.3000000000000002E-2</v>
      </c>
      <c r="H89" s="4">
        <f>0.25*G89</f>
        <v>8.2500000000000004E-3</v>
      </c>
      <c r="I89" s="4">
        <v>1</v>
      </c>
      <c r="J89" s="4" t="s">
        <v>36</v>
      </c>
      <c r="K89" s="4" t="s">
        <v>24</v>
      </c>
      <c r="L89">
        <v>0.1</v>
      </c>
      <c r="M89" s="7">
        <f>L89/H89</f>
        <v>12.121212121212121</v>
      </c>
      <c r="N89" s="7">
        <v>5185.8969999999999</v>
      </c>
      <c r="O89" s="15">
        <v>5163.6548122326203</v>
      </c>
      <c r="P89">
        <f>8*(N89/B89)^2</f>
        <v>3.4423715449099523E-3</v>
      </c>
      <c r="Q89" s="8">
        <f>8*(O89/B89)^2</f>
        <v>3.412906370546317E-3</v>
      </c>
      <c r="R89" s="9">
        <f>(Q89-P89)/P89</f>
        <v>-8.5595566832998744E-3</v>
      </c>
      <c r="S89" s="7">
        <f>500*2*O89/B89</f>
        <v>20.65461924893048</v>
      </c>
      <c r="T89" s="3">
        <f>B89/4*P89</f>
        <v>215.14822155687202</v>
      </c>
      <c r="U89" s="7">
        <f t="shared" si="58"/>
        <v>171.134601</v>
      </c>
      <c r="V89" s="7">
        <f t="shared" si="58"/>
        <v>170.40060880367648</v>
      </c>
      <c r="W89" s="7">
        <f>G89*N89</f>
        <v>171.134601</v>
      </c>
      <c r="X89" s="3">
        <f>H89*N89</f>
        <v>42.783650250000001</v>
      </c>
    </row>
    <row r="92" spans="1:24" x14ac:dyDescent="0.35">
      <c r="A92" t="s">
        <v>201</v>
      </c>
      <c r="B92" s="4">
        <v>250000</v>
      </c>
      <c r="C92" s="4" t="s">
        <v>154</v>
      </c>
      <c r="D92" s="4" t="s">
        <v>204</v>
      </c>
      <c r="E92" s="4">
        <v>0.1</v>
      </c>
      <c r="F92" s="4">
        <v>0.1</v>
      </c>
      <c r="G92">
        <f>F92</f>
        <v>0.1</v>
      </c>
      <c r="H92" s="4">
        <f>0.25*G92</f>
        <v>2.5000000000000001E-2</v>
      </c>
      <c r="I92" s="4">
        <v>1</v>
      </c>
      <c r="J92" s="4" t="s">
        <v>36</v>
      </c>
      <c r="K92" s="4" t="s">
        <v>24</v>
      </c>
      <c r="L92">
        <v>0.1</v>
      </c>
      <c r="M92" s="7">
        <f>L92/H92</f>
        <v>4</v>
      </c>
      <c r="N92" s="7">
        <v>5185.8969999999999</v>
      </c>
      <c r="O92" s="15">
        <v>5161.2796463928098</v>
      </c>
      <c r="P92">
        <f>8*(N92/B92)^2</f>
        <v>3.4423715449099523E-3</v>
      </c>
      <c r="Q92" s="8">
        <f>8*(O92/B92)^2</f>
        <v>3.4097673712983915E-3</v>
      </c>
      <c r="R92" s="9">
        <f>(Q92-P92)/P92</f>
        <v>-9.4714278183512142E-3</v>
      </c>
      <c r="S92" s="7">
        <f>500*2*O92/B92</f>
        <v>20.64511858557124</v>
      </c>
      <c r="T92" s="3">
        <f>B92/4*P92</f>
        <v>215.14822155687202</v>
      </c>
      <c r="U92" s="7">
        <f t="shared" ref="U92:V95" si="59">E92*N92</f>
        <v>518.58969999999999</v>
      </c>
      <c r="V92" s="7">
        <f t="shared" si="59"/>
        <v>516.127964639281</v>
      </c>
      <c r="W92" s="7">
        <f>G92*N92</f>
        <v>518.58969999999999</v>
      </c>
      <c r="X92" s="3">
        <f>H92*N92</f>
        <v>129.647425</v>
      </c>
    </row>
    <row r="93" spans="1:24" x14ac:dyDescent="0.35">
      <c r="A93" t="s">
        <v>201</v>
      </c>
      <c r="B93" s="4">
        <v>250000</v>
      </c>
      <c r="C93" s="4" t="s">
        <v>154</v>
      </c>
      <c r="D93" s="4" t="s">
        <v>205</v>
      </c>
      <c r="E93" s="4">
        <v>6.7000000000000004E-2</v>
      </c>
      <c r="F93" s="4">
        <v>6.7000000000000004E-2</v>
      </c>
      <c r="G93">
        <f>F93</f>
        <v>6.7000000000000004E-2</v>
      </c>
      <c r="H93" s="4">
        <f>0.25*G93</f>
        <v>1.6750000000000001E-2</v>
      </c>
      <c r="I93" s="4">
        <v>1</v>
      </c>
      <c r="J93" s="4" t="s">
        <v>36</v>
      </c>
      <c r="K93" s="4" t="s">
        <v>24</v>
      </c>
      <c r="L93">
        <v>0.1</v>
      </c>
      <c r="M93" s="7">
        <f>L93/H93</f>
        <v>5.9701492537313436</v>
      </c>
      <c r="N93" s="7">
        <v>5185.8969999999999</v>
      </c>
      <c r="O93" s="15">
        <v>5137.6418223186201</v>
      </c>
      <c r="P93">
        <f>8*(N93/B93)^2</f>
        <v>3.4423715449099523E-3</v>
      </c>
      <c r="Q93" s="8">
        <f>8*(O93/B93)^2</f>
        <v>3.3786065272879864E-3</v>
      </c>
      <c r="R93" s="9">
        <f>(Q93-P93)/P93</f>
        <v>-1.8523572133360134E-2</v>
      </c>
      <c r="S93" s="7">
        <f>500*2*O93/B93</f>
        <v>20.550567289274479</v>
      </c>
      <c r="T93" s="3">
        <f>B93/4*P93</f>
        <v>215.14822155687202</v>
      </c>
      <c r="U93" s="7">
        <f t="shared" si="59"/>
        <v>347.45509900000002</v>
      </c>
      <c r="V93" s="7">
        <f t="shared" si="59"/>
        <v>344.22200209534759</v>
      </c>
      <c r="W93" s="7">
        <f>G93*N93</f>
        <v>347.45509900000002</v>
      </c>
      <c r="X93" s="3">
        <f>H93*N93</f>
        <v>86.863774750000005</v>
      </c>
    </row>
    <row r="94" spans="1:24" x14ac:dyDescent="0.35">
      <c r="A94" t="s">
        <v>201</v>
      </c>
      <c r="B94" s="4">
        <v>250000</v>
      </c>
      <c r="C94" s="4" t="s">
        <v>154</v>
      </c>
      <c r="D94" s="4" t="s">
        <v>206</v>
      </c>
      <c r="E94" s="4">
        <v>0.05</v>
      </c>
      <c r="F94" s="4">
        <v>0.05</v>
      </c>
      <c r="G94">
        <f>F94</f>
        <v>0.05</v>
      </c>
      <c r="H94" s="4">
        <f>0.25*G94</f>
        <v>1.2500000000000001E-2</v>
      </c>
      <c r="I94" s="4">
        <v>1</v>
      </c>
      <c r="J94" s="4" t="s">
        <v>36</v>
      </c>
      <c r="K94" s="4" t="s">
        <v>24</v>
      </c>
      <c r="L94">
        <v>0.1</v>
      </c>
      <c r="M94" s="7">
        <f>L94/H94</f>
        <v>8</v>
      </c>
      <c r="N94" s="7">
        <v>5185.8969999999999</v>
      </c>
      <c r="O94" s="15">
        <v>5175.4405682218103</v>
      </c>
      <c r="P94">
        <f>8*(N94/B94)^2</f>
        <v>3.4423715449099523E-3</v>
      </c>
      <c r="Q94" s="8">
        <f>8*(O94/B94)^2</f>
        <v>3.4285036896251008E-3</v>
      </c>
      <c r="R94" s="9">
        <f>(Q94-P94)/P94</f>
        <v>-4.0285759697721007E-3</v>
      </c>
      <c r="S94" s="7">
        <f>500*2*O94/B94</f>
        <v>20.70176227288724</v>
      </c>
      <c r="T94" s="3">
        <f>B94/4*P94</f>
        <v>215.14822155687202</v>
      </c>
      <c r="U94" s="7">
        <f t="shared" si="59"/>
        <v>259.29485</v>
      </c>
      <c r="V94" s="7">
        <f t="shared" si="59"/>
        <v>258.7720284110905</v>
      </c>
      <c r="W94" s="7">
        <f>G94*N94</f>
        <v>259.29485</v>
      </c>
      <c r="X94" s="3">
        <f>H94*N94</f>
        <v>64.823712499999999</v>
      </c>
    </row>
    <row r="95" spans="1:24" x14ac:dyDescent="0.35">
      <c r="A95" t="s">
        <v>201</v>
      </c>
      <c r="B95" s="4">
        <v>250000</v>
      </c>
      <c r="C95" s="4" t="s">
        <v>154</v>
      </c>
      <c r="D95" s="4" t="s">
        <v>207</v>
      </c>
      <c r="E95" s="4">
        <v>3.3000000000000002E-2</v>
      </c>
      <c r="F95" s="4">
        <v>3.3000000000000002E-2</v>
      </c>
      <c r="G95">
        <f>F95</f>
        <v>3.3000000000000002E-2</v>
      </c>
      <c r="H95" s="4">
        <f>0.25*G95</f>
        <v>8.2500000000000004E-3</v>
      </c>
      <c r="I95" s="4">
        <v>1</v>
      </c>
      <c r="J95" s="4" t="s">
        <v>36</v>
      </c>
      <c r="K95" s="4" t="s">
        <v>24</v>
      </c>
      <c r="L95">
        <v>0.1</v>
      </c>
      <c r="M95" s="7">
        <f>L95/H95</f>
        <v>12.121212121212121</v>
      </c>
      <c r="N95" s="7">
        <v>5185.8969999999999</v>
      </c>
      <c r="O95" s="15">
        <v>5160.3492684698103</v>
      </c>
      <c r="P95">
        <f>8*(N95/B95)^2</f>
        <v>3.4423715449099523E-3</v>
      </c>
      <c r="Q95" s="8">
        <f>8*(O95/B95)^2</f>
        <v>3.4085381852924043E-3</v>
      </c>
      <c r="R95" s="9">
        <f>(Q95-P95)/P95</f>
        <v>-9.8285031630521037E-3</v>
      </c>
      <c r="S95" s="7">
        <f>500*2*O95/B95</f>
        <v>20.641397073879244</v>
      </c>
      <c r="T95" s="3">
        <f>B95/4*P95</f>
        <v>215.14822155687202</v>
      </c>
      <c r="U95" s="7">
        <f t="shared" si="59"/>
        <v>171.134601</v>
      </c>
      <c r="V95" s="7">
        <f t="shared" si="59"/>
        <v>170.29152585950374</v>
      </c>
      <c r="W95" s="7">
        <f>G95*N95</f>
        <v>171.134601</v>
      </c>
      <c r="X95" s="3">
        <f>H95*N95</f>
        <v>42.783650250000001</v>
      </c>
    </row>
    <row r="98" spans="1:24" x14ac:dyDescent="0.35">
      <c r="A98" t="s">
        <v>202</v>
      </c>
      <c r="B98" s="4">
        <v>250000</v>
      </c>
      <c r="C98" s="4" t="s">
        <v>154</v>
      </c>
      <c r="D98" s="4" t="s">
        <v>204</v>
      </c>
      <c r="E98" s="4">
        <v>0.1</v>
      </c>
      <c r="F98" s="4">
        <v>0.1</v>
      </c>
      <c r="G98">
        <f>F98</f>
        <v>0.1</v>
      </c>
      <c r="H98" s="4">
        <f>0.25*G98</f>
        <v>2.5000000000000001E-2</v>
      </c>
      <c r="I98" s="4">
        <v>1</v>
      </c>
      <c r="J98" s="4" t="s">
        <v>36</v>
      </c>
      <c r="K98" s="4" t="s">
        <v>24</v>
      </c>
      <c r="L98">
        <v>0.1</v>
      </c>
      <c r="M98" s="7">
        <f>L98/H98</f>
        <v>4</v>
      </c>
      <c r="N98" s="7">
        <v>5185.8969999999999</v>
      </c>
      <c r="O98" s="15">
        <v>5150.2287556594101</v>
      </c>
      <c r="P98">
        <f>8*(N98/B98)^2</f>
        <v>3.4423715449099523E-3</v>
      </c>
      <c r="Q98" s="8">
        <f>8*(O98/B98)^2</f>
        <v>3.3951815981594973E-3</v>
      </c>
      <c r="R98" s="9">
        <f>(Q98-P98)/P98</f>
        <v>-1.3708557061550242E-2</v>
      </c>
      <c r="S98" s="7">
        <f>500*2*O98/B98</f>
        <v>20.60091502263764</v>
      </c>
      <c r="T98" s="3">
        <f>B98/4*P98</f>
        <v>215.14822155687202</v>
      </c>
      <c r="U98" s="7">
        <f t="shared" ref="U98:V101" si="60">E98*N98</f>
        <v>518.58969999999999</v>
      </c>
      <c r="V98" s="7">
        <f t="shared" si="60"/>
        <v>515.02287556594104</v>
      </c>
      <c r="W98" s="7">
        <f>G98*N98</f>
        <v>518.58969999999999</v>
      </c>
      <c r="X98" s="3">
        <f>H98*N98</f>
        <v>129.647425</v>
      </c>
    </row>
    <row r="99" spans="1:24" x14ac:dyDescent="0.35">
      <c r="A99" t="s">
        <v>202</v>
      </c>
      <c r="B99" s="4">
        <v>250000</v>
      </c>
      <c r="C99" s="4" t="s">
        <v>154</v>
      </c>
      <c r="D99" s="4" t="s">
        <v>205</v>
      </c>
      <c r="E99" s="4">
        <v>6.7000000000000004E-2</v>
      </c>
      <c r="F99" s="4">
        <v>6.7000000000000004E-2</v>
      </c>
      <c r="G99">
        <f>F99</f>
        <v>6.7000000000000004E-2</v>
      </c>
      <c r="H99" s="4">
        <f>0.25*G99</f>
        <v>1.6750000000000001E-2</v>
      </c>
      <c r="I99" s="4">
        <v>1</v>
      </c>
      <c r="J99" s="4" t="s">
        <v>36</v>
      </c>
      <c r="K99" s="4" t="s">
        <v>24</v>
      </c>
      <c r="L99">
        <v>0.1</v>
      </c>
      <c r="M99" s="7">
        <f>L99/H99</f>
        <v>5.9701492537313436</v>
      </c>
      <c r="N99" s="7">
        <v>5185.8969999999999</v>
      </c>
      <c r="O99" s="15">
        <v>5138.61073565483</v>
      </c>
      <c r="P99">
        <f>8*(N99/B99)^2</f>
        <v>3.4423715449099523E-3</v>
      </c>
      <c r="Q99" s="8">
        <f>8*(O99/B99)^2</f>
        <v>3.3798809974511447E-3</v>
      </c>
      <c r="R99" s="9">
        <f>(Q99-P99)/P99</f>
        <v>-1.8153341858524522E-2</v>
      </c>
      <c r="S99" s="7">
        <f>500*2*O99/B99</f>
        <v>20.554442942619321</v>
      </c>
      <c r="T99" s="3">
        <f>B99/4*P99</f>
        <v>215.14822155687202</v>
      </c>
      <c r="U99" s="7">
        <f t="shared" si="60"/>
        <v>347.45509900000002</v>
      </c>
      <c r="V99" s="7">
        <f t="shared" si="60"/>
        <v>344.28691928887361</v>
      </c>
      <c r="W99" s="7">
        <f>G99*N99</f>
        <v>347.45509900000002</v>
      </c>
      <c r="X99" s="3">
        <f>H99*N99</f>
        <v>86.863774750000005</v>
      </c>
    </row>
    <row r="100" spans="1:24" x14ac:dyDescent="0.35">
      <c r="A100" t="s">
        <v>202</v>
      </c>
      <c r="B100" s="4">
        <v>250000</v>
      </c>
      <c r="C100" s="4" t="s">
        <v>154</v>
      </c>
      <c r="D100" s="4" t="s">
        <v>206</v>
      </c>
      <c r="E100" s="4">
        <v>0.05</v>
      </c>
      <c r="F100" s="4">
        <v>0.05</v>
      </c>
      <c r="G100">
        <f>F100</f>
        <v>0.05</v>
      </c>
      <c r="H100" s="4">
        <f>0.25*G100</f>
        <v>1.2500000000000001E-2</v>
      </c>
      <c r="I100" s="4">
        <v>1</v>
      </c>
      <c r="J100" s="4" t="s">
        <v>36</v>
      </c>
      <c r="K100" s="4" t="s">
        <v>24</v>
      </c>
      <c r="L100">
        <v>0.1</v>
      </c>
      <c r="M100" s="7">
        <f>L100/H100</f>
        <v>8</v>
      </c>
      <c r="N100" s="7">
        <v>5185.8969999999999</v>
      </c>
      <c r="O100" s="15">
        <v>5163.2875780213199</v>
      </c>
      <c r="P100">
        <f>8*(N100/B100)^2</f>
        <v>3.4423715449099523E-3</v>
      </c>
      <c r="Q100" s="8">
        <f>8*(O100/B100)^2</f>
        <v>3.4124209425087063E-3</v>
      </c>
      <c r="R100" s="9">
        <f>(Q100-P100)/P100</f>
        <v>-8.7005722684212698E-3</v>
      </c>
      <c r="S100" s="7">
        <f>500*2*O100/B100</f>
        <v>20.653150312085277</v>
      </c>
      <c r="T100" s="3">
        <f>B100/4*P100</f>
        <v>215.14822155687202</v>
      </c>
      <c r="U100" s="7">
        <f t="shared" si="60"/>
        <v>259.29485</v>
      </c>
      <c r="V100" s="7">
        <f t="shared" si="60"/>
        <v>258.16437890106602</v>
      </c>
      <c r="W100" s="7">
        <f>G100*N100</f>
        <v>259.29485</v>
      </c>
      <c r="X100" s="3">
        <f>H100*N100</f>
        <v>64.823712499999999</v>
      </c>
    </row>
    <row r="101" spans="1:24" x14ac:dyDescent="0.35">
      <c r="A101" t="s">
        <v>202</v>
      </c>
      <c r="B101" s="4">
        <v>250000</v>
      </c>
      <c r="C101" s="4" t="s">
        <v>154</v>
      </c>
      <c r="D101" s="4" t="s">
        <v>207</v>
      </c>
      <c r="E101" s="4">
        <v>3.3000000000000002E-2</v>
      </c>
      <c r="F101" s="4">
        <v>3.3000000000000002E-2</v>
      </c>
      <c r="G101">
        <f>F101</f>
        <v>3.3000000000000002E-2</v>
      </c>
      <c r="H101" s="4">
        <f>0.25*G101</f>
        <v>8.2500000000000004E-3</v>
      </c>
      <c r="I101" s="4">
        <v>1</v>
      </c>
      <c r="J101" s="4" t="s">
        <v>36</v>
      </c>
      <c r="K101" s="4" t="s">
        <v>24</v>
      </c>
      <c r="L101">
        <v>0.1</v>
      </c>
      <c r="M101" s="7">
        <f>L101/H101</f>
        <v>12.121212121212121</v>
      </c>
      <c r="N101" s="7">
        <v>5185.8969999999999</v>
      </c>
      <c r="O101" s="15">
        <v>5149.6803129002901</v>
      </c>
      <c r="P101">
        <f>8*(N101/B101)^2</f>
        <v>3.4423715449099523E-3</v>
      </c>
      <c r="Q101" s="8">
        <f>8*(O101/B101)^2</f>
        <v>3.394458537609322E-3</v>
      </c>
      <c r="R101" s="9">
        <f>(Q101-P101)/P101</f>
        <v>-1.391860427485715E-2</v>
      </c>
      <c r="S101" s="7">
        <f>500*2*O101/B101</f>
        <v>20.598721251601159</v>
      </c>
      <c r="T101" s="3">
        <f>B101/4*P101</f>
        <v>215.14822155687202</v>
      </c>
      <c r="U101" s="7">
        <f t="shared" si="60"/>
        <v>171.134601</v>
      </c>
      <c r="V101" s="7">
        <f t="shared" si="60"/>
        <v>169.93945032570957</v>
      </c>
      <c r="W101" s="7">
        <f>G101*N101</f>
        <v>171.134601</v>
      </c>
      <c r="X101" s="3">
        <f>H101*N101</f>
        <v>42.783650250000001</v>
      </c>
    </row>
    <row r="103" spans="1:24" x14ac:dyDescent="0.35">
      <c r="A103" t="s">
        <v>203</v>
      </c>
    </row>
    <row r="104" spans="1:24" x14ac:dyDescent="0.35">
      <c r="A104" t="s">
        <v>208</v>
      </c>
      <c r="B104" s="4">
        <v>250000</v>
      </c>
      <c r="C104" s="4" t="s">
        <v>154</v>
      </c>
      <c r="D104" s="4" t="s">
        <v>204</v>
      </c>
      <c r="E104" s="4">
        <v>0.1</v>
      </c>
      <c r="F104" s="4">
        <v>0.1</v>
      </c>
      <c r="G104">
        <f>F104</f>
        <v>0.1</v>
      </c>
      <c r="H104" s="4">
        <f>0.25*G104</f>
        <v>2.5000000000000001E-2</v>
      </c>
      <c r="I104" s="4">
        <v>1</v>
      </c>
      <c r="J104" s="4" t="s">
        <v>36</v>
      </c>
      <c r="K104" s="4" t="s">
        <v>24</v>
      </c>
      <c r="L104">
        <v>0.1</v>
      </c>
      <c r="M104" s="7">
        <f>L104/H104</f>
        <v>4</v>
      </c>
      <c r="N104" s="7">
        <v>5185.8969999999999</v>
      </c>
      <c r="O104" s="15">
        <v>5223.4826079345203</v>
      </c>
      <c r="P104">
        <f>8*(N104/B104)^2</f>
        <v>3.4423715449099523E-3</v>
      </c>
      <c r="Q104" s="8">
        <f>8*(O104/B104)^2</f>
        <v>3.4924506310904852E-3</v>
      </c>
      <c r="R104" s="9">
        <f>(Q104-P104)/P104</f>
        <v>1.4547844567964248E-2</v>
      </c>
      <c r="S104" s="7">
        <f>500*2*O104/B104</f>
        <v>20.893930431738081</v>
      </c>
      <c r="T104" s="3">
        <f>B104/4*P104</f>
        <v>215.14822155687202</v>
      </c>
      <c r="U104" s="7">
        <f t="shared" ref="U104:V107" si="61">E104*N104</f>
        <v>518.58969999999999</v>
      </c>
      <c r="V104" s="7">
        <f t="shared" si="61"/>
        <v>522.34826079345203</v>
      </c>
      <c r="W104" s="7">
        <f>G104*N104</f>
        <v>518.58969999999999</v>
      </c>
      <c r="X104" s="3">
        <f>H104*N104</f>
        <v>129.647425</v>
      </c>
    </row>
    <row r="105" spans="1:24" x14ac:dyDescent="0.35">
      <c r="A105" t="s">
        <v>208</v>
      </c>
      <c r="B105" s="4">
        <v>250000</v>
      </c>
      <c r="C105" s="4" t="s">
        <v>154</v>
      </c>
      <c r="D105" s="4" t="s">
        <v>205</v>
      </c>
      <c r="E105" s="4">
        <v>6.7000000000000004E-2</v>
      </c>
      <c r="F105" s="4">
        <v>6.7000000000000004E-2</v>
      </c>
      <c r="G105">
        <f>F105</f>
        <v>6.7000000000000004E-2</v>
      </c>
      <c r="H105" s="4">
        <f>0.25*G105</f>
        <v>1.6750000000000001E-2</v>
      </c>
      <c r="I105" s="4">
        <v>1</v>
      </c>
      <c r="J105" s="4" t="s">
        <v>36</v>
      </c>
      <c r="K105" s="4" t="s">
        <v>24</v>
      </c>
      <c r="L105">
        <v>0.1</v>
      </c>
      <c r="M105" s="7">
        <f>L105/H105</f>
        <v>5.9701492537313436</v>
      </c>
      <c r="N105" s="7">
        <v>5185.8969999999999</v>
      </c>
      <c r="O105" s="15">
        <v>5221.7433220266303</v>
      </c>
      <c r="P105">
        <f>8*(N105/B105)^2</f>
        <v>3.4423715449099523E-3</v>
      </c>
      <c r="Q105" s="8">
        <f>8*(O105/B105)^2</f>
        <v>3.4901252251046027E-3</v>
      </c>
      <c r="R105" s="9">
        <f>(Q105-P105)/P105</f>
        <v>1.3872320164062809E-2</v>
      </c>
      <c r="S105" s="7">
        <f>500*2*O105/B105</f>
        <v>20.886973288106521</v>
      </c>
      <c r="T105" s="3">
        <f>B105/4*P105</f>
        <v>215.14822155687202</v>
      </c>
      <c r="U105" s="7">
        <f t="shared" si="61"/>
        <v>347.45509900000002</v>
      </c>
      <c r="V105" s="7">
        <f t="shared" si="61"/>
        <v>349.85680257578423</v>
      </c>
      <c r="W105" s="7">
        <f>G105*N105</f>
        <v>347.45509900000002</v>
      </c>
      <c r="X105" s="3">
        <f>H105*N105</f>
        <v>86.863774750000005</v>
      </c>
    </row>
    <row r="106" spans="1:24" x14ac:dyDescent="0.35">
      <c r="A106" t="s">
        <v>208</v>
      </c>
      <c r="B106" s="4">
        <v>250000</v>
      </c>
      <c r="C106" s="4" t="s">
        <v>154</v>
      </c>
      <c r="D106" s="4" t="s">
        <v>206</v>
      </c>
      <c r="E106" s="4">
        <v>0.05</v>
      </c>
      <c r="F106" s="4">
        <v>0.05</v>
      </c>
      <c r="G106">
        <f>F106</f>
        <v>0.05</v>
      </c>
      <c r="H106" s="4">
        <f>0.25*G106</f>
        <v>1.2500000000000001E-2</v>
      </c>
      <c r="I106" s="4">
        <v>1</v>
      </c>
      <c r="J106" s="4" t="s">
        <v>36</v>
      </c>
      <c r="K106" s="4" t="s">
        <v>24</v>
      </c>
      <c r="L106">
        <v>0.1</v>
      </c>
      <c r="M106" s="7">
        <f>L106/H106</f>
        <v>8</v>
      </c>
      <c r="N106" s="7">
        <v>5185.8969999999999</v>
      </c>
      <c r="O106" s="15">
        <v>5237.8650971100296</v>
      </c>
      <c r="P106">
        <f>8*(N106/B106)^2</f>
        <v>3.4423715449099523E-3</v>
      </c>
      <c r="Q106" s="8">
        <f>8*(O106/B106)^2</f>
        <v>3.511709539267003E-3</v>
      </c>
      <c r="R106" s="9">
        <f>(Q106-P106)/P106</f>
        <v>2.0142507411664224E-2</v>
      </c>
      <c r="S106" s="7">
        <f>500*2*O106/B106</f>
        <v>20.951460388440118</v>
      </c>
      <c r="T106" s="3">
        <f>B106/4*P106</f>
        <v>215.14822155687202</v>
      </c>
      <c r="U106" s="7">
        <f t="shared" si="61"/>
        <v>259.29485</v>
      </c>
      <c r="V106" s="7">
        <f t="shared" si="61"/>
        <v>261.89325485550148</v>
      </c>
      <c r="W106" s="7">
        <f>G106*N106</f>
        <v>259.29485</v>
      </c>
      <c r="X106" s="3">
        <f>H106*N106</f>
        <v>64.823712499999999</v>
      </c>
    </row>
    <row r="107" spans="1:24" x14ac:dyDescent="0.35">
      <c r="A107" t="s">
        <v>208</v>
      </c>
      <c r="B107" s="4">
        <v>250000</v>
      </c>
      <c r="C107" s="4" t="s">
        <v>154</v>
      </c>
      <c r="D107" s="4" t="s">
        <v>207</v>
      </c>
      <c r="E107" s="4">
        <v>3.3000000000000002E-2</v>
      </c>
      <c r="F107" s="4">
        <v>3.3000000000000002E-2</v>
      </c>
      <c r="G107">
        <f>F107</f>
        <v>3.3000000000000002E-2</v>
      </c>
      <c r="H107" s="4">
        <f>0.25*G107</f>
        <v>8.2500000000000004E-3</v>
      </c>
      <c r="I107" s="4">
        <v>1</v>
      </c>
      <c r="J107" s="4" t="s">
        <v>36</v>
      </c>
      <c r="K107" s="4" t="s">
        <v>24</v>
      </c>
      <c r="L107">
        <v>0.1</v>
      </c>
      <c r="M107" s="7">
        <f>L107/H107</f>
        <v>12.121212121212121</v>
      </c>
      <c r="N107" s="7">
        <v>5185.8969999999999</v>
      </c>
      <c r="O107" s="15">
        <v>5211.7641765039198</v>
      </c>
      <c r="P107">
        <f>8*(N107/B107)^2</f>
        <v>3.4423715449099523E-3</v>
      </c>
      <c r="Q107" s="8">
        <f>8*(O107/B107)^2</f>
        <v>3.4767981864306666E-3</v>
      </c>
      <c r="R107" s="9">
        <f>(Q107-P107)/P107</f>
        <v>1.0000850016210226E-2</v>
      </c>
      <c r="S107" s="7">
        <f>500*2*O107/B107</f>
        <v>20.847056706015682</v>
      </c>
      <c r="T107" s="3">
        <f>B107/4*P107</f>
        <v>215.14822155687202</v>
      </c>
      <c r="U107" s="7">
        <f t="shared" si="61"/>
        <v>171.134601</v>
      </c>
      <c r="V107" s="7">
        <f t="shared" si="61"/>
        <v>171.98821782462937</v>
      </c>
      <c r="W107" s="7">
        <f>G107*N107</f>
        <v>171.134601</v>
      </c>
      <c r="X107" s="3">
        <f>H107*N107</f>
        <v>42.783650250000001</v>
      </c>
    </row>
    <row r="110" spans="1:24" x14ac:dyDescent="0.35">
      <c r="A110" t="s">
        <v>200</v>
      </c>
      <c r="B110" s="4">
        <v>250000</v>
      </c>
      <c r="C110" s="4" t="s">
        <v>154</v>
      </c>
      <c r="D110" s="4" t="s">
        <v>204</v>
      </c>
      <c r="E110" s="4">
        <v>0.1</v>
      </c>
      <c r="F110" s="4">
        <v>0.1</v>
      </c>
      <c r="G110">
        <f>F110</f>
        <v>0.1</v>
      </c>
      <c r="H110" s="4">
        <f>0.25*G110</f>
        <v>2.5000000000000001E-2</v>
      </c>
      <c r="I110" s="4">
        <v>1</v>
      </c>
      <c r="J110" s="4" t="s">
        <v>36</v>
      </c>
      <c r="K110" s="4" t="s">
        <v>24</v>
      </c>
      <c r="L110">
        <v>0.1</v>
      </c>
      <c r="M110" s="7">
        <f>L110/H110</f>
        <v>4</v>
      </c>
      <c r="N110" s="7">
        <v>5185.8969999999999</v>
      </c>
      <c r="O110" s="15">
        <v>5151.0393081271804</v>
      </c>
      <c r="P110">
        <f>8*(N110/B110)^2</f>
        <v>3.4423715449099523E-3</v>
      </c>
      <c r="Q110" s="8">
        <f>8*(O110/B110)^2</f>
        <v>3.3962503620955319E-3</v>
      </c>
      <c r="R110" s="9">
        <f>(Q110-P110)/P110</f>
        <v>-1.3398083911836091E-2</v>
      </c>
      <c r="S110" s="7">
        <f>500*2*O110/B110</f>
        <v>20.604157232508722</v>
      </c>
      <c r="T110" s="3">
        <f>B110/4*P110</f>
        <v>215.14822155687202</v>
      </c>
      <c r="U110" s="7">
        <f t="shared" ref="U110:U113" si="62">E110*N110</f>
        <v>518.58969999999999</v>
      </c>
      <c r="V110" s="7">
        <f t="shared" ref="V110:V113" si="63">F110*O110</f>
        <v>515.10393081271809</v>
      </c>
      <c r="W110" s="7">
        <f>G110*N110</f>
        <v>518.58969999999999</v>
      </c>
      <c r="X110" s="3">
        <f>H110*N110</f>
        <v>129.647425</v>
      </c>
    </row>
    <row r="111" spans="1:24" x14ac:dyDescent="0.35">
      <c r="A111" t="s">
        <v>200</v>
      </c>
      <c r="B111" s="4">
        <v>250000</v>
      </c>
      <c r="C111" s="4" t="s">
        <v>154</v>
      </c>
      <c r="D111" s="4" t="s">
        <v>205</v>
      </c>
      <c r="E111" s="4">
        <v>6.7000000000000004E-2</v>
      </c>
      <c r="F111" s="4">
        <v>6.7000000000000004E-2</v>
      </c>
      <c r="G111">
        <f>F111</f>
        <v>6.7000000000000004E-2</v>
      </c>
      <c r="H111" s="4">
        <f>0.25*G111</f>
        <v>1.6750000000000001E-2</v>
      </c>
      <c r="I111" s="4">
        <v>1</v>
      </c>
      <c r="J111" s="4" t="s">
        <v>36</v>
      </c>
      <c r="K111" s="4" t="s">
        <v>24</v>
      </c>
      <c r="L111">
        <v>0.1</v>
      </c>
      <c r="M111" s="7">
        <f>L111/H111</f>
        <v>5.9701492537313436</v>
      </c>
      <c r="N111" s="7">
        <v>5185.8969999999999</v>
      </c>
      <c r="O111" s="15">
        <v>5156.7697362610397</v>
      </c>
      <c r="P111">
        <f>8*(N111/B111)^2</f>
        <v>3.4423715449099523E-3</v>
      </c>
      <c r="Q111" s="8">
        <f>8*(O111/B111)^2</f>
        <v>3.403811086440672E-3</v>
      </c>
      <c r="R111" s="9">
        <f>(Q111-P111)/P111</f>
        <v>-1.1201713111502323E-2</v>
      </c>
      <c r="S111" s="7">
        <f>500*2*O111/B111</f>
        <v>20.627078945044161</v>
      </c>
      <c r="T111" s="3">
        <f>B111/4*P111</f>
        <v>215.14822155687202</v>
      </c>
      <c r="U111" s="7">
        <f t="shared" si="62"/>
        <v>347.45509900000002</v>
      </c>
      <c r="V111" s="7">
        <f t="shared" si="63"/>
        <v>345.50357232948966</v>
      </c>
      <c r="W111" s="7">
        <f>G111*N111</f>
        <v>347.45509900000002</v>
      </c>
      <c r="X111" s="3">
        <f>H111*N111</f>
        <v>86.863774750000005</v>
      </c>
    </row>
    <row r="112" spans="1:24" x14ac:dyDescent="0.35">
      <c r="A112" t="s">
        <v>200</v>
      </c>
      <c r="B112" s="4">
        <v>250000</v>
      </c>
      <c r="C112" s="4" t="s">
        <v>154</v>
      </c>
      <c r="D112" s="4" t="s">
        <v>206</v>
      </c>
      <c r="E112" s="4">
        <v>0.05</v>
      </c>
      <c r="F112" s="4">
        <v>0.05</v>
      </c>
      <c r="G112">
        <f>F112</f>
        <v>0.05</v>
      </c>
      <c r="H112" s="4">
        <f>0.25*G112</f>
        <v>1.2500000000000001E-2</v>
      </c>
      <c r="I112" s="4">
        <v>1</v>
      </c>
      <c r="J112" s="4" t="s">
        <v>36</v>
      </c>
      <c r="K112" s="4" t="s">
        <v>24</v>
      </c>
      <c r="L112">
        <v>0.1</v>
      </c>
      <c r="M112" s="7">
        <f>L112/H112</f>
        <v>8</v>
      </c>
      <c r="N112" s="7">
        <v>5185.8969999999999</v>
      </c>
      <c r="O112" s="15">
        <v>5163.6698001868599</v>
      </c>
      <c r="P112">
        <f>8*(N112/B112)^2</f>
        <v>3.4423715449099523E-3</v>
      </c>
      <c r="Q112" s="8">
        <f>8*(O112/B112)^2</f>
        <v>3.4129261830863106E-3</v>
      </c>
      <c r="R112" s="9">
        <f>(Q112-P112)/P112</f>
        <v>-8.5538011918501224E-3</v>
      </c>
      <c r="S112" s="7">
        <f>500*2*O112/B112</f>
        <v>20.654679200747438</v>
      </c>
      <c r="T112" s="3">
        <f>B112/4*P112</f>
        <v>215.14822155687202</v>
      </c>
      <c r="U112" s="7">
        <f t="shared" si="62"/>
        <v>259.29485</v>
      </c>
      <c r="V112" s="7">
        <f t="shared" si="63"/>
        <v>258.18349000934302</v>
      </c>
      <c r="W112" s="7">
        <f>G112*N112</f>
        <v>259.29485</v>
      </c>
      <c r="X112" s="3">
        <f>H112*N112</f>
        <v>64.823712499999999</v>
      </c>
    </row>
    <row r="113" spans="1:24" x14ac:dyDescent="0.35">
      <c r="A113" t="s">
        <v>200</v>
      </c>
      <c r="B113" s="4">
        <v>250000</v>
      </c>
      <c r="C113" s="4" t="s">
        <v>154</v>
      </c>
      <c r="D113" s="4" t="s">
        <v>207</v>
      </c>
      <c r="E113" s="4">
        <v>3.3000000000000002E-2</v>
      </c>
      <c r="F113" s="4">
        <v>3.3000000000000002E-2</v>
      </c>
      <c r="G113">
        <f>F113</f>
        <v>3.3000000000000002E-2</v>
      </c>
      <c r="H113" s="4">
        <f>0.25*G113</f>
        <v>8.2500000000000004E-3</v>
      </c>
      <c r="I113" s="4">
        <v>1</v>
      </c>
      <c r="J113" s="4" t="s">
        <v>36</v>
      </c>
      <c r="K113" s="4" t="s">
        <v>24</v>
      </c>
      <c r="L113">
        <v>0.1</v>
      </c>
      <c r="M113" s="7">
        <f>L113/H113</f>
        <v>12.121212121212121</v>
      </c>
      <c r="N113" s="7">
        <v>5185.8969999999999</v>
      </c>
      <c r="O113" s="15">
        <v>5154.3938959526904</v>
      </c>
      <c r="P113">
        <f>8*(N113/B113)^2</f>
        <v>3.4423715449099523E-3</v>
      </c>
      <c r="Q113" s="8">
        <f>8*(O113/B113)^2</f>
        <v>3.4006753836331978E-3</v>
      </c>
      <c r="R113" s="9">
        <f>(Q113-P113)/P113</f>
        <v>-1.2112626639157621E-2</v>
      </c>
      <c r="S113" s="7">
        <f>500*2*O113/B113</f>
        <v>20.617575583810762</v>
      </c>
      <c r="T113" s="3">
        <f>B113/4*P113</f>
        <v>215.14822155687202</v>
      </c>
      <c r="U113" s="7">
        <f t="shared" si="62"/>
        <v>171.134601</v>
      </c>
      <c r="V113" s="7">
        <f t="shared" si="63"/>
        <v>170.09499856643879</v>
      </c>
      <c r="W113" s="7">
        <f>G113*N113</f>
        <v>171.134601</v>
      </c>
      <c r="X113" s="3">
        <f>H113*N113</f>
        <v>42.783650250000001</v>
      </c>
    </row>
    <row r="116" spans="1:24" x14ac:dyDescent="0.35">
      <c r="A116" t="s">
        <v>157</v>
      </c>
      <c r="B116" s="4">
        <v>250000</v>
      </c>
      <c r="C116" s="4" t="s">
        <v>154</v>
      </c>
      <c r="D116" s="4" t="s">
        <v>204</v>
      </c>
      <c r="E116" s="4">
        <v>0.1</v>
      </c>
      <c r="F116" s="4">
        <v>0.1</v>
      </c>
      <c r="G116">
        <f>F116</f>
        <v>0.1</v>
      </c>
      <c r="H116" s="4">
        <f>0.25*G116</f>
        <v>2.5000000000000001E-2</v>
      </c>
      <c r="I116" s="4">
        <v>1</v>
      </c>
      <c r="J116" s="4" t="s">
        <v>36</v>
      </c>
      <c r="K116" s="4" t="s">
        <v>24</v>
      </c>
      <c r="L116">
        <v>0.1</v>
      </c>
      <c r="M116" s="7">
        <f>L116/H116</f>
        <v>4</v>
      </c>
      <c r="N116" s="7">
        <v>5185.8969999999999</v>
      </c>
      <c r="O116" s="15">
        <v>2743.1537675531599</v>
      </c>
      <c r="P116">
        <f>8*(N116/B116)^2</f>
        <v>3.4423715449099523E-3</v>
      </c>
      <c r="Q116" s="8">
        <f>8*(O116/B116)^2</f>
        <v>9.6318625183246015E-4</v>
      </c>
      <c r="R116" s="9">
        <f>(Q116-P116)/P116</f>
        <v>-0.72019689354663896</v>
      </c>
      <c r="S116" s="7">
        <f>500*2*O116/B116</f>
        <v>10.97261507021264</v>
      </c>
      <c r="T116" s="3">
        <f>B116/4*P116</f>
        <v>215.14822155687202</v>
      </c>
      <c r="U116" s="7">
        <f t="shared" ref="U116:U119" si="64">E116*N116</f>
        <v>518.58969999999999</v>
      </c>
      <c r="V116" s="7">
        <f t="shared" ref="V116:V119" si="65">F116*O116</f>
        <v>274.31537675531598</v>
      </c>
      <c r="W116" s="7">
        <f t="shared" ref="W116:W119" si="66">G116*N116</f>
        <v>518.58969999999999</v>
      </c>
      <c r="X116" s="3">
        <f t="shared" ref="X116:X119" si="67">H116*N116</f>
        <v>129.647425</v>
      </c>
    </row>
    <row r="117" spans="1:24" x14ac:dyDescent="0.35">
      <c r="A117" t="s">
        <v>157</v>
      </c>
      <c r="B117" s="4">
        <v>250000</v>
      </c>
      <c r="C117" s="4" t="s">
        <v>154</v>
      </c>
      <c r="D117" s="4" t="s">
        <v>205</v>
      </c>
      <c r="E117" s="4">
        <v>6.7000000000000004E-2</v>
      </c>
      <c r="F117" s="4">
        <v>6.7000000000000004E-2</v>
      </c>
      <c r="G117">
        <f>F117</f>
        <v>6.7000000000000004E-2</v>
      </c>
      <c r="H117" s="4">
        <f>0.25*G117</f>
        <v>1.6750000000000001E-2</v>
      </c>
      <c r="I117" s="4">
        <v>1</v>
      </c>
      <c r="J117" s="4" t="s">
        <v>36</v>
      </c>
      <c r="K117" s="4" t="s">
        <v>24</v>
      </c>
      <c r="L117">
        <v>0.1</v>
      </c>
      <c r="M117" s="7">
        <f>L117/H117</f>
        <v>5.9701492537313436</v>
      </c>
      <c r="N117" s="7">
        <v>5185.8969999999999</v>
      </c>
      <c r="O117" s="15">
        <v>3268.0035118168398</v>
      </c>
      <c r="P117">
        <f>8*(N117/B117)^2</f>
        <v>3.4423715449099523E-3</v>
      </c>
      <c r="Q117" s="8">
        <f>8*(O117/B117)^2</f>
        <v>1.3670204100156415E-3</v>
      </c>
      <c r="R117" s="9">
        <f>(Q117-P117)/P117</f>
        <v>-0.60288411864286395</v>
      </c>
      <c r="S117" s="7">
        <f>500*2*O117/B117</f>
        <v>13.072014047267359</v>
      </c>
      <c r="T117" s="3">
        <f>B117/4*P117</f>
        <v>215.14822155687202</v>
      </c>
      <c r="U117" s="7">
        <f t="shared" si="64"/>
        <v>347.45509900000002</v>
      </c>
      <c r="V117" s="7">
        <f t="shared" si="65"/>
        <v>218.95623529172829</v>
      </c>
      <c r="W117" s="7">
        <f t="shared" si="66"/>
        <v>347.45509900000002</v>
      </c>
      <c r="X117" s="3">
        <f t="shared" si="67"/>
        <v>86.863774750000005</v>
      </c>
    </row>
    <row r="118" spans="1:24" x14ac:dyDescent="0.35">
      <c r="A118" t="s">
        <v>157</v>
      </c>
      <c r="B118" s="4">
        <v>250000</v>
      </c>
      <c r="C118" s="4" t="s">
        <v>154</v>
      </c>
      <c r="D118" s="4" t="s">
        <v>206</v>
      </c>
      <c r="E118" s="4">
        <v>0.05</v>
      </c>
      <c r="F118" s="4">
        <v>0.05</v>
      </c>
      <c r="G118">
        <f>F118</f>
        <v>0.05</v>
      </c>
      <c r="H118" s="4">
        <f>0.25*G118</f>
        <v>1.2500000000000001E-2</v>
      </c>
      <c r="I118" s="4">
        <v>1</v>
      </c>
      <c r="J118" s="4" t="s">
        <v>36</v>
      </c>
      <c r="K118" s="4" t="s">
        <v>24</v>
      </c>
      <c r="L118">
        <v>0.1</v>
      </c>
      <c r="M118" s="7">
        <f>L118/H118</f>
        <v>8</v>
      </c>
      <c r="N118" s="7">
        <v>5185.8969999999999</v>
      </c>
      <c r="O118" s="15">
        <v>3655.12521174326</v>
      </c>
      <c r="P118">
        <f>8*(N118/B118)^2</f>
        <v>3.4423715449099523E-3</v>
      </c>
      <c r="Q118" s="8">
        <f>8*(O118/B118)^2</f>
        <v>1.7100723601307152E-3</v>
      </c>
      <c r="R118" s="9">
        <f>(Q118-P118)/P118</f>
        <v>-0.50322841743817393</v>
      </c>
      <c r="S118" s="7">
        <f>500*2*O118/B118</f>
        <v>14.620500846973039</v>
      </c>
      <c r="T118" s="3">
        <f>B118/4*P118</f>
        <v>215.14822155687202</v>
      </c>
      <c r="U118" s="7">
        <f t="shared" si="64"/>
        <v>259.29485</v>
      </c>
      <c r="V118" s="7">
        <f t="shared" si="65"/>
        <v>182.75626058716301</v>
      </c>
      <c r="W118" s="7">
        <f t="shared" si="66"/>
        <v>259.29485</v>
      </c>
      <c r="X118" s="3">
        <f t="shared" si="67"/>
        <v>64.823712499999999</v>
      </c>
    </row>
    <row r="119" spans="1:24" x14ac:dyDescent="0.35">
      <c r="A119" t="s">
        <v>157</v>
      </c>
      <c r="B119" s="4">
        <v>250000</v>
      </c>
      <c r="C119" s="4" t="s">
        <v>154</v>
      </c>
      <c r="D119" s="4" t="s">
        <v>207</v>
      </c>
      <c r="E119" s="4">
        <v>3.3000000000000002E-2</v>
      </c>
      <c r="F119" s="4">
        <v>3.3000000000000002E-2</v>
      </c>
      <c r="G119">
        <f>F119</f>
        <v>3.3000000000000002E-2</v>
      </c>
      <c r="H119" s="4">
        <f>0.25*G119</f>
        <v>8.2500000000000004E-3</v>
      </c>
      <c r="I119" s="4">
        <v>1</v>
      </c>
      <c r="J119" s="4" t="s">
        <v>36</v>
      </c>
      <c r="K119" s="4" t="s">
        <v>24</v>
      </c>
      <c r="L119">
        <v>0.1</v>
      </c>
      <c r="M119" s="7">
        <f>L119/H119</f>
        <v>12.121212121212121</v>
      </c>
      <c r="N119" s="7">
        <v>5185.8969999999999</v>
      </c>
      <c r="O119" s="15">
        <v>4182.8312077934797</v>
      </c>
      <c r="P119">
        <f>8*(N119/B119)^2</f>
        <v>3.4423715449099523E-3</v>
      </c>
      <c r="Q119" s="8">
        <f>8*(O119/B119)^2</f>
        <v>2.2394978448500562E-3</v>
      </c>
      <c r="R119" s="9">
        <f>(Q119-P119)/P119</f>
        <v>-0.34943168811586306</v>
      </c>
      <c r="S119" s="7">
        <f>500*2*O119/B119</f>
        <v>16.731324831173918</v>
      </c>
      <c r="T119" s="3">
        <f>B119/4*P119</f>
        <v>215.14822155687202</v>
      </c>
      <c r="U119" s="7">
        <f t="shared" si="64"/>
        <v>171.134601</v>
      </c>
      <c r="V119" s="7">
        <f t="shared" si="65"/>
        <v>138.03342985718484</v>
      </c>
      <c r="W119" s="7">
        <f t="shared" si="66"/>
        <v>171.134601</v>
      </c>
      <c r="X119" s="3">
        <f t="shared" si="67"/>
        <v>42.783650250000001</v>
      </c>
    </row>
    <row r="122" spans="1:24" x14ac:dyDescent="0.35">
      <c r="A122" t="s">
        <v>222</v>
      </c>
      <c r="B122" s="4">
        <v>250000</v>
      </c>
      <c r="C122" s="4" t="s">
        <v>154</v>
      </c>
      <c r="D122" s="4" t="s">
        <v>204</v>
      </c>
      <c r="E122" s="4">
        <v>0.1</v>
      </c>
      <c r="F122" s="4">
        <v>0.1</v>
      </c>
      <c r="G122">
        <f>F122</f>
        <v>0.1</v>
      </c>
      <c r="H122" s="4">
        <f>0.25*G122</f>
        <v>2.5000000000000001E-2</v>
      </c>
      <c r="I122" s="4">
        <v>1</v>
      </c>
      <c r="J122" s="4" t="s">
        <v>36</v>
      </c>
      <c r="K122" s="4" t="s">
        <v>24</v>
      </c>
      <c r="L122">
        <v>0.1</v>
      </c>
      <c r="M122" s="7">
        <f>L122/H122</f>
        <v>4</v>
      </c>
      <c r="N122" s="7">
        <v>5185.8969999999999</v>
      </c>
      <c r="O122" s="15">
        <v>4960.6637403888799</v>
      </c>
      <c r="P122">
        <f>8*(N122/B122)^2</f>
        <v>3.4423715449099523E-3</v>
      </c>
      <c r="Q122" s="8">
        <f>8*(O122/B122)^2</f>
        <v>3.1498476473867513E-3</v>
      </c>
      <c r="R122" s="9">
        <f>(Q122-P122)/P122</f>
        <v>-8.4977433059409344E-2</v>
      </c>
      <c r="S122" s="7">
        <f>500*2*O122/B122</f>
        <v>19.842654961555517</v>
      </c>
      <c r="T122" s="3">
        <f>B122/4*P122</f>
        <v>215.14822155687202</v>
      </c>
      <c r="U122" s="7">
        <f t="shared" ref="U122:U125" si="68">E122*N122</f>
        <v>518.58969999999999</v>
      </c>
      <c r="V122" s="7">
        <f t="shared" ref="V122:V125" si="69">F122*O122</f>
        <v>496.066374038888</v>
      </c>
      <c r="W122" s="7">
        <f>G122*N122</f>
        <v>518.58969999999999</v>
      </c>
      <c r="X122" s="3">
        <f>H122*N122</f>
        <v>129.647425</v>
      </c>
    </row>
    <row r="123" spans="1:24" x14ac:dyDescent="0.35">
      <c r="A123" t="s">
        <v>222</v>
      </c>
      <c r="B123" s="4">
        <v>250000</v>
      </c>
      <c r="C123" s="4" t="s">
        <v>154</v>
      </c>
      <c r="D123" s="4" t="s">
        <v>205</v>
      </c>
      <c r="E123" s="4">
        <v>6.7000000000000004E-2</v>
      </c>
      <c r="F123" s="4">
        <v>6.7000000000000004E-2</v>
      </c>
      <c r="G123">
        <f>F123</f>
        <v>6.7000000000000004E-2</v>
      </c>
      <c r="H123" s="4">
        <f>0.25*G123</f>
        <v>1.6750000000000001E-2</v>
      </c>
      <c r="I123" s="4">
        <v>1</v>
      </c>
      <c r="J123" s="4" t="s">
        <v>36</v>
      </c>
      <c r="K123" s="4" t="s">
        <v>24</v>
      </c>
      <c r="L123">
        <v>0.1</v>
      </c>
      <c r="M123" s="7">
        <f>L123/H123</f>
        <v>5.9701492537313436</v>
      </c>
      <c r="N123" s="7">
        <v>5185.8969999999999</v>
      </c>
      <c r="O123" s="15">
        <v>5047.2924706829599</v>
      </c>
      <c r="P123">
        <f>8*(N123/B123)^2</f>
        <v>3.4423715449099523E-3</v>
      </c>
      <c r="Q123" s="8">
        <f>8*(O123/B123)^2</f>
        <v>3.2608206444304506E-3</v>
      </c>
      <c r="R123" s="9">
        <f>(Q123-P123)/P123</f>
        <v>-5.2740065420291748E-2</v>
      </c>
      <c r="S123" s="7">
        <f>500*2*O123/B123</f>
        <v>20.189169882731839</v>
      </c>
      <c r="T123" s="3">
        <f>B123/4*P123</f>
        <v>215.14822155687202</v>
      </c>
      <c r="U123" s="7">
        <f t="shared" si="68"/>
        <v>347.45509900000002</v>
      </c>
      <c r="V123" s="7">
        <f t="shared" si="69"/>
        <v>338.16859553575836</v>
      </c>
      <c r="W123" s="7">
        <f>G123*N123</f>
        <v>347.45509900000002</v>
      </c>
      <c r="X123" s="3">
        <f>H123*N123</f>
        <v>86.863774750000005</v>
      </c>
    </row>
    <row r="124" spans="1:24" x14ac:dyDescent="0.35">
      <c r="A124" t="s">
        <v>222</v>
      </c>
      <c r="B124" s="4">
        <v>250000</v>
      </c>
      <c r="C124" s="4" t="s">
        <v>154</v>
      </c>
      <c r="D124" s="4" t="s">
        <v>206</v>
      </c>
      <c r="E124" s="4">
        <v>0.05</v>
      </c>
      <c r="F124" s="4">
        <v>0.05</v>
      </c>
      <c r="G124">
        <f>F124</f>
        <v>0.05</v>
      </c>
      <c r="H124" s="4">
        <f>0.25*G124</f>
        <v>1.2500000000000001E-2</v>
      </c>
      <c r="I124" s="4">
        <v>1</v>
      </c>
      <c r="J124" s="4" t="s">
        <v>36</v>
      </c>
      <c r="K124" s="4" t="s">
        <v>24</v>
      </c>
      <c r="L124">
        <v>0.1</v>
      </c>
      <c r="M124" s="7">
        <f>L124/H124</f>
        <v>8</v>
      </c>
      <c r="N124" s="7">
        <v>5185.8969999999999</v>
      </c>
      <c r="O124" s="15">
        <v>5090.5135219019503</v>
      </c>
      <c r="P124">
        <f>8*(N124/B124)^2</f>
        <v>3.4423715449099523E-3</v>
      </c>
      <c r="Q124" s="8">
        <f>8*(O124/B124)^2</f>
        <v>3.3169059733333243E-3</v>
      </c>
      <c r="R124" s="9">
        <f>(Q124-P124)/P124</f>
        <v>-3.6447422929156821E-2</v>
      </c>
      <c r="S124" s="7">
        <f>500*2*O124/B124</f>
        <v>20.362054087607802</v>
      </c>
      <c r="T124" s="3">
        <f>B124/4*P124</f>
        <v>215.14822155687202</v>
      </c>
      <c r="U124" s="7">
        <f t="shared" si="68"/>
        <v>259.29485</v>
      </c>
      <c r="V124" s="7">
        <f t="shared" si="69"/>
        <v>254.52567609509754</v>
      </c>
      <c r="W124" s="7">
        <f>G124*N124</f>
        <v>259.29485</v>
      </c>
      <c r="X124" s="3">
        <f>H124*N124</f>
        <v>64.823712499999999</v>
      </c>
    </row>
    <row r="125" spans="1:24" x14ac:dyDescent="0.35">
      <c r="A125" t="s">
        <v>222</v>
      </c>
      <c r="B125" s="4">
        <v>250000</v>
      </c>
      <c r="C125" s="4" t="s">
        <v>154</v>
      </c>
      <c r="D125" s="4" t="s">
        <v>207</v>
      </c>
      <c r="E125" s="4">
        <v>3.3000000000000002E-2</v>
      </c>
      <c r="F125" s="4">
        <v>3.3000000000000002E-2</v>
      </c>
      <c r="G125">
        <f>F125</f>
        <v>3.3000000000000002E-2</v>
      </c>
      <c r="H125" s="4">
        <f>0.25*G125</f>
        <v>8.2500000000000004E-3</v>
      </c>
      <c r="I125" s="4">
        <v>1</v>
      </c>
      <c r="J125" s="4" t="s">
        <v>36</v>
      </c>
      <c r="K125" s="4" t="s">
        <v>24</v>
      </c>
      <c r="L125">
        <v>0.1</v>
      </c>
      <c r="M125" s="7">
        <f>L125/H125</f>
        <v>12.121212121212121</v>
      </c>
      <c r="N125" s="7">
        <v>5185.8969999999999</v>
      </c>
      <c r="O125" s="15">
        <v>5182.0467619173896</v>
      </c>
      <c r="P125">
        <f>8*(N125/B125)^2</f>
        <v>3.4423715449099523E-3</v>
      </c>
      <c r="Q125" s="8">
        <f>8*(O125/B125)^2</f>
        <v>3.4372619062654083E-3</v>
      </c>
      <c r="R125" s="9">
        <f>(Q125-P125)/P125</f>
        <v>-1.4843367654776779E-3</v>
      </c>
      <c r="S125" s="7">
        <f>500*2*O125/B125</f>
        <v>20.728187047669561</v>
      </c>
      <c r="T125" s="3">
        <f>B125/4*P125</f>
        <v>215.14822155687202</v>
      </c>
      <c r="U125" s="7">
        <f t="shared" si="68"/>
        <v>171.134601</v>
      </c>
      <c r="V125" s="7">
        <f t="shared" si="69"/>
        <v>171.00754314327386</v>
      </c>
      <c r="W125" s="7">
        <f>G125*N125</f>
        <v>171.134601</v>
      </c>
      <c r="X125" s="3">
        <f>H125*N125</f>
        <v>42.783650250000001</v>
      </c>
    </row>
    <row r="131" spans="1:15" x14ac:dyDescent="0.35">
      <c r="A131" s="4">
        <v>250000</v>
      </c>
      <c r="B131" s="4" t="s">
        <v>35</v>
      </c>
      <c r="C131" s="4" t="s">
        <v>42</v>
      </c>
      <c r="D131" s="4">
        <v>0.2</v>
      </c>
      <c r="E131" s="4">
        <v>0.1</v>
      </c>
      <c r="F131">
        <v>0.1</v>
      </c>
      <c r="G131" s="4">
        <f>0.25*F131</f>
        <v>2.5000000000000001E-2</v>
      </c>
      <c r="H131" s="4">
        <v>2</v>
      </c>
      <c r="I131" s="4" t="s">
        <v>36</v>
      </c>
      <c r="J131" s="4" t="s">
        <v>24</v>
      </c>
      <c r="K131">
        <v>0.1</v>
      </c>
      <c r="L131" s="7">
        <f>K131/G131</f>
        <v>4</v>
      </c>
      <c r="M131" s="7">
        <v>5185.8969999999999</v>
      </c>
      <c r="O131">
        <f>8*(M131/A131)^2</f>
        <v>3.4423715449099523E-3</v>
      </c>
    </row>
    <row r="132" spans="1:15" x14ac:dyDescent="0.35">
      <c r="A132" s="4">
        <v>250000</v>
      </c>
      <c r="B132" s="4" t="s">
        <v>35</v>
      </c>
      <c r="C132" s="4" t="s">
        <v>43</v>
      </c>
      <c r="D132" s="4">
        <f>E132*2</f>
        <v>0.13400000000000001</v>
      </c>
      <c r="E132" s="4">
        <v>6.7000000000000004E-2</v>
      </c>
      <c r="F132">
        <f>E132</f>
        <v>6.7000000000000004E-2</v>
      </c>
      <c r="G132" s="4">
        <f>0.25*F132</f>
        <v>1.6750000000000001E-2</v>
      </c>
      <c r="H132" s="4">
        <v>2</v>
      </c>
      <c r="I132" s="4" t="s">
        <v>36</v>
      </c>
      <c r="J132" s="4" t="s">
        <v>24</v>
      </c>
      <c r="K132">
        <v>0.1</v>
      </c>
      <c r="L132" s="7">
        <f>K132/G132</f>
        <v>5.9701492537313436</v>
      </c>
      <c r="M132" s="7">
        <v>5185.8969999999999</v>
      </c>
      <c r="O132">
        <f>8*(M132/A132)^2</f>
        <v>3.4423715449099523E-3</v>
      </c>
    </row>
    <row r="133" spans="1:15" x14ac:dyDescent="0.35">
      <c r="A133" s="4">
        <v>250000</v>
      </c>
      <c r="B133" s="4" t="s">
        <v>35</v>
      </c>
      <c r="C133" s="4" t="s">
        <v>44</v>
      </c>
      <c r="D133" s="4">
        <f t="shared" ref="D133:D134" si="70">E133*2</f>
        <v>0.1</v>
      </c>
      <c r="E133" s="4">
        <v>0.05</v>
      </c>
      <c r="F133">
        <f>E133</f>
        <v>0.05</v>
      </c>
      <c r="G133" s="4">
        <f>0.25*F133</f>
        <v>1.2500000000000001E-2</v>
      </c>
      <c r="H133" s="4">
        <v>2</v>
      </c>
      <c r="I133" s="4" t="s">
        <v>36</v>
      </c>
      <c r="J133" s="4" t="s">
        <v>24</v>
      </c>
      <c r="K133">
        <v>0.1</v>
      </c>
      <c r="L133" s="7">
        <f>K133/G133</f>
        <v>8</v>
      </c>
      <c r="M133" s="7">
        <v>5185.8969999999999</v>
      </c>
      <c r="O133">
        <f>8*(M133/A133)^2</f>
        <v>3.4423715449099523E-3</v>
      </c>
    </row>
    <row r="134" spans="1:15" x14ac:dyDescent="0.35">
      <c r="A134" s="4">
        <v>250000</v>
      </c>
      <c r="B134" s="4" t="s">
        <v>35</v>
      </c>
      <c r="C134" s="4" t="s">
        <v>45</v>
      </c>
      <c r="D134" s="4">
        <f t="shared" si="70"/>
        <v>6.6000000000000003E-2</v>
      </c>
      <c r="E134" s="4">
        <v>3.3000000000000002E-2</v>
      </c>
      <c r="F134">
        <f>E134</f>
        <v>3.3000000000000002E-2</v>
      </c>
      <c r="G134" s="4">
        <f>0.25*F134</f>
        <v>8.2500000000000004E-3</v>
      </c>
      <c r="H134" s="4">
        <v>2</v>
      </c>
      <c r="I134" s="4" t="s">
        <v>36</v>
      </c>
      <c r="J134" s="4" t="s">
        <v>24</v>
      </c>
      <c r="K134">
        <v>0.1</v>
      </c>
      <c r="L134" s="7">
        <f>K134/G134</f>
        <v>12.121212121212121</v>
      </c>
      <c r="M134" s="7">
        <v>5185.8969999999999</v>
      </c>
      <c r="O134">
        <f>8*(M134/A134)^2</f>
        <v>3.4423715449099523E-3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609CC-CB8B-4322-BCD1-DB060831DD3C}">
  <dimension ref="A1:X4"/>
  <sheetViews>
    <sheetView zoomScale="70" zoomScaleNormal="70" workbookViewId="0">
      <selection activeCell="L8" sqref="L8"/>
    </sheetView>
  </sheetViews>
  <sheetFormatPr defaultRowHeight="14.5" x14ac:dyDescent="0.35"/>
  <cols>
    <col min="1" max="1" width="17.453125" customWidth="1"/>
    <col min="2" max="2" width="10.90625" customWidth="1"/>
    <col min="3" max="3" width="12.453125" customWidth="1"/>
    <col min="4" max="4" width="12.26953125" customWidth="1"/>
    <col min="5" max="5" width="9.7265625" customWidth="1"/>
    <col min="6" max="6" width="11.08984375" customWidth="1"/>
    <col min="8" max="8" width="11.36328125" customWidth="1"/>
    <col min="9" max="9" width="9.81640625" customWidth="1"/>
    <col min="10" max="10" width="13.36328125" customWidth="1"/>
    <col min="18" max="18" width="12.26953125" customWidth="1"/>
    <col min="19" max="19" width="14.90625" customWidth="1"/>
    <col min="24" max="24" width="10.9062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58</v>
      </c>
      <c r="B2" s="4">
        <v>4410</v>
      </c>
      <c r="C2" s="4" t="s">
        <v>210</v>
      </c>
      <c r="D2" s="4" t="s">
        <v>211</v>
      </c>
      <c r="E2" s="17">
        <f>12.8/384</f>
        <v>3.3333333333333333E-2</v>
      </c>
      <c r="F2" s="17">
        <f>2/128</f>
        <v>1.5625E-2</v>
      </c>
      <c r="G2" s="17">
        <v>1.5625E-2</v>
      </c>
      <c r="H2" s="17">
        <v>1.5625E-2</v>
      </c>
      <c r="I2" s="18">
        <f>E2/F2</f>
        <v>2.1333333333333333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150</v>
      </c>
      <c r="O2" s="3">
        <v>148.846405200954</v>
      </c>
      <c r="P2" s="8">
        <f>8*(N2/B2)^2</f>
        <v>9.2554028414086748E-3</v>
      </c>
      <c r="Q2" s="8">
        <f>8*(O2/B2)^2</f>
        <v>9.1135904653911019E-3</v>
      </c>
      <c r="R2" s="9">
        <f>(Q2-P2)/P2</f>
        <v>-1.5322118166818652E-2</v>
      </c>
      <c r="S2" s="7">
        <f>3300*2*O2/B2</f>
        <v>222.76332751163184</v>
      </c>
      <c r="T2" s="3">
        <f>B2/4*P2</f>
        <v>10.204081632653065</v>
      </c>
      <c r="U2" s="7">
        <f>E2*N2</f>
        <v>5</v>
      </c>
      <c r="V2" s="7">
        <f>F2*N2</f>
        <v>2.34375</v>
      </c>
      <c r="W2" s="7">
        <f>G2*N2</f>
        <v>2.34375</v>
      </c>
      <c r="X2" s="7">
        <f>H2*N2</f>
        <v>2.34375</v>
      </c>
    </row>
    <row r="3" spans="1:24" x14ac:dyDescent="0.35">
      <c r="A3" t="s">
        <v>215</v>
      </c>
      <c r="B3" s="4">
        <v>4410</v>
      </c>
      <c r="C3" s="4" t="s">
        <v>210</v>
      </c>
      <c r="D3" s="4" t="s">
        <v>220</v>
      </c>
      <c r="E3" s="17">
        <f>12.8/576</f>
        <v>2.2222222222222223E-2</v>
      </c>
      <c r="F3" s="17">
        <f>2/192</f>
        <v>1.0416666666666666E-2</v>
      </c>
      <c r="G3" s="17">
        <f>2/192</f>
        <v>1.0416666666666666E-2</v>
      </c>
      <c r="H3" s="17">
        <f>2/192</f>
        <v>1.0416666666666666E-2</v>
      </c>
      <c r="I3" s="18">
        <f>E3/F3</f>
        <v>2.1333333333333337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150</v>
      </c>
      <c r="O3" s="3">
        <v>149.041431015104</v>
      </c>
      <c r="P3" s="8">
        <f>8*(N3/B3)^2</f>
        <v>9.2554028414086748E-3</v>
      </c>
      <c r="Q3" s="8">
        <f>8*(O3/B3)^2</f>
        <v>9.1374882519238403E-3</v>
      </c>
      <c r="R3" s="9">
        <f>(Q3-P3)/P3</f>
        <v>-1.2740081820888932E-2</v>
      </c>
      <c r="S3" s="7">
        <f>700*2*O3/B3</f>
        <v>47.31474000479492</v>
      </c>
      <c r="T3" s="3">
        <f>B3/4*P3</f>
        <v>10.204081632653065</v>
      </c>
      <c r="U3" s="7">
        <f>E3*N3</f>
        <v>3.3333333333333335</v>
      </c>
      <c r="V3" s="7">
        <f>F3*N3</f>
        <v>1.5625</v>
      </c>
      <c r="W3" s="7">
        <f>G3*N3</f>
        <v>1.5625</v>
      </c>
      <c r="X3" s="7">
        <f>H3*N3</f>
        <v>1.5625</v>
      </c>
    </row>
    <row r="4" spans="1:24" x14ac:dyDescent="0.35">
      <c r="A4" t="s">
        <v>209</v>
      </c>
      <c r="B4" s="4">
        <v>4410</v>
      </c>
      <c r="C4" s="4" t="s">
        <v>214</v>
      </c>
      <c r="D4" s="4" t="s">
        <v>155</v>
      </c>
      <c r="E4" s="17">
        <f>12.8/384</f>
        <v>3.3333333333333333E-2</v>
      </c>
      <c r="F4" s="17">
        <f>2/128</f>
        <v>1.5625E-2</v>
      </c>
      <c r="G4" s="17">
        <v>1.5625E-2</v>
      </c>
      <c r="H4" s="17">
        <v>1.5625E-2</v>
      </c>
      <c r="I4" s="18">
        <f>E4/F4</f>
        <v>2.1333333333333333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150</v>
      </c>
      <c r="O4" s="3">
        <v>148.48689957656501</v>
      </c>
      <c r="P4" s="8">
        <f>8*(N4/B4)^2</f>
        <v>9.2554028414086748E-3</v>
      </c>
      <c r="Q4" s="8">
        <f>8*(O4/B4)^2</f>
        <v>9.0696198994702441E-3</v>
      </c>
      <c r="R4" s="9">
        <f>(Q4-P4)/P4</f>
        <v>-2.0072917961737737E-2</v>
      </c>
      <c r="S4" s="7">
        <f>4500*2*O4/B4</f>
        <v>303.03448893176534</v>
      </c>
      <c r="T4" s="3">
        <f>B4/4*P4</f>
        <v>10.204081632653065</v>
      </c>
      <c r="U4" s="7">
        <f>E4*N4</f>
        <v>5</v>
      </c>
      <c r="V4" s="7">
        <f>F4*N4</f>
        <v>2.34375</v>
      </c>
      <c r="W4" s="7">
        <f>G4*N4</f>
        <v>2.34375</v>
      </c>
      <c r="X4" s="7">
        <f>H4*N4</f>
        <v>2.34375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5DC12-DB96-414E-A0EA-58380D3D2CE8}">
  <dimension ref="A1:X6"/>
  <sheetViews>
    <sheetView zoomScale="70" zoomScaleNormal="70" workbookViewId="0">
      <selection activeCell="R6" sqref="R6"/>
    </sheetView>
  </sheetViews>
  <sheetFormatPr defaultRowHeight="14.5" x14ac:dyDescent="0.35"/>
  <cols>
    <col min="1" max="1" width="18.1796875" customWidth="1"/>
    <col min="2" max="2" width="13.6328125" customWidth="1"/>
    <col min="3" max="3" width="14.54296875" customWidth="1"/>
    <col min="4" max="4" width="11.453125" customWidth="1"/>
    <col min="18" max="18" width="13.36328125" customWidth="1"/>
    <col min="24" max="24" width="11.54296875" customWidth="1"/>
  </cols>
  <sheetData>
    <row r="1" spans="1:24" x14ac:dyDescent="0.35">
      <c r="B1" s="4" t="s">
        <v>20</v>
      </c>
      <c r="C1" s="4" t="s">
        <v>23</v>
      </c>
      <c r="D1" s="4" t="s">
        <v>22</v>
      </c>
      <c r="E1" s="4" t="s">
        <v>31</v>
      </c>
      <c r="F1" s="4" t="s">
        <v>32</v>
      </c>
      <c r="G1" s="4" t="s">
        <v>47</v>
      </c>
      <c r="H1" s="4" t="s">
        <v>212</v>
      </c>
      <c r="I1" s="4" t="s">
        <v>38</v>
      </c>
      <c r="J1" s="4" t="s">
        <v>46</v>
      </c>
      <c r="K1" s="4" t="s">
        <v>25</v>
      </c>
      <c r="L1" s="4" t="s">
        <v>19</v>
      </c>
      <c r="M1" s="4" t="s">
        <v>49</v>
      </c>
      <c r="N1" s="4" t="s">
        <v>26</v>
      </c>
      <c r="O1" s="4" t="s">
        <v>21</v>
      </c>
      <c r="P1" s="4" t="s">
        <v>28</v>
      </c>
      <c r="Q1" s="4" t="s">
        <v>27</v>
      </c>
      <c r="R1" s="4" t="s">
        <v>29</v>
      </c>
      <c r="S1" s="4" t="s">
        <v>30</v>
      </c>
      <c r="T1" s="4" t="s">
        <v>54</v>
      </c>
      <c r="U1" s="4" t="s">
        <v>62</v>
      </c>
      <c r="V1" s="4" t="s">
        <v>63</v>
      </c>
      <c r="W1" s="4" t="s">
        <v>64</v>
      </c>
      <c r="X1" s="4" t="s">
        <v>65</v>
      </c>
    </row>
    <row r="2" spans="1:24" x14ac:dyDescent="0.35">
      <c r="A2" t="s">
        <v>200</v>
      </c>
      <c r="B2" s="4">
        <v>40000</v>
      </c>
      <c r="C2" s="4" t="s">
        <v>214</v>
      </c>
      <c r="D2" s="4" t="s">
        <v>216</v>
      </c>
      <c r="E2" s="17">
        <f>6.4/256</f>
        <v>2.5000000000000001E-2</v>
      </c>
      <c r="F2" s="4">
        <f t="shared" ref="F2:H4" si="0">2/80</f>
        <v>2.5000000000000001E-2</v>
      </c>
      <c r="G2" s="17">
        <f t="shared" si="0"/>
        <v>2.5000000000000001E-2</v>
      </c>
      <c r="H2" s="17">
        <f t="shared" si="0"/>
        <v>2.5000000000000001E-2</v>
      </c>
      <c r="I2" s="18">
        <v>1</v>
      </c>
      <c r="J2" s="4" t="s">
        <v>213</v>
      </c>
      <c r="K2" s="4" t="s">
        <v>24</v>
      </c>
      <c r="L2" s="4" t="s">
        <v>152</v>
      </c>
      <c r="M2" s="18" t="s">
        <v>152</v>
      </c>
      <c r="N2" s="11">
        <v>1055</v>
      </c>
      <c r="O2" s="3">
        <v>1038.48230917147</v>
      </c>
      <c r="P2" s="8">
        <f>8*(N2/B2)^2</f>
        <v>5.5651249999999998E-3</v>
      </c>
      <c r="Q2" s="8">
        <f>8*(O2/B2)^2</f>
        <v>5.3922275323105423E-3</v>
      </c>
      <c r="R2" s="9">
        <f>(Q2-P2)/P2</f>
        <v>-3.106802950328294E-2</v>
      </c>
      <c r="S2" s="7">
        <f>1700*O2/B2</f>
        <v>44.135498139787479</v>
      </c>
      <c r="T2" s="3">
        <f>B2/4*P2</f>
        <v>55.651249999999997</v>
      </c>
      <c r="U2" s="7">
        <f>E2*N2</f>
        <v>26.375</v>
      </c>
      <c r="V2" s="7">
        <f>F2*N2</f>
        <v>26.375</v>
      </c>
      <c r="W2" s="7">
        <f>G2*N2</f>
        <v>26.375</v>
      </c>
      <c r="X2" s="7">
        <f>H2*N2</f>
        <v>26.375</v>
      </c>
    </row>
    <row r="3" spans="1:24" x14ac:dyDescent="0.35">
      <c r="A3" t="s">
        <v>200</v>
      </c>
      <c r="B3" s="4">
        <v>40000</v>
      </c>
      <c r="C3" s="4" t="s">
        <v>214</v>
      </c>
      <c r="D3" s="4" t="s">
        <v>217</v>
      </c>
      <c r="E3" s="17">
        <f>6.4/128</f>
        <v>0.05</v>
      </c>
      <c r="F3" s="4">
        <f t="shared" si="0"/>
        <v>2.5000000000000001E-2</v>
      </c>
      <c r="G3" s="17">
        <f t="shared" si="0"/>
        <v>2.5000000000000001E-2</v>
      </c>
      <c r="H3" s="17">
        <f t="shared" si="0"/>
        <v>2.5000000000000001E-2</v>
      </c>
      <c r="I3" s="18">
        <v>2</v>
      </c>
      <c r="J3" s="4" t="s">
        <v>213</v>
      </c>
      <c r="K3" s="4" t="s">
        <v>24</v>
      </c>
      <c r="L3" s="4" t="s">
        <v>152</v>
      </c>
      <c r="M3" s="18" t="s">
        <v>152</v>
      </c>
      <c r="N3" s="11">
        <v>1055</v>
      </c>
      <c r="O3" s="3">
        <v>1046.3668774222201</v>
      </c>
      <c r="P3" s="8">
        <f>8*(N3/B3)^2</f>
        <v>5.5651249999999998E-3</v>
      </c>
      <c r="Q3" s="8">
        <f>8*(O3/B3)^2</f>
        <v>5.4744182108316369E-3</v>
      </c>
      <c r="R3" s="9">
        <f>(Q3-P3)/P3</f>
        <v>-1.6299146769994007E-2</v>
      </c>
      <c r="S3" s="7">
        <f>1700*O3/B3</f>
        <v>44.470592290444351</v>
      </c>
      <c r="T3" s="3">
        <f>B3/4*P3</f>
        <v>55.651249999999997</v>
      </c>
      <c r="U3" s="7">
        <f>E3*N3</f>
        <v>52.75</v>
      </c>
      <c r="V3" s="7">
        <f>F3*N3</f>
        <v>26.375</v>
      </c>
      <c r="W3" s="7">
        <f>G3*N3</f>
        <v>26.375</v>
      </c>
      <c r="X3" s="7">
        <v>26.4</v>
      </c>
    </row>
    <row r="4" spans="1:24" x14ac:dyDescent="0.35">
      <c r="A4" t="s">
        <v>200</v>
      </c>
      <c r="B4" s="4">
        <v>40000</v>
      </c>
      <c r="C4" s="4" t="s">
        <v>214</v>
      </c>
      <c r="D4" s="4" t="s">
        <v>218</v>
      </c>
      <c r="E4" s="17">
        <f>6.4/64</f>
        <v>0.1</v>
      </c>
      <c r="F4" s="4">
        <f t="shared" si="0"/>
        <v>2.5000000000000001E-2</v>
      </c>
      <c r="G4" s="17">
        <f t="shared" si="0"/>
        <v>2.5000000000000001E-2</v>
      </c>
      <c r="H4" s="17">
        <f t="shared" si="0"/>
        <v>2.5000000000000001E-2</v>
      </c>
      <c r="I4" s="18">
        <v>4</v>
      </c>
      <c r="J4" s="4" t="s">
        <v>213</v>
      </c>
      <c r="K4" s="4" t="s">
        <v>24</v>
      </c>
      <c r="L4" s="4" t="s">
        <v>152</v>
      </c>
      <c r="M4" s="18" t="s">
        <v>152</v>
      </c>
      <c r="N4" s="11">
        <v>1055</v>
      </c>
      <c r="O4" s="3">
        <v>1065.6540405542701</v>
      </c>
      <c r="P4" s="8">
        <f>8*(N4/B4)^2</f>
        <v>5.5651249999999998E-3</v>
      </c>
      <c r="Q4" s="8">
        <f>8*(O4/B4)^2</f>
        <v>5.6780926707482096E-3</v>
      </c>
      <c r="R4" s="9">
        <f>(Q4-P4)/P4</f>
        <v>2.0299215336261067E-2</v>
      </c>
      <c r="S4" s="7">
        <f>1700*O4/B4</f>
        <v>45.29029672355648</v>
      </c>
      <c r="T4" s="3">
        <f>B4/4*P4</f>
        <v>55.651249999999997</v>
      </c>
      <c r="U4" s="7">
        <f>E4*N4</f>
        <v>105.5</v>
      </c>
      <c r="V4" s="7">
        <f>F4*N4</f>
        <v>26.375</v>
      </c>
      <c r="W4" s="7">
        <f>G4*N4</f>
        <v>26.375</v>
      </c>
      <c r="X4" s="7">
        <v>26.4</v>
      </c>
    </row>
    <row r="5" spans="1:24" x14ac:dyDescent="0.35">
      <c r="A5" t="s">
        <v>200</v>
      </c>
      <c r="B5" s="4">
        <v>40000</v>
      </c>
      <c r="C5" s="4" t="s">
        <v>214</v>
      </c>
      <c r="D5" s="4" t="s">
        <v>219</v>
      </c>
      <c r="E5" s="17">
        <f>6.4/384</f>
        <v>1.6666666666666666E-2</v>
      </c>
      <c r="F5" s="17">
        <f>2/120</f>
        <v>1.6666666666666666E-2</v>
      </c>
      <c r="G5" s="17">
        <f>2/120</f>
        <v>1.6666666666666666E-2</v>
      </c>
      <c r="H5" s="17">
        <f>2/120</f>
        <v>1.6666666666666666E-2</v>
      </c>
      <c r="I5" s="18">
        <v>1</v>
      </c>
      <c r="J5" s="4" t="s">
        <v>213</v>
      </c>
      <c r="K5" s="4" t="s">
        <v>24</v>
      </c>
      <c r="L5" s="4" t="s">
        <v>152</v>
      </c>
      <c r="M5" s="18" t="s">
        <v>152</v>
      </c>
      <c r="N5" s="11">
        <v>1055</v>
      </c>
      <c r="O5" s="3">
        <v>1043.25342559001</v>
      </c>
      <c r="P5" s="8">
        <f>8*(N5/B5)^2</f>
        <v>5.5651249999999998E-3</v>
      </c>
      <c r="Q5" s="8">
        <f>8*(O5/B5)^2</f>
        <v>5.441888550026453E-3</v>
      </c>
      <c r="R5" s="9">
        <f>(Q5-P5)/P5</f>
        <v>-2.2144417236548468E-2</v>
      </c>
      <c r="S5" s="7">
        <f>1700*O5/B5</f>
        <v>44.338270587575423</v>
      </c>
      <c r="T5" s="3">
        <f>B5/4*P5</f>
        <v>55.651249999999997</v>
      </c>
      <c r="U5" s="7">
        <f>E5*N5</f>
        <v>17.583333333333332</v>
      </c>
      <c r="V5" s="7">
        <f>F5*N5</f>
        <v>17.583333333333332</v>
      </c>
      <c r="W5" s="7">
        <f>G5*N5</f>
        <v>17.583333333333332</v>
      </c>
      <c r="X5" s="7">
        <f>H5*N5</f>
        <v>17.583333333333332</v>
      </c>
    </row>
    <row r="6" spans="1:24" x14ac:dyDescent="0.35">
      <c r="A6" t="s">
        <v>200</v>
      </c>
      <c r="B6" s="4">
        <v>40000</v>
      </c>
      <c r="C6" s="4" t="s">
        <v>214</v>
      </c>
      <c r="D6" s="4" t="s">
        <v>221</v>
      </c>
      <c r="E6" s="17">
        <f>6.4/512</f>
        <v>1.2500000000000001E-2</v>
      </c>
      <c r="F6" s="17">
        <f>2/160</f>
        <v>1.2500000000000001E-2</v>
      </c>
      <c r="G6" s="17">
        <f>2/160</f>
        <v>1.2500000000000001E-2</v>
      </c>
      <c r="H6" s="17">
        <f>2/160</f>
        <v>1.2500000000000001E-2</v>
      </c>
      <c r="I6" s="18">
        <v>1</v>
      </c>
      <c r="J6" s="4" t="s">
        <v>213</v>
      </c>
      <c r="K6" s="4" t="s">
        <v>24</v>
      </c>
      <c r="L6" s="4" t="s">
        <v>152</v>
      </c>
      <c r="M6" s="18" t="s">
        <v>152</v>
      </c>
      <c r="N6" s="11">
        <v>1055</v>
      </c>
      <c r="O6" s="3">
        <v>1043.2289674921899</v>
      </c>
      <c r="P6" s="8">
        <f>8*(N6/B6)^2</f>
        <v>5.5651249999999998E-3</v>
      </c>
      <c r="Q6" s="8">
        <f>8*(O6/B6)^2</f>
        <v>5.4416333930741032E-3</v>
      </c>
      <c r="R6" s="9">
        <f>(Q6-P6)/P6</f>
        <v>-2.219026651259344E-2</v>
      </c>
      <c r="S6" s="7">
        <f>1700*O6/B6</f>
        <v>44.337231118418075</v>
      </c>
      <c r="T6" s="3">
        <f>B6/4*P6</f>
        <v>55.651249999999997</v>
      </c>
      <c r="U6" s="7">
        <f>E6*N6</f>
        <v>13.1875</v>
      </c>
      <c r="V6" s="7">
        <f>F6*N6</f>
        <v>13.1875</v>
      </c>
      <c r="W6" s="7">
        <f>G6*N6</f>
        <v>13.1875</v>
      </c>
      <c r="X6" s="7">
        <f>H6*N6</f>
        <v>13.1875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notes</vt:lpstr>
      <vt:lpstr>CHA_RETAU180</vt:lpstr>
      <vt:lpstr>CHA_RETAU395</vt:lpstr>
      <vt:lpstr>CHA_RETAU550</vt:lpstr>
      <vt:lpstr>CHA_RETAU1000</vt:lpstr>
      <vt:lpstr>CHA_RETAU5200</vt:lpstr>
      <vt:lpstr>DUC_RETAU150</vt:lpstr>
      <vt:lpstr>DUC_RETAU1000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2024-06-04T07:49:18Z</dcterms:modified>
</cp:coreProperties>
</file>