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RM\Documents\code\CaNS\docs\"/>
    </mc:Choice>
  </mc:AlternateContent>
  <xr:revisionPtr revIDLastSave="0" documentId="13_ncr:1_{F29D1B8F-29F2-45D5-AE8C-4E21A25C00DF}" xr6:coauthVersionLast="47" xr6:coauthVersionMax="47" xr10:uidLastSave="{00000000-0000-0000-0000-000000000000}"/>
  <bookViews>
    <workbookView xWindow="-90" yWindow="0" windowWidth="12980" windowHeight="15370" activeTab="1" xr2:uid="{01D2C22A-6FDC-4C8A-89EA-CFEF89D4AB13}"/>
  </bookViews>
  <sheets>
    <sheet name="debug" sheetId="1" r:id="rId1"/>
    <sheet name="CHA_RETAU180" sheetId="9" r:id="rId2"/>
    <sheet name="CHA_RETAU550" sheetId="7" r:id="rId3"/>
    <sheet name="CHA_RETAU1000" sheetId="4" r:id="rId4"/>
    <sheet name="CHA_RETAU5200" sheetId="6" r:id="rId5"/>
    <sheet name="main" sheetId="2" r:id="rId6"/>
    <sheet name="initsolver" sheetId="3" r:id="rId7"/>
    <sheet name="notes" sheetId="5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9" l="1"/>
  <c r="T16" i="9"/>
  <c r="R16" i="9"/>
  <c r="P16" i="9"/>
  <c r="Q16" i="9" s="1"/>
  <c r="O16" i="9"/>
  <c r="S16" i="9" s="1"/>
  <c r="F16" i="9"/>
  <c r="V16" i="9" s="1"/>
  <c r="V15" i="9"/>
  <c r="U15" i="9"/>
  <c r="T15" i="9"/>
  <c r="R15" i="9"/>
  <c r="P15" i="9"/>
  <c r="Q15" i="9" s="1"/>
  <c r="O15" i="9"/>
  <c r="S15" i="9" s="1"/>
  <c r="F15" i="9"/>
  <c r="G15" i="9" s="1"/>
  <c r="V14" i="9"/>
  <c r="U14" i="9"/>
  <c r="T14" i="9"/>
  <c r="S14" i="9"/>
  <c r="R14" i="9"/>
  <c r="P14" i="9"/>
  <c r="Q14" i="9" s="1"/>
  <c r="O14" i="9"/>
  <c r="F14" i="9"/>
  <c r="G14" i="9" s="1"/>
  <c r="U13" i="9"/>
  <c r="T13" i="9"/>
  <c r="R13" i="9"/>
  <c r="P13" i="9"/>
  <c r="Q13" i="9" s="1"/>
  <c r="O13" i="9"/>
  <c r="S13" i="9" s="1"/>
  <c r="F13" i="9"/>
  <c r="V13" i="9" s="1"/>
  <c r="W6" i="9"/>
  <c r="V6" i="9"/>
  <c r="U6" i="9"/>
  <c r="T6" i="9"/>
  <c r="W3" i="9"/>
  <c r="W4" i="9"/>
  <c r="W5" i="9"/>
  <c r="V3" i="9"/>
  <c r="V4" i="9"/>
  <c r="V5" i="9"/>
  <c r="U3" i="9"/>
  <c r="U4" i="9"/>
  <c r="U5" i="9"/>
  <c r="T3" i="9"/>
  <c r="T4" i="9"/>
  <c r="T5" i="9"/>
  <c r="W2" i="9"/>
  <c r="V2" i="9"/>
  <c r="U2" i="9"/>
  <c r="T2" i="9"/>
  <c r="S3" i="7"/>
  <c r="S4" i="7"/>
  <c r="S5" i="7"/>
  <c r="S2" i="7"/>
  <c r="S3" i="4"/>
  <c r="S4" i="4"/>
  <c r="S5" i="4"/>
  <c r="S2" i="4"/>
  <c r="S6" i="9"/>
  <c r="Q6" i="9"/>
  <c r="O6" i="9"/>
  <c r="P6" i="9"/>
  <c r="R6" i="9"/>
  <c r="L6" i="9"/>
  <c r="H6" i="9"/>
  <c r="E6" i="9"/>
  <c r="D6" i="9"/>
  <c r="G27" i="9"/>
  <c r="F27" i="9"/>
  <c r="E27" i="9"/>
  <c r="D27" i="9"/>
  <c r="H27" i="9" s="1"/>
  <c r="R5" i="9"/>
  <c r="P5" i="9"/>
  <c r="O5" i="9"/>
  <c r="S5" i="9" s="1"/>
  <c r="F5" i="9"/>
  <c r="G5" i="9" s="1"/>
  <c r="L5" i="9" s="1"/>
  <c r="R4" i="9"/>
  <c r="P4" i="9"/>
  <c r="O4" i="9"/>
  <c r="S4" i="9" s="1"/>
  <c r="F4" i="9"/>
  <c r="G4" i="9" s="1"/>
  <c r="L4" i="9" s="1"/>
  <c r="R3" i="9"/>
  <c r="P3" i="9"/>
  <c r="O3" i="9"/>
  <c r="S3" i="9" s="1"/>
  <c r="F3" i="9"/>
  <c r="G3" i="9" s="1"/>
  <c r="L3" i="9" s="1"/>
  <c r="R2" i="9"/>
  <c r="P2" i="9"/>
  <c r="O2" i="9"/>
  <c r="S2" i="9" s="1"/>
  <c r="F2" i="9"/>
  <c r="G2" i="9" s="1"/>
  <c r="L2" i="9" s="1"/>
  <c r="O3" i="4"/>
  <c r="O4" i="4"/>
  <c r="O5" i="4"/>
  <c r="O2" i="4"/>
  <c r="P2" i="4"/>
  <c r="P3" i="4"/>
  <c r="P4" i="4"/>
  <c r="P5" i="4"/>
  <c r="R2" i="4"/>
  <c r="R3" i="4"/>
  <c r="R4" i="4"/>
  <c r="R5" i="4"/>
  <c r="L5" i="4"/>
  <c r="G5" i="4"/>
  <c r="F5" i="4"/>
  <c r="F4" i="4"/>
  <c r="G4" i="4" s="1"/>
  <c r="L4" i="4" s="1"/>
  <c r="L3" i="4"/>
  <c r="G3" i="4"/>
  <c r="F3" i="4"/>
  <c r="L2" i="4"/>
  <c r="G2" i="4"/>
  <c r="F2" i="4"/>
  <c r="S3" i="6"/>
  <c r="S4" i="6"/>
  <c r="S5" i="6"/>
  <c r="R3" i="7"/>
  <c r="R4" i="7"/>
  <c r="R5" i="7"/>
  <c r="R2" i="7"/>
  <c r="Q3" i="7"/>
  <c r="Q4" i="7"/>
  <c r="Q5" i="7"/>
  <c r="P3" i="7"/>
  <c r="P4" i="7"/>
  <c r="P5" i="7"/>
  <c r="P2" i="7"/>
  <c r="O27" i="9"/>
  <c r="S27" i="9" s="1"/>
  <c r="R3" i="6"/>
  <c r="R4" i="6"/>
  <c r="R5" i="6"/>
  <c r="Q3" i="6"/>
  <c r="Q4" i="6"/>
  <c r="Q5" i="6"/>
  <c r="P3" i="6"/>
  <c r="P4" i="6"/>
  <c r="P5" i="6"/>
  <c r="R2" i="6"/>
  <c r="D9" i="6"/>
  <c r="D10" i="6"/>
  <c r="D8" i="6"/>
  <c r="O5" i="7"/>
  <c r="F5" i="7"/>
  <c r="G5" i="7" s="1"/>
  <c r="L5" i="7" s="1"/>
  <c r="O4" i="7"/>
  <c r="F4" i="7"/>
  <c r="G4" i="7" s="1"/>
  <c r="L4" i="7" s="1"/>
  <c r="O3" i="7"/>
  <c r="F3" i="7"/>
  <c r="G3" i="7" s="1"/>
  <c r="L3" i="7" s="1"/>
  <c r="O2" i="7"/>
  <c r="F2" i="7"/>
  <c r="G2" i="7" s="1"/>
  <c r="L2" i="7" s="1"/>
  <c r="P2" i="6"/>
  <c r="G7" i="6"/>
  <c r="L7" i="6" s="1"/>
  <c r="F3" i="6"/>
  <c r="G3" i="6" s="1"/>
  <c r="L3" i="6" s="1"/>
  <c r="F4" i="6"/>
  <c r="G4" i="6" s="1"/>
  <c r="L4" i="6" s="1"/>
  <c r="F5" i="6"/>
  <c r="G5" i="6" s="1"/>
  <c r="L5" i="6" s="1"/>
  <c r="F8" i="6"/>
  <c r="G8" i="6" s="1"/>
  <c r="L8" i="6" s="1"/>
  <c r="F9" i="6"/>
  <c r="G9" i="6" s="1"/>
  <c r="L9" i="6" s="1"/>
  <c r="F10" i="6"/>
  <c r="G10" i="6" s="1"/>
  <c r="L10" i="6" s="1"/>
  <c r="F2" i="6"/>
  <c r="G2" i="6" s="1"/>
  <c r="L2" i="6" s="1"/>
  <c r="O2" i="6"/>
  <c r="Q2" i="6" s="1"/>
  <c r="O3" i="6"/>
  <c r="O4" i="6"/>
  <c r="O5" i="6"/>
  <c r="O7" i="6"/>
  <c r="O8" i="6"/>
  <c r="O9" i="6"/>
  <c r="O10" i="6"/>
  <c r="W15" i="9" l="1"/>
  <c r="W14" i="9"/>
  <c r="G13" i="9"/>
  <c r="G16" i="9"/>
  <c r="S2" i="6"/>
  <c r="Q5" i="9"/>
  <c r="Q3" i="9"/>
  <c r="Q4" i="9"/>
  <c r="Q2" i="9"/>
  <c r="Q3" i="4"/>
  <c r="Q5" i="4"/>
  <c r="Q4" i="4"/>
  <c r="Q2" i="4"/>
  <c r="Q2" i="7"/>
  <c r="W16" i="9" l="1"/>
  <c r="W13" i="9"/>
</calcChain>
</file>

<file path=xl/sharedStrings.xml><?xml version="1.0" encoding="utf-8"?>
<sst xmlns="http://schemas.openxmlformats.org/spreadsheetml/2006/main" count="289" uniqueCount="74">
  <si>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</si>
  <si>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</si>
  <si>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</si>
  <si>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</si>
  <si>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</si>
  <si>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</si>
  <si>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</si>
  <si>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</si>
  <si>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</si>
  <si>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</si>
  <si>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</si>
  <si>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</si>
  <si>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</si>
  <si>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</si>
  <si>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</si>
  <si>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</si>
  <si>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</si>
  <si>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</si>
  <si>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</si>
  <si>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</si>
  <si>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</si>
  <si>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</si>
  <si>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</si>
  <si>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</si>
  <si>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</si>
  <si>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</si>
  <si>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</si>
  <si>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</si>
  <si>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</si>
  <si>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</si>
  <si>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</si>
  <si>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</si>
  <si>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</si>
  <si>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</si>
  <si>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</si>
  <si>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</si>
  <si>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</si>
  <si>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</si>
  <si>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</si>
  <si>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</si>
  <si>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</si>
  <si>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</si>
  <si>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</si>
  <si>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</si>
  <si>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</si>
  <si>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</si>
  <si>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</si>
  <si>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</si>
  <si>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</si>
  <si>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</si>
  <si>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</si>
  <si>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</si>
  <si>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</si>
  <si>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</si>
  <si>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</si>
  <si>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</si>
  <si>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</si>
  <si>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</si>
  <si>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using accurate mean bc</t>
  </si>
  <si>
    <t>if correct, wall model prob</t>
  </si>
  <si>
    <t>if incorrect, sgs prob, try dns grids, RETAU180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</si>
  <si>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</si>
  <si>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</si>
  <si>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</si>
  <si>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</si>
  <si>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</si>
  <si>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</si>
  <si>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</si>
  <si>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</si>
  <si>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</si>
  <si>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</si>
  <si>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</si>
  <si>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</si>
  <si>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NOSP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</si>
</sst>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30"/>
  <sheetViews>
    <sheetView topLeftCell="A7" workbookViewId="0">
      <selection activeCell="C12" sqref="C12"/>
    </sheetView>
  </sheetViews>
  <sheetFormatPr defaultRowHeight="14.5"/>
  <cols>
    <col min="1" max="1" width="16.453125" customWidth="1"/>
    <col min="2" max="2" width="40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B29" t="s">
        <v>59</v>
      </c>
    </row>
    <row r="30" spans="1:5">
      <c r="A30" t="s">
        <v>58</v>
      </c>
      <c r="B30" t="s">
        <v>60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W34"/>
  <sheetViews>
    <sheetView tabSelected="1" zoomScale="40" zoomScaleNormal="40" workbookViewId="0">
      <selection activeCell="B16" sqref="B16"/>
    </sheetView>
  </sheetViews>
  <sheetFormatPr defaultRowHeight="14.5"/>
  <cols>
    <col min="2" max="2" width="15.6328125" customWidth="1"/>
    <col min="3" max="3" width="13" customWidth="1"/>
    <col min="4" max="4" width="11.08984375" customWidth="1"/>
    <col min="5" max="5" width="11.36328125" customWidth="1"/>
    <col min="6" max="6" width="14.26953125" customWidth="1"/>
    <col min="7" max="7" width="11.90625" customWidth="1"/>
    <col min="8" max="8" width="12.26953125" customWidth="1"/>
    <col min="9" max="9" width="20.7265625" customWidth="1"/>
    <col min="12" max="12" width="10" customWidth="1"/>
    <col min="13" max="13" width="10.90625" customWidth="1"/>
    <col min="17" max="17" width="14.08984375" customWidth="1"/>
    <col min="18" max="18" width="16.08984375" customWidth="1"/>
    <col min="19" max="19" width="13" customWidth="1"/>
    <col min="20" max="20" width="12.1796875" customWidth="1"/>
    <col min="21" max="21" width="11.7265625" customWidth="1"/>
    <col min="22" max="22" width="13" customWidth="1"/>
    <col min="23" max="23" width="13.36328125" customWidth="1"/>
  </cols>
  <sheetData>
    <row r="1" spans="1:23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61</v>
      </c>
      <c r="T1" s="5" t="s">
        <v>69</v>
      </c>
      <c r="U1" s="5" t="s">
        <v>70</v>
      </c>
      <c r="V1" s="5" t="s">
        <v>71</v>
      </c>
      <c r="W1" s="5" t="s">
        <v>72</v>
      </c>
    </row>
    <row r="2" spans="1:23">
      <c r="A2" s="5">
        <v>5714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180.601843765257</v>
      </c>
      <c r="N2" s="4">
        <v>179.99818440102101</v>
      </c>
      <c r="O2">
        <f>8*(M2/A2)^2</f>
        <v>7.9919705400696046E-3</v>
      </c>
      <c r="P2" s="9">
        <f>8*(N2/A2)^2</f>
        <v>7.9386337085019347E-3</v>
      </c>
      <c r="Q2" s="10">
        <f>(P2-O2)/O2</f>
        <v>-6.6738023245022388E-3</v>
      </c>
      <c r="R2" s="8">
        <f>100*2*N2/A2</f>
        <v>6.3002514666090654</v>
      </c>
      <c r="S2" s="4">
        <f>A2/4*O2</f>
        <v>11.416529916489431</v>
      </c>
      <c r="T2" s="8">
        <f>D2*M2</f>
        <v>18.060184376525701</v>
      </c>
      <c r="U2" s="8">
        <f>E2*N2</f>
        <v>17.9998184401021</v>
      </c>
      <c r="V2" s="8">
        <f>F2*M2</f>
        <v>18.060184376525701</v>
      </c>
      <c r="W2" s="4">
        <f>G2*M2</f>
        <v>4.5150460941314252</v>
      </c>
    </row>
    <row r="3" spans="1:23">
      <c r="A3" s="5">
        <v>5714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6" si="0">K3/G3</f>
        <v>5.9701492537313436</v>
      </c>
      <c r="M3" s="13">
        <v>180.601843765257</v>
      </c>
      <c r="N3" s="4">
        <v>182.74010750150001</v>
      </c>
      <c r="O3">
        <f>8*(M3/A3)^2</f>
        <v>7.9919705400696046E-3</v>
      </c>
      <c r="P3" s="9">
        <f t="shared" ref="P3:P6" si="1">8*(N3/A3)^2</f>
        <v>8.1823352010309113E-3</v>
      </c>
      <c r="Q3" s="10">
        <f t="shared" ref="Q3:Q6" si="2">(P3-O3)/O3</f>
        <v>2.3819489825052425E-2</v>
      </c>
      <c r="R3" s="8">
        <f t="shared" ref="R3:R6" si="3">100*2*N3/A3</f>
        <v>6.396223573731187</v>
      </c>
      <c r="S3" s="4">
        <f t="shared" ref="S3:S6" si="4">A3/4*O3</f>
        <v>11.416529916489431</v>
      </c>
      <c r="T3" s="8">
        <f t="shared" ref="T3:T6" si="5">D3*M3</f>
        <v>12.10032353227222</v>
      </c>
      <c r="U3" s="8">
        <f t="shared" ref="U3:U6" si="6">E3*N3</f>
        <v>12.243587202600501</v>
      </c>
      <c r="V3" s="8">
        <f t="shared" ref="V3:V6" si="7">F3*M3</f>
        <v>12.10032353227222</v>
      </c>
      <c r="W3" s="4">
        <f t="shared" ref="W3:W6" si="8">G3*M3</f>
        <v>3.0250808830680551</v>
      </c>
    </row>
    <row r="4" spans="1:23">
      <c r="A4" s="5">
        <v>5714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180.601843765257</v>
      </c>
      <c r="N4" s="4">
        <v>183.383339658707</v>
      </c>
      <c r="O4">
        <f>8*(M4/A4)^2</f>
        <v>7.9919705400696046E-3</v>
      </c>
      <c r="P4" s="9">
        <f t="shared" si="1"/>
        <v>8.2400390530784837E-3</v>
      </c>
      <c r="Q4" s="10">
        <f t="shared" si="2"/>
        <v>3.1039718147749643E-2</v>
      </c>
      <c r="R4" s="8">
        <f t="shared" si="3"/>
        <v>6.4187378249459925</v>
      </c>
      <c r="S4" s="4">
        <f t="shared" si="4"/>
        <v>11.416529916489431</v>
      </c>
      <c r="T4" s="8">
        <f t="shared" si="5"/>
        <v>9.0300921882628504</v>
      </c>
      <c r="U4" s="8">
        <f t="shared" si="6"/>
        <v>9.1691669829353497</v>
      </c>
      <c r="V4" s="8">
        <f t="shared" si="7"/>
        <v>9.0300921882628504</v>
      </c>
      <c r="W4" s="4">
        <f t="shared" si="8"/>
        <v>2.2575230470657126</v>
      </c>
    </row>
    <row r="5" spans="1:23">
      <c r="A5" s="5">
        <v>5714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180.601843765257</v>
      </c>
      <c r="N5" s="4">
        <v>183.668368577509</v>
      </c>
      <c r="O5">
        <f>8*(M5/A5)^2</f>
        <v>7.9919705400696046E-3</v>
      </c>
      <c r="P5" s="9">
        <f t="shared" si="1"/>
        <v>8.2656736025973811E-3</v>
      </c>
      <c r="Q5" s="10">
        <f t="shared" si="2"/>
        <v>3.4247256187382384E-2</v>
      </c>
      <c r="R5" s="8">
        <f t="shared" si="3"/>
        <v>6.4287143359296115</v>
      </c>
      <c r="S5" s="4">
        <f t="shared" si="4"/>
        <v>11.416529916489431</v>
      </c>
      <c r="T5" s="8">
        <f t="shared" si="5"/>
        <v>5.9598608442534813</v>
      </c>
      <c r="U5" s="8">
        <f t="shared" si="6"/>
        <v>6.0610561630577973</v>
      </c>
      <c r="V5" s="8">
        <f t="shared" si="7"/>
        <v>5.9598608442534813</v>
      </c>
      <c r="W5" s="4">
        <f t="shared" si="8"/>
        <v>1.4899652110633703</v>
      </c>
    </row>
    <row r="6" spans="1:23">
      <c r="A6" s="5">
        <v>5714</v>
      </c>
      <c r="B6" s="5" t="s">
        <v>62</v>
      </c>
      <c r="C6" s="5" t="s">
        <v>63</v>
      </c>
      <c r="D6">
        <f>18.84/384</f>
        <v>4.9062500000000002E-2</v>
      </c>
      <c r="E6">
        <f>6.28/256</f>
        <v>2.4531250000000001E-2</v>
      </c>
      <c r="F6" s="14">
        <v>2.2990199999999999E-2</v>
      </c>
      <c r="G6" s="14">
        <v>1.5090470000000001E-4</v>
      </c>
      <c r="H6" s="5">
        <f>D6/E6</f>
        <v>2</v>
      </c>
      <c r="I6" s="5" t="s">
        <v>64</v>
      </c>
      <c r="J6" s="5" t="s">
        <v>28</v>
      </c>
      <c r="K6">
        <v>0.1</v>
      </c>
      <c r="L6" s="8">
        <f>K6/G6</f>
        <v>662.66988370806212</v>
      </c>
      <c r="M6" s="13">
        <v>180.601843765257</v>
      </c>
      <c r="N6" s="4">
        <v>183.51840919111899</v>
      </c>
      <c r="O6">
        <f>8*(M6/A6)^2</f>
        <v>7.9919705400696046E-3</v>
      </c>
      <c r="P6" s="9">
        <f t="shared" si="1"/>
        <v>8.2521817929983986E-3</v>
      </c>
      <c r="Q6" s="10">
        <f t="shared" si="2"/>
        <v>3.2559085600248942E-2</v>
      </c>
      <c r="R6" s="8">
        <f t="shared" si="3"/>
        <v>6.4234654949639127</v>
      </c>
      <c r="S6" s="4">
        <f t="shared" si="4"/>
        <v>11.416529916489431</v>
      </c>
      <c r="T6" s="8">
        <f t="shared" si="5"/>
        <v>8.8607779597329213</v>
      </c>
      <c r="U6" s="8">
        <f t="shared" si="6"/>
        <v>4.501935975469638</v>
      </c>
      <c r="V6" s="8">
        <f t="shared" si="7"/>
        <v>4.1520725085320116</v>
      </c>
      <c r="W6" s="4">
        <f t="shared" si="8"/>
        <v>2.7253667052842979E-2</v>
      </c>
    </row>
    <row r="12" spans="1:23">
      <c r="A12" s="5" t="s">
        <v>73</v>
      </c>
    </row>
    <row r="13" spans="1:23">
      <c r="A13" s="5">
        <v>5714</v>
      </c>
      <c r="B13" s="5" t="s">
        <v>39</v>
      </c>
      <c r="C13" s="5" t="s">
        <v>41</v>
      </c>
      <c r="D13" s="5">
        <v>0.1</v>
      </c>
      <c r="E13" s="5">
        <v>0.1</v>
      </c>
      <c r="F13">
        <f>E13</f>
        <v>0.1</v>
      </c>
      <c r="G13" s="5">
        <f>0.25*F13</f>
        <v>2.5000000000000001E-2</v>
      </c>
      <c r="H13" s="5">
        <v>1</v>
      </c>
      <c r="I13" s="5" t="s">
        <v>40</v>
      </c>
      <c r="J13" s="5" t="s">
        <v>28</v>
      </c>
      <c r="K13">
        <v>0</v>
      </c>
      <c r="L13" s="8">
        <v>0</v>
      </c>
      <c r="M13" s="13">
        <v>180.601843765257</v>
      </c>
      <c r="N13" s="4">
        <v>181.51132402826201</v>
      </c>
      <c r="O13">
        <f>8*(M13/A13)^2</f>
        <v>7.9919705400696046E-3</v>
      </c>
      <c r="P13" s="9">
        <f>8*(N13/A13)^2</f>
        <v>8.0726656302520777E-3</v>
      </c>
      <c r="Q13" s="10">
        <f>(P13-O13)/O13</f>
        <v>1.0097020475474653E-2</v>
      </c>
      <c r="R13" s="8">
        <f>100*2*N13/A13</f>
        <v>6.3532140016892553</v>
      </c>
      <c r="S13" s="4">
        <f>A13/4*O13</f>
        <v>11.416529916489431</v>
      </c>
      <c r="T13" s="8">
        <f>D13*M13</f>
        <v>18.060184376525701</v>
      </c>
      <c r="U13" s="8">
        <f>E13*N13</f>
        <v>18.151132402826203</v>
      </c>
      <c r="V13" s="8">
        <f>F13*M13</f>
        <v>18.060184376525701</v>
      </c>
      <c r="W13" s="8">
        <f>G13*M13</f>
        <v>4.5150460941314252</v>
      </c>
    </row>
    <row r="14" spans="1:23">
      <c r="A14" s="5">
        <v>5714</v>
      </c>
      <c r="B14" s="5" t="s">
        <v>39</v>
      </c>
      <c r="C14" s="5" t="s">
        <v>43</v>
      </c>
      <c r="D14" s="5">
        <v>6.7000000000000004E-2</v>
      </c>
      <c r="E14" s="5">
        <v>6.7000000000000004E-2</v>
      </c>
      <c r="F14">
        <f>E14</f>
        <v>6.7000000000000004E-2</v>
      </c>
      <c r="G14" s="5">
        <f>0.25*F14</f>
        <v>1.6750000000000001E-2</v>
      </c>
      <c r="H14" s="5">
        <v>1</v>
      </c>
      <c r="I14" s="5" t="s">
        <v>40</v>
      </c>
      <c r="J14" s="5" t="s">
        <v>28</v>
      </c>
      <c r="K14">
        <v>0</v>
      </c>
      <c r="L14" s="8">
        <v>0</v>
      </c>
      <c r="M14" s="13">
        <v>180.601843765257</v>
      </c>
      <c r="N14" s="4">
        <v>182.633280201991</v>
      </c>
      <c r="O14">
        <f>8*(M14/A14)^2</f>
        <v>7.9919705400696046E-3</v>
      </c>
      <c r="P14" s="9">
        <f t="shared" ref="P14:P16" si="9">8*(N14/A14)^2</f>
        <v>8.1727714408602013E-3</v>
      </c>
      <c r="Q14" s="10">
        <f t="shared" ref="Q14:Q16" si="10">(P14-O14)/O14</f>
        <v>2.2622818725883596E-2</v>
      </c>
      <c r="R14" s="8">
        <f t="shared" ref="R14:R16" si="11">100*2*N14/A14</f>
        <v>6.3924844312912494</v>
      </c>
      <c r="S14" s="4">
        <f t="shared" ref="S14:S16" si="12">A14/4*O14</f>
        <v>11.416529916489431</v>
      </c>
      <c r="T14" s="8">
        <f t="shared" ref="T14:T16" si="13">D14*M14</f>
        <v>12.10032353227222</v>
      </c>
      <c r="U14" s="8">
        <f t="shared" ref="U14:U16" si="14">E14*N14</f>
        <v>12.236429773533398</v>
      </c>
      <c r="V14" s="8">
        <f t="shared" ref="V14:V16" si="15">F14*M14</f>
        <v>12.10032353227222</v>
      </c>
      <c r="W14" s="8">
        <f t="shared" ref="W14:W16" si="16">G14*M14</f>
        <v>3.0250808830680551</v>
      </c>
    </row>
    <row r="15" spans="1:23">
      <c r="A15" s="5">
        <v>5714</v>
      </c>
      <c r="B15" s="5" t="s">
        <v>39</v>
      </c>
      <c r="C15" s="5" t="s">
        <v>44</v>
      </c>
      <c r="D15" s="5">
        <v>0.05</v>
      </c>
      <c r="E15" s="5">
        <v>0.05</v>
      </c>
      <c r="F15">
        <f>E15</f>
        <v>0.05</v>
      </c>
      <c r="G15" s="5">
        <f>0.25*F15</f>
        <v>1.2500000000000001E-2</v>
      </c>
      <c r="H15" s="5">
        <v>1</v>
      </c>
      <c r="I15" s="5" t="s">
        <v>40</v>
      </c>
      <c r="J15" s="5" t="s">
        <v>28</v>
      </c>
      <c r="K15">
        <v>0</v>
      </c>
      <c r="L15" s="8">
        <v>0</v>
      </c>
      <c r="M15" s="13">
        <v>180.601843765257</v>
      </c>
      <c r="N15" s="4">
        <v>181.289661622458</v>
      </c>
      <c r="O15">
        <f>8*(M15/A15)^2</f>
        <v>7.9919705400696046E-3</v>
      </c>
      <c r="P15" s="9">
        <f t="shared" si="9"/>
        <v>8.0529609217001707E-3</v>
      </c>
      <c r="Q15" s="10">
        <f t="shared" si="10"/>
        <v>7.6314572638595908E-3</v>
      </c>
      <c r="R15" s="8">
        <f t="shared" si="11"/>
        <v>6.3454554295575081</v>
      </c>
      <c r="S15" s="4">
        <f t="shared" si="12"/>
        <v>11.416529916489431</v>
      </c>
      <c r="T15" s="8">
        <f t="shared" si="13"/>
        <v>9.0300921882628504</v>
      </c>
      <c r="U15" s="8">
        <f t="shared" si="14"/>
        <v>9.0644830811228996</v>
      </c>
      <c r="V15" s="8">
        <f t="shared" si="15"/>
        <v>9.0300921882628504</v>
      </c>
      <c r="W15" s="8">
        <f t="shared" si="16"/>
        <v>2.2575230470657126</v>
      </c>
    </row>
    <row r="16" spans="1:23">
      <c r="A16" s="5">
        <v>5714</v>
      </c>
      <c r="B16" s="5" t="s">
        <v>39</v>
      </c>
      <c r="C16" s="5" t="s">
        <v>45</v>
      </c>
      <c r="D16" s="5">
        <v>3.3000000000000002E-2</v>
      </c>
      <c r="E16" s="5">
        <v>3.3000000000000002E-2</v>
      </c>
      <c r="F16">
        <f>E16</f>
        <v>3.3000000000000002E-2</v>
      </c>
      <c r="G16" s="5">
        <f>0.25*F16</f>
        <v>8.2500000000000004E-3</v>
      </c>
      <c r="H16" s="5">
        <v>1</v>
      </c>
      <c r="I16" s="5" t="s">
        <v>40</v>
      </c>
      <c r="J16" s="5" t="s">
        <v>28</v>
      </c>
      <c r="K16">
        <v>0</v>
      </c>
      <c r="L16" s="8">
        <v>0</v>
      </c>
      <c r="M16" s="13">
        <v>180.601843765257</v>
      </c>
      <c r="N16" s="4">
        <v>180.70061309741001</v>
      </c>
      <c r="O16">
        <f>8*(M16/A16)^2</f>
        <v>7.9919705400696046E-3</v>
      </c>
      <c r="P16" s="9">
        <f t="shared" si="9"/>
        <v>8.0007143870129832E-3</v>
      </c>
      <c r="Q16" s="10">
        <f t="shared" si="10"/>
        <v>1.0940789758344649E-3</v>
      </c>
      <c r="R16" s="8">
        <f t="shared" si="11"/>
        <v>6.3248377002943652</v>
      </c>
      <c r="S16" s="4">
        <f t="shared" si="12"/>
        <v>11.416529916489431</v>
      </c>
      <c r="T16" s="8">
        <f t="shared" si="13"/>
        <v>5.9598608442534813</v>
      </c>
      <c r="U16" s="8">
        <f t="shared" si="14"/>
        <v>5.9631202322145311</v>
      </c>
      <c r="V16" s="8">
        <f t="shared" si="15"/>
        <v>5.9598608442534813</v>
      </c>
      <c r="W16" s="8">
        <f t="shared" si="16"/>
        <v>1.4899652110633703</v>
      </c>
    </row>
    <row r="25" spans="1:19">
      <c r="A25" s="5" t="s">
        <v>65</v>
      </c>
    </row>
    <row r="26" spans="1:19">
      <c r="A26" s="5" t="s">
        <v>24</v>
      </c>
      <c r="B26" s="5" t="s">
        <v>27</v>
      </c>
      <c r="C26" s="5" t="s">
        <v>26</v>
      </c>
      <c r="D26" s="5" t="s">
        <v>54</v>
      </c>
      <c r="E26" s="5" t="s">
        <v>55</v>
      </c>
      <c r="F26" s="5" t="s">
        <v>57</v>
      </c>
      <c r="G26" s="5" t="s">
        <v>56</v>
      </c>
      <c r="H26" s="5" t="s">
        <v>42</v>
      </c>
      <c r="I26" s="5" t="s">
        <v>50</v>
      </c>
      <c r="J26" s="5" t="s">
        <v>29</v>
      </c>
      <c r="K26" s="5" t="s">
        <v>23</v>
      </c>
      <c r="L26" s="5" t="s">
        <v>53</v>
      </c>
      <c r="M26" s="5" t="s">
        <v>30</v>
      </c>
      <c r="N26" s="5" t="s">
        <v>25</v>
      </c>
      <c r="O26" s="5" t="s">
        <v>32</v>
      </c>
      <c r="P26" s="5" t="s">
        <v>31</v>
      </c>
      <c r="Q26" s="5" t="s">
        <v>33</v>
      </c>
      <c r="R26" s="5" t="s">
        <v>34</v>
      </c>
      <c r="S26" s="5" t="s">
        <v>61</v>
      </c>
    </row>
    <row r="27" spans="1:19">
      <c r="A27" s="5">
        <v>5714</v>
      </c>
      <c r="B27" s="5" t="s">
        <v>62</v>
      </c>
      <c r="C27" s="5" t="s">
        <v>63</v>
      </c>
      <c r="D27" s="8">
        <f>18.84*M27/384</f>
        <v>8.8607779597329213</v>
      </c>
      <c r="E27" s="8">
        <f>6.28*M27/256</f>
        <v>4.4303889798664606</v>
      </c>
      <c r="F27" s="8">
        <f>0.0229902*M27</f>
        <v>4.1520725085320116</v>
      </c>
      <c r="G27" s="4">
        <f>0.0001509047*M27</f>
        <v>2.7253667052842979E-2</v>
      </c>
      <c r="H27" s="4">
        <f>D27/E27</f>
        <v>2</v>
      </c>
      <c r="I27" s="5" t="s">
        <v>64</v>
      </c>
      <c r="J27" s="11" t="s">
        <v>28</v>
      </c>
      <c r="K27">
        <v>0</v>
      </c>
      <c r="L27">
        <v>0</v>
      </c>
      <c r="M27" s="4">
        <v>180.601843765257</v>
      </c>
      <c r="O27">
        <f>8*(M27/A27)^2</f>
        <v>7.9919705400696046E-3</v>
      </c>
      <c r="S27" s="4">
        <f>2857*O27/2</f>
        <v>11.416529916489431</v>
      </c>
    </row>
    <row r="33" spans="1:1">
      <c r="A33" t="s">
        <v>67</v>
      </c>
    </row>
    <row r="34" spans="1:1">
      <c r="A3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S22"/>
  <sheetViews>
    <sheetView topLeftCell="C1" zoomScale="55" zoomScaleNormal="55" workbookViewId="0">
      <selection activeCell="M2" sqref="M2"/>
    </sheetView>
  </sheetViews>
  <sheetFormatPr defaultRowHeight="14.5"/>
  <cols>
    <col min="2" max="2" width="16.81640625" customWidth="1"/>
    <col min="3" max="3" width="14.7265625" customWidth="1"/>
    <col min="6" max="6" width="12.26953125" customWidth="1"/>
    <col min="7" max="7" width="13.1796875" customWidth="1"/>
    <col min="8" max="8" width="12" customWidth="1"/>
    <col min="9" max="9" width="14.08984375" customWidth="1"/>
    <col min="13" max="13" width="10.81640625" customWidth="1"/>
    <col min="15" max="15" width="9.36328125" bestFit="1" customWidth="1"/>
    <col min="17" max="17" width="13.08984375" customWidth="1"/>
    <col min="18" max="18" width="15" customWidth="1"/>
    <col min="19" max="19" width="12.1796875" customWidth="1"/>
  </cols>
  <sheetData>
    <row r="1" spans="1:19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61</v>
      </c>
    </row>
    <row r="2" spans="1:19">
      <c r="A2" s="5">
        <v>20540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551.75</v>
      </c>
      <c r="N2" s="4">
        <v>545.78357335980195</v>
      </c>
      <c r="O2" s="9">
        <f>8*(M2/A2)^2</f>
        <v>5.772630931736967E-3</v>
      </c>
      <c r="P2" s="9">
        <f>8*(N2/A2)^2</f>
        <v>5.648459631799151E-3</v>
      </c>
      <c r="Q2" s="10">
        <f>(P2-O2)/O2</f>
        <v>-2.1510347951597404E-2</v>
      </c>
      <c r="R2" s="8">
        <f>200*2*N2/A2</f>
        <v>10.628696657445024</v>
      </c>
      <c r="S2" s="4">
        <f>A2/4*O2</f>
        <v>29.642459834469324</v>
      </c>
    </row>
    <row r="3" spans="1:19">
      <c r="A3" s="5">
        <v>20540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10" si="0">K3/G3</f>
        <v>5.9701492537313436</v>
      </c>
      <c r="M3" s="13">
        <v>551.75</v>
      </c>
      <c r="N3" s="4">
        <v>546.01003637948202</v>
      </c>
      <c r="O3" s="9">
        <f>8*(M3/A3)^2</f>
        <v>5.772630931736967E-3</v>
      </c>
      <c r="P3" s="9">
        <f t="shared" ref="P3:P5" si="1">8*(N3/A3)^2</f>
        <v>5.6531480565552529E-3</v>
      </c>
      <c r="Q3" s="10">
        <f t="shared" ref="Q3:Q5" si="2">(P3-O3)/O3</f>
        <v>-2.0698166329119909E-2</v>
      </c>
      <c r="R3" s="8">
        <f t="shared" ref="R3:R5" si="3">200*2*N3/A3</f>
        <v>10.633106842833145</v>
      </c>
      <c r="S3" s="4">
        <f t="shared" ref="S3:S5" si="4">A3/4*O3</f>
        <v>29.642459834469324</v>
      </c>
    </row>
    <row r="4" spans="1:19">
      <c r="A4" s="5">
        <v>20540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551.75</v>
      </c>
      <c r="N4" s="4">
        <v>550.69190375916003</v>
      </c>
      <c r="O4" s="9">
        <f>8*(M4/A4)^2</f>
        <v>5.772630931736967E-3</v>
      </c>
      <c r="P4" s="9">
        <f t="shared" si="1"/>
        <v>5.7505117023593354E-3</v>
      </c>
      <c r="Q4" s="10">
        <f t="shared" si="2"/>
        <v>-3.831741477880346E-3</v>
      </c>
      <c r="R4" s="8">
        <f t="shared" si="3"/>
        <v>10.724282449058618</v>
      </c>
      <c r="S4" s="4">
        <f t="shared" si="4"/>
        <v>29.642459834469324</v>
      </c>
    </row>
    <row r="5" spans="1:19">
      <c r="A5" s="5">
        <v>20540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551.75</v>
      </c>
      <c r="N5" s="4">
        <v>556.05087169541605</v>
      </c>
      <c r="O5" s="9">
        <f>8*(M5/A5)^2</f>
        <v>5.772630931736967E-3</v>
      </c>
      <c r="P5" s="9">
        <f t="shared" si="1"/>
        <v>5.8629765923423373E-3</v>
      </c>
      <c r="Q5" s="10">
        <f t="shared" si="2"/>
        <v>1.5650690590431615E-2</v>
      </c>
      <c r="R5" s="8">
        <f t="shared" si="3"/>
        <v>10.828644044701385</v>
      </c>
      <c r="S5" s="4">
        <f t="shared" si="4"/>
        <v>29.642459834469324</v>
      </c>
    </row>
    <row r="6" spans="1:19">
      <c r="A6" s="5"/>
      <c r="B6" s="5"/>
      <c r="C6" s="5"/>
      <c r="D6" s="5"/>
      <c r="E6" s="5"/>
      <c r="G6" s="5"/>
      <c r="H6" s="5"/>
      <c r="I6" s="5"/>
      <c r="J6" s="5"/>
      <c r="L6" s="8"/>
      <c r="M6" s="13"/>
      <c r="O6" s="9"/>
      <c r="P6" s="4"/>
    </row>
    <row r="7" spans="1:19">
      <c r="A7" s="5"/>
      <c r="B7" s="5"/>
      <c r="C7" s="5"/>
      <c r="D7" s="5"/>
      <c r="E7" s="5"/>
      <c r="G7" s="5"/>
      <c r="H7" s="5"/>
      <c r="I7" s="5"/>
      <c r="J7" s="5"/>
      <c r="L7" s="8"/>
      <c r="M7" s="13"/>
      <c r="O7" s="9"/>
      <c r="P7" s="4"/>
    </row>
    <row r="8" spans="1:19">
      <c r="A8" s="5"/>
      <c r="B8" s="5"/>
      <c r="C8" s="5"/>
      <c r="D8" s="5"/>
      <c r="E8" s="5"/>
      <c r="G8" s="5"/>
      <c r="H8" s="5"/>
      <c r="I8" s="5"/>
      <c r="J8" s="5"/>
      <c r="L8" s="8"/>
      <c r="M8" s="13"/>
      <c r="O8" s="9"/>
    </row>
    <row r="9" spans="1:19">
      <c r="A9" s="5"/>
      <c r="B9" s="5"/>
      <c r="C9" s="5"/>
      <c r="D9" s="5"/>
      <c r="E9" s="5"/>
      <c r="G9" s="5"/>
      <c r="H9" s="5"/>
      <c r="I9" s="5"/>
      <c r="J9" s="5"/>
      <c r="L9" s="8"/>
      <c r="M9" s="13"/>
      <c r="O9" s="9"/>
    </row>
    <row r="10" spans="1:19">
      <c r="A10" s="5"/>
      <c r="B10" s="5"/>
      <c r="C10" s="5"/>
      <c r="D10" s="5"/>
      <c r="E10" s="5"/>
      <c r="G10" s="5"/>
      <c r="H10" s="5"/>
      <c r="I10" s="5"/>
      <c r="J10" s="5"/>
      <c r="L10" s="8"/>
      <c r="M10" s="13"/>
      <c r="O10" s="9"/>
    </row>
    <row r="14" spans="1:1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9">
      <c r="A15" s="5"/>
      <c r="B15" s="5"/>
      <c r="C15" s="5"/>
      <c r="D15" s="12"/>
      <c r="H15" s="4"/>
      <c r="I15" s="5"/>
      <c r="J15" s="11"/>
    </row>
    <row r="22" spans="1:1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S10"/>
  <sheetViews>
    <sheetView zoomScale="40" zoomScaleNormal="40" workbookViewId="0">
      <selection activeCell="L23" sqref="L23"/>
    </sheetView>
  </sheetViews>
  <sheetFormatPr defaultRowHeight="14.5"/>
  <cols>
    <col min="1" max="1" width="7.26953125" customWidth="1"/>
    <col min="2" max="2" width="15.08984375" customWidth="1"/>
    <col min="3" max="3" width="13.363281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3.90625" customWidth="1"/>
    <col min="10" max="10" width="12.36328125" customWidth="1"/>
    <col min="11" max="11" width="14.1796875" customWidth="1"/>
    <col min="12" max="12" width="12.453125" customWidth="1"/>
    <col min="13" max="13" width="12.1796875" customWidth="1"/>
    <col min="14" max="14" width="10.54296875" customWidth="1"/>
    <col min="16" max="16" width="10.54296875" customWidth="1"/>
    <col min="17" max="17" width="15.81640625" customWidth="1"/>
    <col min="18" max="18" width="15.54296875" customWidth="1"/>
    <col min="19" max="19" width="11.1796875" customWidth="1"/>
  </cols>
  <sheetData>
    <row r="1" spans="1:19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61</v>
      </c>
    </row>
    <row r="2" spans="1:19">
      <c r="A2" s="5">
        <v>40582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13">
        <v>1002.1</v>
      </c>
      <c r="N2" s="8">
        <v>991.44275767622696</v>
      </c>
      <c r="O2" s="9">
        <f>8*(M2/A2)^2</f>
        <v>4.8780384385069212E-3</v>
      </c>
      <c r="P2" s="9">
        <f>8*(N2/A2)^2</f>
        <v>4.7748351610169409E-3</v>
      </c>
      <c r="Q2" s="10">
        <f>(P2-O2)/O2</f>
        <v>-2.1156716739929773E-2</v>
      </c>
      <c r="R2" s="8">
        <f>200*2*N2/A2</f>
        <v>9.7722414634687986</v>
      </c>
      <c r="S2" s="4">
        <f>A2/4*O2</f>
        <v>49.490138977871972</v>
      </c>
    </row>
    <row r="3" spans="1:19">
      <c r="A3" s="5">
        <v>40582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5" si="0">K3/G3</f>
        <v>5.9701492537313436</v>
      </c>
      <c r="M3" s="13">
        <v>1002.1</v>
      </c>
      <c r="N3" s="8">
        <v>967.18605429573699</v>
      </c>
      <c r="O3" s="9">
        <f t="shared" ref="O3:O5" si="1">8*(M3/A3)^2</f>
        <v>4.8780384385069212E-3</v>
      </c>
      <c r="P3" s="9">
        <f t="shared" ref="P3:P5" si="2">8*(N3/A3)^2</f>
        <v>4.5440504628099102E-3</v>
      </c>
      <c r="Q3" s="10">
        <f t="shared" ref="Q3:Q5" si="3">(P3-O3)/O3</f>
        <v>-6.8467680176632364E-2</v>
      </c>
      <c r="R3" s="8">
        <f t="shared" ref="R3:R5" si="4">200*2*N3/A3</f>
        <v>9.5331531644151291</v>
      </c>
      <c r="S3" s="4">
        <f t="shared" ref="S3:S5" si="5">A3/4*O3</f>
        <v>49.490138977871972</v>
      </c>
    </row>
    <row r="4" spans="1:19">
      <c r="A4" s="5">
        <v>40582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13">
        <v>1002.1</v>
      </c>
      <c r="N4" s="8">
        <v>978.16635810243804</v>
      </c>
      <c r="O4" s="9">
        <f t="shared" si="1"/>
        <v>4.8780384385069212E-3</v>
      </c>
      <c r="P4" s="9">
        <f t="shared" si="2"/>
        <v>4.6478118426103634E-3</v>
      </c>
      <c r="Q4" s="10">
        <f t="shared" si="3"/>
        <v>-4.7196552220491725E-2</v>
      </c>
      <c r="R4" s="8">
        <f t="shared" si="4"/>
        <v>9.6413814804833482</v>
      </c>
      <c r="S4" s="4">
        <f t="shared" si="5"/>
        <v>49.490138977871972</v>
      </c>
    </row>
    <row r="5" spans="1:19">
      <c r="A5" s="5">
        <v>40582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13">
        <v>1002.1</v>
      </c>
      <c r="N5" s="8">
        <v>989.39442504592398</v>
      </c>
      <c r="O5" s="9">
        <f t="shared" si="1"/>
        <v>4.8780384385069212E-3</v>
      </c>
      <c r="P5" s="9">
        <f t="shared" si="2"/>
        <v>4.7551258085106367E-3</v>
      </c>
      <c r="Q5" s="10">
        <f t="shared" si="3"/>
        <v>-2.5197142569853514E-2</v>
      </c>
      <c r="R5" s="8">
        <f t="shared" si="4"/>
        <v>9.7520518953814399</v>
      </c>
      <c r="S5" s="4">
        <f t="shared" si="5"/>
        <v>49.490138977871972</v>
      </c>
    </row>
    <row r="6" spans="1:19">
      <c r="A6" s="5"/>
      <c r="B6" s="5"/>
      <c r="C6" s="6"/>
      <c r="D6" s="5"/>
      <c r="E6" s="5"/>
      <c r="F6" s="5"/>
      <c r="G6" s="5"/>
      <c r="K6" s="7"/>
      <c r="L6" s="4"/>
    </row>
    <row r="7" spans="1:19">
      <c r="A7" s="5"/>
      <c r="B7" s="5"/>
      <c r="C7" s="6"/>
      <c r="D7" s="5"/>
      <c r="E7" s="5"/>
      <c r="F7" s="5"/>
      <c r="G7" s="5"/>
      <c r="K7" s="7"/>
      <c r="L7" s="4"/>
    </row>
    <row r="8" spans="1:19">
      <c r="I8" s="5"/>
    </row>
    <row r="10" spans="1:19">
      <c r="F10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12"/>
  <sheetViews>
    <sheetView zoomScale="40" zoomScaleNormal="40" workbookViewId="0">
      <selection activeCell="S8" sqref="S8"/>
    </sheetView>
  </sheetViews>
  <sheetFormatPr defaultRowHeight="14.5"/>
  <cols>
    <col min="2" max="2" width="12.6328125" customWidth="1"/>
    <col min="3" max="3" width="12.08984375" customWidth="1"/>
    <col min="4" max="4" width="7.81640625" customWidth="1"/>
    <col min="5" max="5" width="7.08984375" customWidth="1"/>
    <col min="6" max="6" width="9.36328125" customWidth="1"/>
    <col min="7" max="7" width="14.36328125" customWidth="1"/>
    <col min="8" max="8" width="11.81640625" customWidth="1"/>
    <col min="9" max="9" width="14.542968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3.36328125" customWidth="1"/>
  </cols>
  <sheetData>
    <row r="1" spans="1:20">
      <c r="A1" s="5" t="s">
        <v>24</v>
      </c>
      <c r="B1" s="5" t="s">
        <v>27</v>
      </c>
      <c r="C1" s="5" t="s">
        <v>26</v>
      </c>
      <c r="D1" s="5" t="s">
        <v>35</v>
      </c>
      <c r="E1" s="5" t="s">
        <v>36</v>
      </c>
      <c r="F1" s="5" t="s">
        <v>51</v>
      </c>
      <c r="G1" s="5" t="s">
        <v>52</v>
      </c>
      <c r="H1" s="5" t="s">
        <v>42</v>
      </c>
      <c r="I1" s="5" t="s">
        <v>50</v>
      </c>
      <c r="J1" s="5" t="s">
        <v>29</v>
      </c>
      <c r="K1" s="5" t="s">
        <v>23</v>
      </c>
      <c r="L1" s="5" t="s">
        <v>53</v>
      </c>
      <c r="M1" s="5" t="s">
        <v>30</v>
      </c>
      <c r="N1" s="5" t="s">
        <v>25</v>
      </c>
      <c r="O1" s="5" t="s">
        <v>32</v>
      </c>
      <c r="P1" s="5" t="s">
        <v>31</v>
      </c>
      <c r="Q1" s="5" t="s">
        <v>33</v>
      </c>
      <c r="R1" s="5" t="s">
        <v>34</v>
      </c>
      <c r="S1" s="5" t="s">
        <v>61</v>
      </c>
    </row>
    <row r="2" spans="1:20">
      <c r="A2" s="5">
        <v>250000</v>
      </c>
      <c r="B2" s="5" t="s">
        <v>39</v>
      </c>
      <c r="C2" s="5" t="s">
        <v>41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40</v>
      </c>
      <c r="J2" s="5" t="s">
        <v>28</v>
      </c>
      <c r="K2">
        <v>0.1</v>
      </c>
      <c r="L2" s="8">
        <f>K2/G2</f>
        <v>4</v>
      </c>
      <c r="M2" s="8">
        <v>5185.8969999999999</v>
      </c>
      <c r="N2">
        <v>5587</v>
      </c>
      <c r="O2">
        <f>8*(M2/A2)^2</f>
        <v>3.4423715449099523E-3</v>
      </c>
      <c r="P2" s="9">
        <f>8*(N2/A2)^2</f>
        <v>3.9954648319999999E-3</v>
      </c>
      <c r="Q2" s="10">
        <f>(P2-O2)/O2</f>
        <v>0.16067216448726362</v>
      </c>
      <c r="R2" s="8">
        <f>100*2*N2/A2</f>
        <v>4.4695999999999998</v>
      </c>
      <c r="S2" s="4">
        <f>A2/4*O2</f>
        <v>215.14822155687202</v>
      </c>
      <c r="T2" s="6"/>
    </row>
    <row r="3" spans="1:20">
      <c r="A3" s="5">
        <v>250000</v>
      </c>
      <c r="B3" s="5" t="s">
        <v>39</v>
      </c>
      <c r="C3" s="5" t="s">
        <v>43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40</v>
      </c>
      <c r="J3" s="5" t="s">
        <v>28</v>
      </c>
      <c r="K3">
        <v>0.1</v>
      </c>
      <c r="L3" s="8">
        <f t="shared" ref="L3:L10" si="0">K3/G3</f>
        <v>5.9701492537313436</v>
      </c>
      <c r="M3" s="8">
        <v>5185.8969999999999</v>
      </c>
      <c r="N3">
        <v>4998</v>
      </c>
      <c r="O3">
        <f>8*(M3/A3)^2</f>
        <v>3.4423715449099523E-3</v>
      </c>
      <c r="P3" s="9">
        <f t="shared" ref="P3:P5" si="1">8*(N3/A3)^2</f>
        <v>3.1974405119999999E-3</v>
      </c>
      <c r="Q3" s="10">
        <f t="shared" ref="Q3:Q5" si="2">(P3-O3)/O3</f>
        <v>-7.1151829404387981E-2</v>
      </c>
      <c r="R3" s="8">
        <f t="shared" ref="R3:R5" si="3">100*2*N3/A3</f>
        <v>3.9984000000000002</v>
      </c>
      <c r="S3" s="4">
        <f t="shared" ref="S3:S5" si="4">A3/4*O3</f>
        <v>215.14822155687202</v>
      </c>
      <c r="T3" s="6"/>
    </row>
    <row r="4" spans="1:20">
      <c r="A4" s="5">
        <v>250000</v>
      </c>
      <c r="B4" s="5" t="s">
        <v>39</v>
      </c>
      <c r="C4" s="5" t="s">
        <v>44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40</v>
      </c>
      <c r="J4" s="5" t="s">
        <v>28</v>
      </c>
      <c r="K4">
        <v>0.1</v>
      </c>
      <c r="L4" s="8">
        <f t="shared" si="0"/>
        <v>8</v>
      </c>
      <c r="M4" s="8">
        <v>5185.8969999999999</v>
      </c>
      <c r="N4">
        <v>4673</v>
      </c>
      <c r="O4">
        <f>8*(M4/A4)^2</f>
        <v>3.4423715449099523E-3</v>
      </c>
      <c r="P4" s="9">
        <f t="shared" si="1"/>
        <v>2.795126912E-3</v>
      </c>
      <c r="Q4" s="10">
        <f t="shared" si="2"/>
        <v>-0.18802288610216922</v>
      </c>
      <c r="R4" s="8">
        <f t="shared" si="3"/>
        <v>3.7383999999999999</v>
      </c>
      <c r="S4" s="4">
        <f t="shared" si="4"/>
        <v>215.14822155687202</v>
      </c>
      <c r="T4" s="6"/>
    </row>
    <row r="5" spans="1:20">
      <c r="A5" s="5">
        <v>250000</v>
      </c>
      <c r="B5" s="5" t="s">
        <v>39</v>
      </c>
      <c r="C5" s="5" t="s">
        <v>45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40</v>
      </c>
      <c r="J5" s="5" t="s">
        <v>28</v>
      </c>
      <c r="K5">
        <v>0.1</v>
      </c>
      <c r="L5" s="8">
        <f t="shared" si="0"/>
        <v>12.121212121212121</v>
      </c>
      <c r="M5" s="8">
        <v>5185.8969999999999</v>
      </c>
      <c r="N5">
        <v>5040</v>
      </c>
      <c r="O5">
        <f>8*(M5/A5)^2</f>
        <v>3.4423715449099523E-3</v>
      </c>
      <c r="P5" s="9">
        <f t="shared" si="1"/>
        <v>3.2514048000000001E-3</v>
      </c>
      <c r="Q5" s="10">
        <f t="shared" si="2"/>
        <v>-5.5475343790917724E-2</v>
      </c>
      <c r="R5" s="8">
        <f t="shared" si="3"/>
        <v>4.032</v>
      </c>
      <c r="S5" s="4">
        <f t="shared" si="4"/>
        <v>215.14822155687202</v>
      </c>
      <c r="T5" s="6"/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</row>
    <row r="7" spans="1:20">
      <c r="A7" s="5">
        <v>250000</v>
      </c>
      <c r="B7" s="5" t="s">
        <v>39</v>
      </c>
      <c r="C7" s="5" t="s">
        <v>46</v>
      </c>
      <c r="D7" s="5">
        <v>0.2</v>
      </c>
      <c r="E7" s="5">
        <v>0.1</v>
      </c>
      <c r="F7">
        <v>0.1</v>
      </c>
      <c r="G7" s="5">
        <f>0.25*F7</f>
        <v>2.5000000000000001E-2</v>
      </c>
      <c r="H7" s="5">
        <v>2</v>
      </c>
      <c r="I7" s="5" t="s">
        <v>40</v>
      </c>
      <c r="J7" s="5" t="s">
        <v>28</v>
      </c>
      <c r="K7">
        <v>0.1</v>
      </c>
      <c r="L7" s="8">
        <f t="shared" si="0"/>
        <v>4</v>
      </c>
      <c r="M7" s="8">
        <v>5185.8969999999999</v>
      </c>
      <c r="O7">
        <f>8*(M7/A7)^2</f>
        <v>3.4423715449099523E-3</v>
      </c>
      <c r="P7" s="4"/>
      <c r="T7" s="6"/>
    </row>
    <row r="8" spans="1:20">
      <c r="A8" s="5">
        <v>250000</v>
      </c>
      <c r="B8" s="5" t="s">
        <v>39</v>
      </c>
      <c r="C8" s="5" t="s">
        <v>47</v>
      </c>
      <c r="D8" s="5">
        <f>E8*2</f>
        <v>0.13400000000000001</v>
      </c>
      <c r="E8" s="5">
        <v>6.7000000000000004E-2</v>
      </c>
      <c r="F8">
        <f>E8</f>
        <v>6.7000000000000004E-2</v>
      </c>
      <c r="G8" s="5">
        <f>0.25*F8</f>
        <v>1.6750000000000001E-2</v>
      </c>
      <c r="H8" s="5">
        <v>2</v>
      </c>
      <c r="I8" s="5" t="s">
        <v>40</v>
      </c>
      <c r="J8" s="5" t="s">
        <v>28</v>
      </c>
      <c r="K8">
        <v>0.1</v>
      </c>
      <c r="L8" s="8">
        <f t="shared" si="0"/>
        <v>5.9701492537313436</v>
      </c>
      <c r="M8" s="8">
        <v>5185.8969999999999</v>
      </c>
      <c r="O8">
        <f>8*(M8/A8)^2</f>
        <v>3.4423715449099523E-3</v>
      </c>
      <c r="T8" s="6"/>
    </row>
    <row r="9" spans="1:20">
      <c r="A9" s="5">
        <v>250000</v>
      </c>
      <c r="B9" s="5" t="s">
        <v>39</v>
      </c>
      <c r="C9" s="5" t="s">
        <v>48</v>
      </c>
      <c r="D9" s="5">
        <f t="shared" ref="D9:D10" si="5">E9*2</f>
        <v>0.1</v>
      </c>
      <c r="E9" s="5">
        <v>0.05</v>
      </c>
      <c r="F9">
        <f>E9</f>
        <v>0.05</v>
      </c>
      <c r="G9" s="5">
        <f>0.25*F9</f>
        <v>1.2500000000000001E-2</v>
      </c>
      <c r="H9" s="5">
        <v>2</v>
      </c>
      <c r="I9" s="5" t="s">
        <v>40</v>
      </c>
      <c r="J9" s="5" t="s">
        <v>28</v>
      </c>
      <c r="K9">
        <v>0.1</v>
      </c>
      <c r="L9" s="8">
        <f t="shared" si="0"/>
        <v>8</v>
      </c>
      <c r="M9" s="8">
        <v>5185.8969999999999</v>
      </c>
      <c r="O9">
        <f>8*(M9/A9)^2</f>
        <v>3.4423715449099523E-3</v>
      </c>
      <c r="T9" s="6"/>
    </row>
    <row r="10" spans="1:20">
      <c r="A10" s="5">
        <v>250000</v>
      </c>
      <c r="B10" s="5" t="s">
        <v>39</v>
      </c>
      <c r="C10" s="5" t="s">
        <v>49</v>
      </c>
      <c r="D10" s="5">
        <f t="shared" si="5"/>
        <v>6.6000000000000003E-2</v>
      </c>
      <c r="E10" s="5">
        <v>3.3000000000000002E-2</v>
      </c>
      <c r="F10">
        <f>E10</f>
        <v>3.3000000000000002E-2</v>
      </c>
      <c r="G10" s="5">
        <f>0.25*F10</f>
        <v>8.2500000000000004E-3</v>
      </c>
      <c r="H10" s="5">
        <v>2</v>
      </c>
      <c r="I10" s="5" t="s">
        <v>40</v>
      </c>
      <c r="J10" s="5" t="s">
        <v>28</v>
      </c>
      <c r="K10">
        <v>0.1</v>
      </c>
      <c r="L10" s="8">
        <f t="shared" si="0"/>
        <v>12.121212121212121</v>
      </c>
      <c r="M10" s="8">
        <v>5185.8969999999999</v>
      </c>
      <c r="O10">
        <f>8*(M10/A10)^2</f>
        <v>3.4423715449099523E-3</v>
      </c>
      <c r="T10" s="6"/>
    </row>
    <row r="12" spans="1:20">
      <c r="A1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3" sqref="A3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CHA_RETAU180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2024-02-15T10:24:14Z</dcterms:modified>
</cp:coreProperties>
</file>